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BuÇalışmaKitabı"/>
  <mc:AlternateContent xmlns:mc="http://schemas.openxmlformats.org/markup-compatibility/2006">
    <mc:Choice Requires="x15">
      <x15ac:absPath xmlns:x15ac="http://schemas.microsoft.com/office/spreadsheetml/2010/11/ac" url="D:\masaüstü yedek_05.12.2017\2017bult\2017nisan\2017 nisanayı\"/>
    </mc:Choice>
  </mc:AlternateContent>
  <bookViews>
    <workbookView xWindow="-24240" yWindow="-6915" windowWidth="12120" windowHeight="1110" tabRatio="866" firstSheet="13" activeTab="15"/>
  </bookViews>
  <sheets>
    <sheet name="İÇİNDEKİLER" sheetId="143" r:id="rId1"/>
    <sheet name="1.Personel Durumu" sheetId="153" r:id="rId2"/>
    <sheet name="2.-3-4.Personelegitim" sheetId="154" r:id="rId3"/>
    <sheet name="5.AYLARA GÖRE SİGORTALILAR" sheetId="141" r:id="rId4"/>
    <sheet name="6.SOSYAL GÜVENLİK KAPSAMI" sheetId="115" r:id="rId5"/>
    <sheet name="7.4-a Sigortalı Sayıları" sheetId="82" r:id="rId6"/>
    <sheet name="8.4-b Sigortalı Sayıları" sheetId="83" r:id="rId7"/>
    <sheet name="9.4-c Sigortalı Sayıları" sheetId="84" r:id="rId8"/>
    <sheet name="10.4-a İL DAĞILIM" sheetId="91" r:id="rId9"/>
    <sheet name="11.4-b-İL-ESNAF" sheetId="95" r:id="rId10"/>
    <sheet name="12.4-b-İL-TARIM" sheetId="94" r:id="rId11"/>
    <sheet name="13-4-b İL-CİNSİYET" sheetId="160" r:id="rId12"/>
    <sheet name="14.4-c İL" sheetId="96" r:id="rId13"/>
    <sheet name="15-Diğer Primsizler" sheetId="158" r:id="rId14"/>
    <sheet name="16-SGK Tahsis " sheetId="159" r:id="rId15"/>
    <sheet name="17-4-a Faliyet Kol" sheetId="104" r:id="rId16"/>
    <sheet name="18-4-a İşyeri Say." sheetId="105" r:id="rId17"/>
    <sheet name="19-4-a Faliyet İşyeri" sheetId="112" r:id="rId18"/>
    <sheet name="20-4-a Faliyet Sigortalı" sheetId="111" r:id="rId19"/>
    <sheet name="21-4-a İl İşyeri" sheetId="110" r:id="rId20"/>
    <sheet name="22-4-a İl Sigortalı" sheetId="109" r:id="rId21"/>
    <sheet name="23-İL-EMOD-Öncelikli Yaşam" sheetId="136" r:id="rId22"/>
    <sheet name="24. idari para cezaları" sheetId="142" r:id="rId23"/>
    <sheet name="20-4-a Faliyet Sigortalı (2)" sheetId="161" r:id="rId24"/>
  </sheets>
  <definedNames>
    <definedName name="_xlnm.Print_Area" localSheetId="1">'1.Personel Durumu'!$A$1:$F$35</definedName>
    <definedName name="_xlnm.Print_Area" localSheetId="8">'10.4-a İL DAĞILIM'!$A$1:$AH$99</definedName>
    <definedName name="_xlnm.Print_Area" localSheetId="9">'11.4-b-İL-ESNAF'!$A$1:$P$93</definedName>
    <definedName name="_xlnm.Print_Area" localSheetId="10">'12.4-b-İL-TARIM'!$A$1:$Q$88</definedName>
    <definedName name="_xlnm.Print_Area" localSheetId="11">'13-4-b İL-CİNSİYET'!$A$1:$W$91</definedName>
    <definedName name="_xlnm.Print_Area" localSheetId="12">'14.4-c İL'!$A$1:$W$90</definedName>
    <definedName name="_xlnm.Print_Area" localSheetId="13">'15-Diğer Primsizler'!$A$1:$M$59</definedName>
    <definedName name="_xlnm.Print_Area" localSheetId="14">'16-SGK Tahsis '!$A$1:$AC$42</definedName>
    <definedName name="_xlnm.Print_Area" localSheetId="15">'17-4-a Faliyet Kol'!$A$1:$V$94</definedName>
    <definedName name="_xlnm.Print_Area" localSheetId="16">'18-4-a İşyeri Say.'!$A$1:$U$89</definedName>
    <definedName name="_xlnm.Print_Area" localSheetId="17">'19-4-a Faliyet İşyeri'!$A$1:$P$95</definedName>
    <definedName name="_xlnm.Print_Area" localSheetId="2">'2.-3-4.Personelegitim'!$A$1:$E$46</definedName>
    <definedName name="_xlnm.Print_Area" localSheetId="18">'20-4-a Faliyet Sigortalı'!$A$1:$P$94</definedName>
    <definedName name="_xlnm.Print_Area" localSheetId="23">'20-4-a Faliyet Sigortalı (2)'!$A$1:$I$93</definedName>
    <definedName name="_xlnm.Print_Area" localSheetId="19">'21-4-a İl İşyeri'!$A$1:$P$87</definedName>
    <definedName name="_xlnm.Print_Area" localSheetId="20">'22-4-a İl Sigortalı'!$A$1:$P$87</definedName>
    <definedName name="_xlnm.Print_Area" localSheetId="21">'23-İL-EMOD-Öncelikli Yaşam'!$A$1:$X$92</definedName>
    <definedName name="_xlnm.Print_Area" localSheetId="22">'24. idari para cezaları'!$A$1:$F$37</definedName>
    <definedName name="_xlnm.Print_Area" localSheetId="3">'5.AYLARA GÖRE SİGORTALILAR'!$A$1:$X$48</definedName>
    <definedName name="_xlnm.Print_Area" localSheetId="4">'6.SOSYAL GÜVENLİK KAPSAMI'!$A$1:$AI$63</definedName>
    <definedName name="_xlnm.Print_Area" localSheetId="5">'7.4-a Sigortalı Sayıları'!$A$1:$AJ$30</definedName>
    <definedName name="_xlnm.Print_Area" localSheetId="6">'8.4-b Sigortalı Sayıları'!$A$1:$AG$60</definedName>
    <definedName name="_xlnm.Print_Area" localSheetId="7">'9.4-c Sigortalı Sayıları'!$A$1:$AH$49</definedName>
    <definedName name="_xlnm.Print_Area" localSheetId="0">İÇİNDEKİLER!$A$1:$G$53</definedName>
  </definedNames>
  <calcPr calcId="162913"/>
</workbook>
</file>

<file path=xl/calcChain.xml><?xml version="1.0" encoding="utf-8"?>
<calcChain xmlns="http://schemas.openxmlformats.org/spreadsheetml/2006/main">
  <c r="L100" i="104" l="1"/>
  <c r="H48" i="111" l="1"/>
  <c r="E48" i="111"/>
  <c r="G72" i="111"/>
  <c r="G70" i="111"/>
  <c r="G68" i="111"/>
  <c r="G67" i="111"/>
  <c r="O9" i="111"/>
  <c r="P77" i="111" l="1"/>
  <c r="E78" i="111"/>
  <c r="M78" i="111"/>
  <c r="E76" i="111"/>
  <c r="H47" i="111"/>
  <c r="D81" i="111"/>
  <c r="D91" i="111"/>
  <c r="H93" i="161" l="1"/>
  <c r="H97" i="161" s="1"/>
  <c r="G93" i="161"/>
  <c r="G97" i="161" s="1"/>
  <c r="F93" i="161"/>
  <c r="F97" i="161" s="1"/>
  <c r="E93" i="161"/>
  <c r="E97" i="161" s="1"/>
  <c r="D93" i="161"/>
  <c r="D97" i="161" s="1"/>
  <c r="M92" i="161"/>
  <c r="I92" i="161"/>
  <c r="K92" i="161" s="1"/>
  <c r="M91" i="161"/>
  <c r="I91" i="161"/>
  <c r="K91" i="161" s="1"/>
  <c r="M90" i="161"/>
  <c r="I90" i="161"/>
  <c r="K90" i="161" s="1"/>
  <c r="M89" i="161"/>
  <c r="I89" i="161"/>
  <c r="K89" i="161" s="1"/>
  <c r="M88" i="161"/>
  <c r="I88" i="161"/>
  <c r="K88" i="161" s="1"/>
  <c r="M87" i="161"/>
  <c r="I87" i="161"/>
  <c r="K87" i="161" s="1"/>
  <c r="M86" i="161"/>
  <c r="I86" i="161"/>
  <c r="K86" i="161" s="1"/>
  <c r="M85" i="161"/>
  <c r="I85" i="161"/>
  <c r="K85" i="161" s="1"/>
  <c r="M84" i="161"/>
  <c r="I84" i="161"/>
  <c r="K84" i="161" s="1"/>
  <c r="M83" i="161"/>
  <c r="K83" i="161"/>
  <c r="I83" i="161"/>
  <c r="M82" i="161"/>
  <c r="I82" i="161"/>
  <c r="K82" i="161" s="1"/>
  <c r="M81" i="161"/>
  <c r="I81" i="161"/>
  <c r="K81" i="161" s="1"/>
  <c r="M80" i="161"/>
  <c r="I80" i="161"/>
  <c r="K80" i="161" s="1"/>
  <c r="C93" i="161"/>
  <c r="C97" i="161" s="1"/>
  <c r="M79" i="161"/>
  <c r="I79" i="161"/>
  <c r="K79" i="161" s="1"/>
  <c r="M78" i="161"/>
  <c r="I78" i="161"/>
  <c r="K78" i="161" s="1"/>
  <c r="M77" i="161"/>
  <c r="I77" i="161"/>
  <c r="K77" i="161" s="1"/>
  <c r="M76" i="161"/>
  <c r="I76" i="161"/>
  <c r="K76" i="161" s="1"/>
  <c r="M75" i="161"/>
  <c r="I75" i="161"/>
  <c r="K75" i="161" s="1"/>
  <c r="M74" i="161"/>
  <c r="I74" i="161"/>
  <c r="K74" i="161" s="1"/>
  <c r="M73" i="161"/>
  <c r="I73" i="161"/>
  <c r="K73" i="161" s="1"/>
  <c r="M72" i="161"/>
  <c r="I72" i="161"/>
  <c r="K72" i="161" s="1"/>
  <c r="M71" i="161"/>
  <c r="I71" i="161"/>
  <c r="K71" i="161" s="1"/>
  <c r="M70" i="161"/>
  <c r="I70" i="161"/>
  <c r="K70" i="161" s="1"/>
  <c r="M69" i="161"/>
  <c r="I69" i="161"/>
  <c r="K69" i="161" s="1"/>
  <c r="M68" i="161"/>
  <c r="I68" i="161"/>
  <c r="K68" i="161" s="1"/>
  <c r="M67" i="161"/>
  <c r="I67" i="161"/>
  <c r="K67" i="161" s="1"/>
  <c r="M66" i="161"/>
  <c r="I66" i="161"/>
  <c r="K66" i="161" s="1"/>
  <c r="M65" i="161"/>
  <c r="I65" i="161"/>
  <c r="K65" i="161" s="1"/>
  <c r="M64" i="161"/>
  <c r="I64" i="161"/>
  <c r="K64" i="161" s="1"/>
  <c r="M63" i="161"/>
  <c r="I63" i="161"/>
  <c r="K63" i="161" s="1"/>
  <c r="M62" i="161"/>
  <c r="I62" i="161"/>
  <c r="K62" i="161" s="1"/>
  <c r="M61" i="161"/>
  <c r="K61" i="161"/>
  <c r="I61" i="161"/>
  <c r="M60" i="161"/>
  <c r="I60" i="161"/>
  <c r="K60" i="161" s="1"/>
  <c r="M59" i="161"/>
  <c r="I59" i="161"/>
  <c r="K59" i="161" s="1"/>
  <c r="M58" i="161"/>
  <c r="I58" i="161"/>
  <c r="K58" i="161" s="1"/>
  <c r="M57" i="161"/>
  <c r="I57" i="161"/>
  <c r="K57" i="161" s="1"/>
  <c r="M56" i="161"/>
  <c r="I56" i="161"/>
  <c r="K56" i="161" s="1"/>
  <c r="M55" i="161"/>
  <c r="I55" i="161"/>
  <c r="K55" i="161" s="1"/>
  <c r="M54" i="161"/>
  <c r="I54" i="161"/>
  <c r="K54" i="161" s="1"/>
  <c r="M53" i="161"/>
  <c r="I53" i="161"/>
  <c r="K53" i="161" s="1"/>
  <c r="M52" i="161"/>
  <c r="I52" i="161"/>
  <c r="K52" i="161" s="1"/>
  <c r="M51" i="161"/>
  <c r="I51" i="161"/>
  <c r="K51" i="161" s="1"/>
  <c r="M50" i="161"/>
  <c r="I50" i="161"/>
  <c r="K50" i="161" s="1"/>
  <c r="M49" i="161"/>
  <c r="I49" i="161"/>
  <c r="K49" i="161" s="1"/>
  <c r="M48" i="161"/>
  <c r="I48" i="161"/>
  <c r="K48" i="161" s="1"/>
  <c r="M47" i="161"/>
  <c r="I47" i="161"/>
  <c r="K47" i="161" s="1"/>
  <c r="M46" i="161"/>
  <c r="I46" i="161"/>
  <c r="K46" i="161" s="1"/>
  <c r="M45" i="161"/>
  <c r="K45" i="161"/>
  <c r="I45" i="161"/>
  <c r="M44" i="161"/>
  <c r="I44" i="161"/>
  <c r="K44" i="161" s="1"/>
  <c r="M43" i="161"/>
  <c r="I43" i="161"/>
  <c r="K43" i="161" s="1"/>
  <c r="M42" i="161"/>
  <c r="I42" i="161"/>
  <c r="K42" i="161" s="1"/>
  <c r="M41" i="161"/>
  <c r="I41" i="161"/>
  <c r="K41" i="161" s="1"/>
  <c r="M40" i="161"/>
  <c r="I40" i="161"/>
  <c r="K40" i="161" s="1"/>
  <c r="M39" i="161"/>
  <c r="K39" i="161"/>
  <c r="I39" i="161"/>
  <c r="M38" i="161"/>
  <c r="I38" i="161"/>
  <c r="K38" i="161" s="1"/>
  <c r="M37" i="161"/>
  <c r="I37" i="161"/>
  <c r="K37" i="161" s="1"/>
  <c r="M36" i="161"/>
  <c r="I36" i="161"/>
  <c r="K36" i="161" s="1"/>
  <c r="M35" i="161"/>
  <c r="I35" i="161"/>
  <c r="K35" i="161" s="1"/>
  <c r="M34" i="161"/>
  <c r="I34" i="161"/>
  <c r="K34" i="161" s="1"/>
  <c r="M33" i="161"/>
  <c r="I33" i="161"/>
  <c r="K33" i="161" s="1"/>
  <c r="M32" i="161"/>
  <c r="I32" i="161"/>
  <c r="K32" i="161" s="1"/>
  <c r="M31" i="161"/>
  <c r="I31" i="161"/>
  <c r="K31" i="161" s="1"/>
  <c r="M30" i="161"/>
  <c r="I30" i="161"/>
  <c r="K30" i="161" s="1"/>
  <c r="M29" i="161"/>
  <c r="I29" i="161"/>
  <c r="K29" i="161" s="1"/>
  <c r="M28" i="161"/>
  <c r="I28" i="161"/>
  <c r="K28" i="161" s="1"/>
  <c r="M27" i="161"/>
  <c r="I27" i="161"/>
  <c r="K27" i="161" s="1"/>
  <c r="M26" i="161"/>
  <c r="I26" i="161"/>
  <c r="K26" i="161" s="1"/>
  <c r="M25" i="161"/>
  <c r="I25" i="161"/>
  <c r="K25" i="161" s="1"/>
  <c r="M24" i="161"/>
  <c r="I24" i="161"/>
  <c r="K24" i="161" s="1"/>
  <c r="M23" i="161"/>
  <c r="K23" i="161"/>
  <c r="I23" i="161"/>
  <c r="M22" i="161"/>
  <c r="I22" i="161"/>
  <c r="K22" i="161" s="1"/>
  <c r="M21" i="161"/>
  <c r="I21" i="161"/>
  <c r="K21" i="161" s="1"/>
  <c r="M20" i="161"/>
  <c r="I20" i="161"/>
  <c r="K20" i="161" s="1"/>
  <c r="M19" i="161"/>
  <c r="I19" i="161"/>
  <c r="K19" i="161" s="1"/>
  <c r="M18" i="161"/>
  <c r="I18" i="161"/>
  <c r="K18" i="161" s="1"/>
  <c r="M17" i="161"/>
  <c r="I17" i="161"/>
  <c r="K17" i="161" s="1"/>
  <c r="M16" i="161"/>
  <c r="I16" i="161"/>
  <c r="K16" i="161" s="1"/>
  <c r="M15" i="161"/>
  <c r="I15" i="161"/>
  <c r="K15" i="161" s="1"/>
  <c r="M14" i="161"/>
  <c r="I14" i="161"/>
  <c r="K14" i="161" s="1"/>
  <c r="M13" i="161"/>
  <c r="I13" i="161"/>
  <c r="K13" i="161" s="1"/>
  <c r="M12" i="161"/>
  <c r="I12" i="161"/>
  <c r="K12" i="161" s="1"/>
  <c r="M11" i="161"/>
  <c r="I11" i="161"/>
  <c r="K11" i="161" s="1"/>
  <c r="M10" i="161"/>
  <c r="I10" i="161"/>
  <c r="K10" i="161" s="1"/>
  <c r="M9" i="161"/>
  <c r="I9" i="161"/>
  <c r="K9" i="161" s="1"/>
  <c r="M8" i="161"/>
  <c r="I8" i="161"/>
  <c r="M7" i="161"/>
  <c r="K7" i="161"/>
  <c r="I7" i="161"/>
  <c r="M6" i="161"/>
  <c r="K6" i="161"/>
  <c r="I6" i="161"/>
  <c r="D94" i="111"/>
  <c r="E94" i="111"/>
  <c r="H94" i="104"/>
  <c r="I94" i="104"/>
  <c r="M93" i="161" l="1"/>
  <c r="I93" i="161"/>
  <c r="K8" i="161"/>
  <c r="L94" i="104"/>
  <c r="B88" i="136"/>
  <c r="M94" i="104" l="1"/>
  <c r="P6" i="109"/>
  <c r="AF8" i="82" l="1"/>
  <c r="AD8" i="82"/>
  <c r="AC6" i="115"/>
  <c r="T87" i="96"/>
  <c r="AI49" i="115"/>
  <c r="AI48" i="115"/>
  <c r="AI47" i="115"/>
  <c r="AI46" i="115"/>
  <c r="AI44" i="115" s="1"/>
  <c r="AI14" i="82"/>
  <c r="AG14" i="82"/>
  <c r="AE14" i="82"/>
  <c r="AC14" i="82"/>
  <c r="AH14" i="115"/>
  <c r="AF14" i="115"/>
  <c r="AD14" i="115"/>
  <c r="AB14" i="115"/>
  <c r="I89" i="105"/>
  <c r="C57" i="91"/>
  <c r="C58" i="91"/>
  <c r="C59" i="91"/>
  <c r="C60" i="91"/>
  <c r="C61" i="91"/>
  <c r="C62" i="91"/>
  <c r="C63" i="91"/>
  <c r="C64" i="91"/>
  <c r="G55" i="136"/>
  <c r="C65" i="91"/>
  <c r="C66" i="91"/>
  <c r="C67" i="91"/>
  <c r="C68" i="91"/>
  <c r="C69" i="91"/>
  <c r="C70" i="91"/>
  <c r="C71" i="91"/>
  <c r="C72" i="91"/>
  <c r="G63" i="136"/>
  <c r="C73" i="91"/>
  <c r="C74" i="91"/>
  <c r="C75" i="91"/>
  <c r="C76" i="91"/>
  <c r="C77" i="91"/>
  <c r="C78" i="91"/>
  <c r="C79" i="91"/>
  <c r="C80" i="91"/>
  <c r="G71" i="136"/>
  <c r="C81" i="91"/>
  <c r="C82" i="91"/>
  <c r="C83" i="91"/>
  <c r="C84" i="91"/>
  <c r="C85" i="91"/>
  <c r="C86" i="91"/>
  <c r="C87" i="91"/>
  <c r="C88" i="91"/>
  <c r="G79" i="136"/>
  <c r="C89" i="91"/>
  <c r="C90" i="91"/>
  <c r="C91" i="91"/>
  <c r="C92" i="91"/>
  <c r="C93" i="91"/>
  <c r="C94" i="91"/>
  <c r="C95" i="91"/>
  <c r="C96" i="91"/>
  <c r="I87" i="136"/>
  <c r="C56" i="91"/>
  <c r="C55" i="91"/>
  <c r="C47" i="91"/>
  <c r="C10" i="91"/>
  <c r="C11" i="91"/>
  <c r="C12" i="91"/>
  <c r="C13" i="91"/>
  <c r="C14" i="91"/>
  <c r="C15" i="91"/>
  <c r="C16" i="91"/>
  <c r="C17" i="91"/>
  <c r="C18" i="91"/>
  <c r="C19" i="91"/>
  <c r="C20" i="91"/>
  <c r="C21" i="91"/>
  <c r="C22" i="91"/>
  <c r="C23" i="91"/>
  <c r="C24" i="91"/>
  <c r="C25" i="91"/>
  <c r="G23" i="136"/>
  <c r="C26" i="91"/>
  <c r="C27" i="91"/>
  <c r="C28" i="91"/>
  <c r="C29" i="91"/>
  <c r="C30" i="91"/>
  <c r="C31" i="91"/>
  <c r="C32" i="91"/>
  <c r="C33" i="91"/>
  <c r="G31" i="136"/>
  <c r="C34" i="91"/>
  <c r="C35" i="91"/>
  <c r="C36" i="91"/>
  <c r="C37" i="91"/>
  <c r="C38" i="91"/>
  <c r="C39" i="91"/>
  <c r="C40" i="91"/>
  <c r="C41" i="91"/>
  <c r="G39" i="136"/>
  <c r="C42" i="91"/>
  <c r="C43" i="91"/>
  <c r="C44" i="91"/>
  <c r="C45" i="91"/>
  <c r="C46" i="91"/>
  <c r="C9" i="91"/>
  <c r="C8" i="91"/>
  <c r="AJ58" i="91"/>
  <c r="AJ65" i="91"/>
  <c r="AJ66" i="91"/>
  <c r="AJ68" i="91"/>
  <c r="AJ71" i="91"/>
  <c r="AJ74" i="91"/>
  <c r="AJ75" i="91"/>
  <c r="AJ79" i="91"/>
  <c r="AJ83" i="91"/>
  <c r="AJ84" i="91"/>
  <c r="AJ86" i="91"/>
  <c r="AJ88" i="91"/>
  <c r="AJ90" i="91"/>
  <c r="AJ91" i="91"/>
  <c r="AJ95" i="91"/>
  <c r="AJ96" i="91"/>
  <c r="Q86" i="136"/>
  <c r="AJ9" i="91"/>
  <c r="AJ15" i="91"/>
  <c r="AJ19" i="91"/>
  <c r="AJ22" i="91"/>
  <c r="AJ28" i="91"/>
  <c r="Q26" i="136"/>
  <c r="AJ29" i="91"/>
  <c r="AJ31" i="91"/>
  <c r="AJ32" i="91"/>
  <c r="AJ36" i="91"/>
  <c r="AJ37" i="91"/>
  <c r="AJ44" i="91"/>
  <c r="AJ46" i="91"/>
  <c r="AJ47" i="91"/>
  <c r="AH8" i="91"/>
  <c r="AJ8" i="91"/>
  <c r="Q6" i="136"/>
  <c r="D57" i="91"/>
  <c r="D58" i="91"/>
  <c r="D59" i="91"/>
  <c r="D60" i="91"/>
  <c r="D61" i="91"/>
  <c r="D62" i="91"/>
  <c r="D63" i="91"/>
  <c r="D64" i="91"/>
  <c r="D65" i="91"/>
  <c r="D66" i="91"/>
  <c r="D67" i="91"/>
  <c r="D68" i="91"/>
  <c r="D69" i="91"/>
  <c r="D70" i="91"/>
  <c r="D71" i="91"/>
  <c r="D72" i="91"/>
  <c r="D73" i="91"/>
  <c r="D74" i="91"/>
  <c r="D75" i="91"/>
  <c r="D76" i="91"/>
  <c r="D77" i="91"/>
  <c r="D78" i="91"/>
  <c r="D79" i="91"/>
  <c r="D80" i="91"/>
  <c r="D81" i="91"/>
  <c r="D82" i="91"/>
  <c r="D83" i="91"/>
  <c r="D84" i="91"/>
  <c r="D85" i="91"/>
  <c r="D86" i="91"/>
  <c r="D87" i="91"/>
  <c r="D88" i="91"/>
  <c r="D89" i="91"/>
  <c r="D90" i="91"/>
  <c r="D91" i="91"/>
  <c r="D92" i="91"/>
  <c r="D93" i="91"/>
  <c r="D94" i="91"/>
  <c r="D95" i="91"/>
  <c r="D96" i="91"/>
  <c r="AV96" i="91"/>
  <c r="D56" i="91"/>
  <c r="D55" i="91"/>
  <c r="D10" i="91"/>
  <c r="D11" i="91"/>
  <c r="D12" i="91"/>
  <c r="D13" i="91"/>
  <c r="D14" i="91"/>
  <c r="D15" i="91"/>
  <c r="D16" i="91"/>
  <c r="D17" i="91"/>
  <c r="D18" i="91"/>
  <c r="D19" i="91"/>
  <c r="D20" i="91"/>
  <c r="D21" i="91"/>
  <c r="D22" i="91"/>
  <c r="D23" i="91"/>
  <c r="D24" i="91"/>
  <c r="D25" i="91"/>
  <c r="D26" i="91"/>
  <c r="D27" i="91"/>
  <c r="D28" i="91"/>
  <c r="D29" i="91"/>
  <c r="D30" i="91"/>
  <c r="D31" i="91"/>
  <c r="D32" i="91"/>
  <c r="AV32" i="91"/>
  <c r="D33" i="91"/>
  <c r="D34" i="91"/>
  <c r="D35" i="91"/>
  <c r="D36" i="91"/>
  <c r="D37" i="91"/>
  <c r="D38" i="91"/>
  <c r="D39" i="91"/>
  <c r="D40" i="91"/>
  <c r="D41" i="91"/>
  <c r="D42" i="91"/>
  <c r="D43" i="91"/>
  <c r="D44" i="91"/>
  <c r="D45" i="91"/>
  <c r="D46" i="91"/>
  <c r="D47" i="91"/>
  <c r="D9" i="91"/>
  <c r="D8" i="91"/>
  <c r="P23" i="141"/>
  <c r="O87" i="109"/>
  <c r="N87" i="109"/>
  <c r="M87" i="109"/>
  <c r="L87" i="109"/>
  <c r="K87" i="109"/>
  <c r="J87" i="109"/>
  <c r="I87" i="109"/>
  <c r="H87" i="109"/>
  <c r="G87" i="109"/>
  <c r="F87" i="109"/>
  <c r="E87" i="109"/>
  <c r="D87" i="109"/>
  <c r="C87" i="109"/>
  <c r="P86" i="109"/>
  <c r="P85" i="109"/>
  <c r="P84" i="109"/>
  <c r="P83" i="109"/>
  <c r="P82" i="109"/>
  <c r="P81" i="109"/>
  <c r="P80" i="109"/>
  <c r="P79" i="109"/>
  <c r="P78" i="109"/>
  <c r="P77" i="109"/>
  <c r="P76" i="109"/>
  <c r="P75" i="109"/>
  <c r="P74" i="109"/>
  <c r="P73" i="109"/>
  <c r="P72" i="109"/>
  <c r="P71" i="109"/>
  <c r="P70" i="109"/>
  <c r="P69" i="109"/>
  <c r="P68" i="109"/>
  <c r="P67" i="109"/>
  <c r="P66" i="109"/>
  <c r="P65" i="109"/>
  <c r="P64" i="109"/>
  <c r="P63" i="109"/>
  <c r="P62" i="109"/>
  <c r="P61" i="109"/>
  <c r="P60" i="109"/>
  <c r="P59" i="109"/>
  <c r="P58" i="109"/>
  <c r="P57" i="109"/>
  <c r="P56" i="109"/>
  <c r="P55" i="109"/>
  <c r="P54" i="109"/>
  <c r="P53" i="109"/>
  <c r="P52" i="109"/>
  <c r="P51" i="109"/>
  <c r="P50" i="109"/>
  <c r="P49" i="109"/>
  <c r="P48" i="109"/>
  <c r="P47" i="109"/>
  <c r="P46" i="109"/>
  <c r="P45" i="109"/>
  <c r="P44" i="109"/>
  <c r="P43" i="109"/>
  <c r="P42" i="109"/>
  <c r="P41" i="109"/>
  <c r="P40" i="109"/>
  <c r="P39" i="109"/>
  <c r="P38" i="109"/>
  <c r="P37" i="109"/>
  <c r="P36" i="109"/>
  <c r="P35" i="109"/>
  <c r="P34" i="109"/>
  <c r="P33" i="109"/>
  <c r="P32" i="109"/>
  <c r="P31" i="109"/>
  <c r="P30" i="109"/>
  <c r="P29" i="109"/>
  <c r="P28" i="109"/>
  <c r="P27" i="109"/>
  <c r="P26" i="109"/>
  <c r="P25" i="109"/>
  <c r="P24" i="109"/>
  <c r="P23" i="109"/>
  <c r="P22" i="109"/>
  <c r="P21" i="109"/>
  <c r="P20" i="109"/>
  <c r="P19" i="109"/>
  <c r="P18" i="109"/>
  <c r="P17" i="109"/>
  <c r="P16" i="109"/>
  <c r="P15" i="109"/>
  <c r="P14" i="109"/>
  <c r="P13" i="109"/>
  <c r="P12" i="109"/>
  <c r="P11" i="109"/>
  <c r="P10" i="109"/>
  <c r="P9" i="109"/>
  <c r="P8" i="109"/>
  <c r="P7" i="109"/>
  <c r="O87" i="110"/>
  <c r="N87" i="110"/>
  <c r="M87" i="110"/>
  <c r="L87" i="110"/>
  <c r="K87" i="110"/>
  <c r="J87" i="110"/>
  <c r="I87" i="110"/>
  <c r="H87" i="110"/>
  <c r="G87" i="110"/>
  <c r="F87" i="110"/>
  <c r="E87" i="110"/>
  <c r="D87" i="110"/>
  <c r="C87" i="110"/>
  <c r="P86" i="110"/>
  <c r="P85" i="110"/>
  <c r="P84" i="110"/>
  <c r="P83" i="110"/>
  <c r="P82" i="110"/>
  <c r="P81" i="110"/>
  <c r="P80" i="110"/>
  <c r="P79" i="110"/>
  <c r="P78" i="110"/>
  <c r="P77" i="110"/>
  <c r="P76" i="110"/>
  <c r="P75" i="110"/>
  <c r="P74" i="110"/>
  <c r="P73" i="110"/>
  <c r="P72" i="110"/>
  <c r="P71" i="110"/>
  <c r="P70" i="110"/>
  <c r="P69" i="110"/>
  <c r="P68" i="110"/>
  <c r="P67" i="110"/>
  <c r="P66" i="110"/>
  <c r="P65" i="110"/>
  <c r="P64" i="110"/>
  <c r="P63" i="110"/>
  <c r="P62" i="110"/>
  <c r="P61" i="110"/>
  <c r="P60" i="110"/>
  <c r="P59" i="110"/>
  <c r="P58" i="110"/>
  <c r="P57" i="110"/>
  <c r="P56" i="110"/>
  <c r="P55" i="110"/>
  <c r="P54" i="110"/>
  <c r="P53" i="110"/>
  <c r="P52" i="110"/>
  <c r="P51" i="110"/>
  <c r="P50" i="110"/>
  <c r="P49" i="110"/>
  <c r="P48" i="110"/>
  <c r="P47" i="110"/>
  <c r="P46" i="110"/>
  <c r="P45" i="110"/>
  <c r="P44" i="110"/>
  <c r="P43" i="110"/>
  <c r="P42" i="110"/>
  <c r="P41" i="110"/>
  <c r="P40" i="110"/>
  <c r="P39" i="110"/>
  <c r="P38" i="110"/>
  <c r="P37" i="110"/>
  <c r="P36" i="110"/>
  <c r="P35" i="110"/>
  <c r="P34" i="110"/>
  <c r="P33" i="110"/>
  <c r="P32" i="110"/>
  <c r="P31" i="110"/>
  <c r="P30" i="110"/>
  <c r="P29" i="110"/>
  <c r="P28" i="110"/>
  <c r="P27" i="110"/>
  <c r="P26" i="110"/>
  <c r="P25" i="110"/>
  <c r="P24" i="110"/>
  <c r="P23" i="110"/>
  <c r="P22" i="110"/>
  <c r="P21" i="110"/>
  <c r="P20" i="110"/>
  <c r="P19" i="110"/>
  <c r="P18" i="110"/>
  <c r="P17" i="110"/>
  <c r="P16" i="110"/>
  <c r="P15" i="110"/>
  <c r="P14" i="110"/>
  <c r="P13" i="110"/>
  <c r="P12" i="110"/>
  <c r="P11" i="110"/>
  <c r="P10" i="110"/>
  <c r="P9" i="110"/>
  <c r="P8" i="110"/>
  <c r="P7" i="110"/>
  <c r="P6" i="110"/>
  <c r="O94" i="111"/>
  <c r="N94" i="111"/>
  <c r="M94" i="111"/>
  <c r="L94" i="111"/>
  <c r="J94" i="111"/>
  <c r="I94" i="111"/>
  <c r="G94" i="111"/>
  <c r="F94" i="111"/>
  <c r="C94" i="111"/>
  <c r="P93" i="111"/>
  <c r="P92" i="111"/>
  <c r="P91" i="111"/>
  <c r="P90" i="111"/>
  <c r="P89" i="111"/>
  <c r="P88" i="111"/>
  <c r="P87" i="111"/>
  <c r="P86" i="111"/>
  <c r="P85" i="111"/>
  <c r="P84" i="111"/>
  <c r="P83" i="111"/>
  <c r="P82" i="111"/>
  <c r="P81" i="111"/>
  <c r="P80" i="111"/>
  <c r="P79" i="111"/>
  <c r="P78" i="111"/>
  <c r="P76" i="111"/>
  <c r="P75" i="111"/>
  <c r="P74" i="111"/>
  <c r="P73" i="111"/>
  <c r="P72" i="111"/>
  <c r="P71" i="111"/>
  <c r="P70" i="111"/>
  <c r="P69" i="111"/>
  <c r="P68" i="111"/>
  <c r="P67" i="111"/>
  <c r="P66" i="111"/>
  <c r="P65" i="111"/>
  <c r="P64" i="111"/>
  <c r="P63" i="111"/>
  <c r="P62" i="111"/>
  <c r="P61" i="111"/>
  <c r="P60" i="111"/>
  <c r="P59" i="111"/>
  <c r="P58" i="111"/>
  <c r="P57" i="111"/>
  <c r="P56" i="111"/>
  <c r="P55" i="111"/>
  <c r="P54" i="111"/>
  <c r="P53" i="111"/>
  <c r="P52" i="111"/>
  <c r="P51" i="111"/>
  <c r="P50" i="111"/>
  <c r="P49" i="111"/>
  <c r="P48" i="111"/>
  <c r="P47" i="111"/>
  <c r="P46" i="111"/>
  <c r="P45" i="111"/>
  <c r="P44" i="111"/>
  <c r="P43" i="111"/>
  <c r="P42" i="111"/>
  <c r="P41" i="111"/>
  <c r="P40" i="111"/>
  <c r="P39" i="111"/>
  <c r="P38" i="111"/>
  <c r="P37" i="111"/>
  <c r="P36" i="111"/>
  <c r="P35" i="111"/>
  <c r="P34" i="111"/>
  <c r="P33" i="111"/>
  <c r="P32" i="111"/>
  <c r="P31" i="111"/>
  <c r="P30" i="111"/>
  <c r="P29" i="111"/>
  <c r="P28" i="111"/>
  <c r="P27" i="111"/>
  <c r="P26" i="111"/>
  <c r="P25" i="111"/>
  <c r="P24" i="111"/>
  <c r="P23" i="111"/>
  <c r="P22" i="111"/>
  <c r="P21" i="111"/>
  <c r="P20" i="111"/>
  <c r="P19" i="111"/>
  <c r="P18" i="111"/>
  <c r="P17" i="111"/>
  <c r="P16" i="111"/>
  <c r="P15" i="111"/>
  <c r="P14" i="111"/>
  <c r="P13" i="111"/>
  <c r="P12" i="111"/>
  <c r="P11" i="111"/>
  <c r="P10" i="111"/>
  <c r="P9" i="111"/>
  <c r="P8" i="111"/>
  <c r="P7" i="111"/>
  <c r="O95" i="112"/>
  <c r="N95" i="112"/>
  <c r="M95" i="112"/>
  <c r="L95" i="112"/>
  <c r="K95" i="112"/>
  <c r="J95" i="112"/>
  <c r="I95" i="112"/>
  <c r="H95" i="112"/>
  <c r="G95" i="112"/>
  <c r="F95" i="112"/>
  <c r="E95" i="112"/>
  <c r="D95" i="112"/>
  <c r="C95" i="112"/>
  <c r="P94" i="112"/>
  <c r="P93" i="112"/>
  <c r="P92" i="112"/>
  <c r="P91" i="112"/>
  <c r="P90" i="112"/>
  <c r="P89" i="112"/>
  <c r="P88" i="112"/>
  <c r="P87" i="112"/>
  <c r="P86" i="112"/>
  <c r="P85" i="112"/>
  <c r="P84" i="112"/>
  <c r="P83" i="112"/>
  <c r="P82" i="112"/>
  <c r="P81" i="112"/>
  <c r="P80" i="112"/>
  <c r="P79" i="112"/>
  <c r="P78" i="112"/>
  <c r="P77" i="112"/>
  <c r="P76" i="112"/>
  <c r="P75" i="112"/>
  <c r="P74" i="112"/>
  <c r="P73" i="112"/>
  <c r="P72" i="112"/>
  <c r="P71" i="112"/>
  <c r="P70" i="112"/>
  <c r="P69" i="112"/>
  <c r="P68" i="112"/>
  <c r="P67" i="112"/>
  <c r="P66" i="112"/>
  <c r="P65" i="112"/>
  <c r="P64" i="112"/>
  <c r="P63" i="112"/>
  <c r="P62" i="112"/>
  <c r="P61" i="112"/>
  <c r="P60" i="112"/>
  <c r="P59" i="112"/>
  <c r="P58" i="112"/>
  <c r="P57" i="112"/>
  <c r="P56" i="112"/>
  <c r="P55" i="112"/>
  <c r="P54" i="112"/>
  <c r="P53" i="112"/>
  <c r="P52" i="112"/>
  <c r="P51" i="112"/>
  <c r="P50" i="112"/>
  <c r="P49" i="112"/>
  <c r="P48" i="112"/>
  <c r="P47" i="112"/>
  <c r="P46" i="112"/>
  <c r="P45" i="112"/>
  <c r="P44" i="112"/>
  <c r="P43" i="112"/>
  <c r="P42" i="112"/>
  <c r="P41" i="112"/>
  <c r="P40" i="112"/>
  <c r="P39" i="112"/>
  <c r="P38" i="112"/>
  <c r="P37" i="112"/>
  <c r="P36" i="112"/>
  <c r="P35" i="112"/>
  <c r="P34" i="112"/>
  <c r="P33" i="112"/>
  <c r="P32" i="112"/>
  <c r="P31" i="112"/>
  <c r="P30" i="112"/>
  <c r="P29" i="112"/>
  <c r="P28" i="112"/>
  <c r="P27" i="112"/>
  <c r="P26" i="112"/>
  <c r="P25" i="112"/>
  <c r="P24" i="112"/>
  <c r="P23" i="112"/>
  <c r="P22" i="112"/>
  <c r="P21" i="112"/>
  <c r="P20" i="112"/>
  <c r="P19" i="112"/>
  <c r="P18" i="112"/>
  <c r="P17" i="112"/>
  <c r="P16" i="112"/>
  <c r="P15" i="112"/>
  <c r="P14" i="112"/>
  <c r="P13" i="112"/>
  <c r="P12" i="112"/>
  <c r="P11" i="112"/>
  <c r="P10" i="112"/>
  <c r="P9" i="112"/>
  <c r="P8" i="112"/>
  <c r="P7" i="112"/>
  <c r="P95" i="112" s="1"/>
  <c r="M89" i="105"/>
  <c r="L89" i="105"/>
  <c r="K89" i="105"/>
  <c r="J89" i="105"/>
  <c r="H89" i="105"/>
  <c r="F89" i="105"/>
  <c r="E89" i="105"/>
  <c r="D89" i="105"/>
  <c r="C89" i="105"/>
  <c r="N88" i="105"/>
  <c r="G88" i="105"/>
  <c r="N87" i="105"/>
  <c r="G87" i="105"/>
  <c r="N86" i="105"/>
  <c r="G86" i="105"/>
  <c r="N85" i="105"/>
  <c r="G85" i="105"/>
  <c r="N84" i="105"/>
  <c r="G84" i="105"/>
  <c r="N83" i="105"/>
  <c r="G83" i="105"/>
  <c r="N82" i="105"/>
  <c r="G82" i="105"/>
  <c r="N81" i="105"/>
  <c r="G81" i="105"/>
  <c r="N80" i="105"/>
  <c r="G80" i="105"/>
  <c r="N79" i="105"/>
  <c r="G79" i="105"/>
  <c r="N78" i="105"/>
  <c r="G78" i="105"/>
  <c r="N77" i="105"/>
  <c r="G77" i="105"/>
  <c r="N76" i="105"/>
  <c r="G76" i="105"/>
  <c r="N75" i="105"/>
  <c r="G75" i="105"/>
  <c r="N74" i="105"/>
  <c r="G74" i="105"/>
  <c r="N73" i="105"/>
  <c r="G73" i="105"/>
  <c r="N72" i="105"/>
  <c r="G72" i="105"/>
  <c r="N71" i="105"/>
  <c r="G71" i="105"/>
  <c r="N70" i="105"/>
  <c r="G70" i="105"/>
  <c r="N69" i="105"/>
  <c r="G69" i="105"/>
  <c r="N68" i="105"/>
  <c r="G68" i="105"/>
  <c r="N67" i="105"/>
  <c r="G67" i="105"/>
  <c r="N66" i="105"/>
  <c r="G66" i="105"/>
  <c r="N65" i="105"/>
  <c r="G65" i="105"/>
  <c r="N64" i="105"/>
  <c r="G64" i="105"/>
  <c r="N63" i="105"/>
  <c r="G63" i="105"/>
  <c r="N62" i="105"/>
  <c r="G62" i="105"/>
  <c r="N61" i="105"/>
  <c r="G61" i="105"/>
  <c r="N60" i="105"/>
  <c r="G60" i="105"/>
  <c r="N59" i="105"/>
  <c r="G59" i="105"/>
  <c r="N58" i="105"/>
  <c r="G58" i="105"/>
  <c r="N57" i="105"/>
  <c r="G57" i="105"/>
  <c r="N56" i="105"/>
  <c r="G56" i="105"/>
  <c r="N55" i="105"/>
  <c r="G55" i="105"/>
  <c r="N54" i="105"/>
  <c r="G54" i="105"/>
  <c r="N53" i="105"/>
  <c r="G53" i="105"/>
  <c r="N52" i="105"/>
  <c r="G52" i="105"/>
  <c r="N51" i="105"/>
  <c r="G51" i="105"/>
  <c r="N50" i="105"/>
  <c r="G50" i="105"/>
  <c r="N49" i="105"/>
  <c r="G49" i="105"/>
  <c r="N48" i="105"/>
  <c r="G48" i="105"/>
  <c r="N47" i="105"/>
  <c r="G47" i="105"/>
  <c r="N46" i="105"/>
  <c r="G46" i="105"/>
  <c r="N45" i="105"/>
  <c r="G45" i="105"/>
  <c r="N44" i="105"/>
  <c r="G44" i="105"/>
  <c r="N43" i="105"/>
  <c r="G43" i="105"/>
  <c r="N42" i="105"/>
  <c r="G42" i="105"/>
  <c r="N41" i="105"/>
  <c r="G41" i="105"/>
  <c r="N40" i="105"/>
  <c r="G40" i="105"/>
  <c r="N39" i="105"/>
  <c r="G39" i="105"/>
  <c r="N38" i="105"/>
  <c r="G38" i="105"/>
  <c r="N37" i="105"/>
  <c r="G37" i="105"/>
  <c r="N36" i="105"/>
  <c r="G36" i="105"/>
  <c r="N35" i="105"/>
  <c r="G35" i="105"/>
  <c r="N34" i="105"/>
  <c r="G34" i="105"/>
  <c r="N33" i="105"/>
  <c r="G33" i="105"/>
  <c r="N32" i="105"/>
  <c r="G32" i="105"/>
  <c r="N31" i="105"/>
  <c r="G31" i="105"/>
  <c r="N30" i="105"/>
  <c r="G30" i="105"/>
  <c r="N29" i="105"/>
  <c r="G29" i="105"/>
  <c r="N28" i="105"/>
  <c r="G28" i="105"/>
  <c r="N27" i="105"/>
  <c r="G27" i="105"/>
  <c r="N26" i="105"/>
  <c r="G26" i="105"/>
  <c r="N25" i="105"/>
  <c r="G25" i="105"/>
  <c r="N24" i="105"/>
  <c r="G24" i="105"/>
  <c r="N23" i="105"/>
  <c r="G23" i="105"/>
  <c r="N22" i="105"/>
  <c r="G22" i="105"/>
  <c r="N21" i="105"/>
  <c r="G21" i="105"/>
  <c r="N20" i="105"/>
  <c r="G20" i="105"/>
  <c r="N19" i="105"/>
  <c r="G19" i="105"/>
  <c r="N18" i="105"/>
  <c r="G18" i="105"/>
  <c r="N17" i="105"/>
  <c r="G17" i="105"/>
  <c r="N16" i="105"/>
  <c r="G16" i="105"/>
  <c r="N15" i="105"/>
  <c r="G15" i="105"/>
  <c r="N14" i="105"/>
  <c r="G14" i="105"/>
  <c r="N13" i="105"/>
  <c r="G13" i="105"/>
  <c r="N12" i="105"/>
  <c r="G12" i="105"/>
  <c r="N11" i="105"/>
  <c r="G11" i="105"/>
  <c r="N10" i="105"/>
  <c r="G10" i="105"/>
  <c r="N9" i="105"/>
  <c r="G9" i="105"/>
  <c r="A9" i="105"/>
  <c r="A10" i="105" s="1"/>
  <c r="A11" i="105" s="1"/>
  <c r="A12" i="105" s="1"/>
  <c r="A13" i="105" s="1"/>
  <c r="A14" i="105" s="1"/>
  <c r="A15" i="105" s="1"/>
  <c r="A16" i="105" s="1"/>
  <c r="A17" i="105" s="1"/>
  <c r="A18" i="105" s="1"/>
  <c r="A19" i="105" s="1"/>
  <c r="A20" i="105" s="1"/>
  <c r="A21" i="105" s="1"/>
  <c r="A22" i="105" s="1"/>
  <c r="A23" i="105" s="1"/>
  <c r="A24" i="105" s="1"/>
  <c r="A25" i="105" s="1"/>
  <c r="A26" i="105" s="1"/>
  <c r="A27" i="105" s="1"/>
  <c r="A28" i="105" s="1"/>
  <c r="A29" i="105" s="1"/>
  <c r="A30" i="105" s="1"/>
  <c r="A31" i="105" s="1"/>
  <c r="A32" i="105" s="1"/>
  <c r="A33" i="105" s="1"/>
  <c r="A34" i="105" s="1"/>
  <c r="A35" i="105" s="1"/>
  <c r="A36" i="105" s="1"/>
  <c r="A37" i="105" s="1"/>
  <c r="A38" i="105" s="1"/>
  <c r="A39" i="105" s="1"/>
  <c r="A40" i="105" s="1"/>
  <c r="A41" i="105" s="1"/>
  <c r="A42" i="105" s="1"/>
  <c r="A43" i="105" s="1"/>
  <c r="A44" i="105" s="1"/>
  <c r="A45" i="105" s="1"/>
  <c r="A46" i="105" s="1"/>
  <c r="A47" i="105" s="1"/>
  <c r="A48" i="105" s="1"/>
  <c r="A49" i="105" s="1"/>
  <c r="A50" i="105" s="1"/>
  <c r="A51" i="105" s="1"/>
  <c r="A52" i="105" s="1"/>
  <c r="A53" i="105" s="1"/>
  <c r="A54" i="105" s="1"/>
  <c r="A55" i="105" s="1"/>
  <c r="A56" i="105" s="1"/>
  <c r="A57" i="105" s="1"/>
  <c r="A58" i="105" s="1"/>
  <c r="A59" i="105" s="1"/>
  <c r="A60" i="105" s="1"/>
  <c r="A61" i="105" s="1"/>
  <c r="A62" i="105" s="1"/>
  <c r="A63" i="105" s="1"/>
  <c r="A64" i="105" s="1"/>
  <c r="A65" i="105" s="1"/>
  <c r="A66" i="105" s="1"/>
  <c r="A67" i="105" s="1"/>
  <c r="A68" i="105" s="1"/>
  <c r="A69" i="105" s="1"/>
  <c r="A70" i="105" s="1"/>
  <c r="A71" i="105" s="1"/>
  <c r="A72" i="105" s="1"/>
  <c r="A73" i="105" s="1"/>
  <c r="A74" i="105" s="1"/>
  <c r="A75" i="105" s="1"/>
  <c r="A76" i="105" s="1"/>
  <c r="A77" i="105" s="1"/>
  <c r="A78" i="105" s="1"/>
  <c r="A79" i="105" s="1"/>
  <c r="A80" i="105" s="1"/>
  <c r="A81" i="105" s="1"/>
  <c r="A82" i="105" s="1"/>
  <c r="A83" i="105" s="1"/>
  <c r="A84" i="105" s="1"/>
  <c r="A85" i="105" s="1"/>
  <c r="A86" i="105" s="1"/>
  <c r="A87" i="105" s="1"/>
  <c r="A88" i="105" s="1"/>
  <c r="N8" i="105"/>
  <c r="N89" i="105" s="1"/>
  <c r="G8" i="105"/>
  <c r="G89" i="105" s="1"/>
  <c r="K94" i="104"/>
  <c r="J94" i="104"/>
  <c r="F94" i="104"/>
  <c r="E94" i="104"/>
  <c r="D94" i="104"/>
  <c r="C94" i="104"/>
  <c r="N93" i="104"/>
  <c r="G93" i="104"/>
  <c r="N92" i="104"/>
  <c r="G92" i="104"/>
  <c r="N91" i="104"/>
  <c r="G91" i="104"/>
  <c r="N90" i="104"/>
  <c r="G90" i="104"/>
  <c r="N89" i="104"/>
  <c r="G89" i="104"/>
  <c r="N88" i="104"/>
  <c r="G88" i="104"/>
  <c r="N87" i="104"/>
  <c r="G87" i="104"/>
  <c r="N86" i="104"/>
  <c r="G86" i="104"/>
  <c r="N85" i="104"/>
  <c r="G85" i="104"/>
  <c r="N84" i="104"/>
  <c r="G84" i="104"/>
  <c r="N83" i="104"/>
  <c r="G83" i="104"/>
  <c r="N82" i="104"/>
  <c r="G82" i="104"/>
  <c r="N81" i="104"/>
  <c r="G81" i="104"/>
  <c r="N80" i="104"/>
  <c r="G80" i="104"/>
  <c r="N79" i="104"/>
  <c r="G79" i="104"/>
  <c r="N78" i="104"/>
  <c r="G78" i="104"/>
  <c r="N77" i="104"/>
  <c r="G77" i="104"/>
  <c r="N76" i="104"/>
  <c r="G76" i="104"/>
  <c r="N75" i="104"/>
  <c r="G75" i="104"/>
  <c r="N74" i="104"/>
  <c r="G74" i="104"/>
  <c r="N73" i="104"/>
  <c r="G73" i="104"/>
  <c r="N72" i="104"/>
  <c r="G72" i="104"/>
  <c r="N71" i="104"/>
  <c r="G71" i="104"/>
  <c r="N70" i="104"/>
  <c r="G70" i="104"/>
  <c r="N69" i="104"/>
  <c r="G69" i="104"/>
  <c r="N68" i="104"/>
  <c r="G68" i="104"/>
  <c r="N67" i="104"/>
  <c r="G67" i="104"/>
  <c r="N66" i="104"/>
  <c r="G66" i="104"/>
  <c r="N65" i="104"/>
  <c r="G65" i="104"/>
  <c r="N64" i="104"/>
  <c r="G64" i="104"/>
  <c r="N63" i="104"/>
  <c r="G63" i="104"/>
  <c r="N62" i="104"/>
  <c r="G62" i="104"/>
  <c r="N61" i="104"/>
  <c r="G61" i="104"/>
  <c r="N60" i="104"/>
  <c r="G60" i="104"/>
  <c r="N59" i="104"/>
  <c r="G59" i="104"/>
  <c r="N58" i="104"/>
  <c r="G58" i="104"/>
  <c r="N57" i="104"/>
  <c r="G57" i="104"/>
  <c r="N56" i="104"/>
  <c r="G56" i="104"/>
  <c r="N55" i="104"/>
  <c r="G55" i="104"/>
  <c r="N54" i="104"/>
  <c r="G54" i="104"/>
  <c r="N53" i="104"/>
  <c r="G53" i="104"/>
  <c r="N52" i="104"/>
  <c r="G52" i="104"/>
  <c r="N51" i="104"/>
  <c r="G51" i="104"/>
  <c r="N50" i="104"/>
  <c r="G50" i="104"/>
  <c r="N49" i="104"/>
  <c r="G49" i="104"/>
  <c r="N48" i="104"/>
  <c r="G48" i="104"/>
  <c r="N47" i="104"/>
  <c r="G47" i="104"/>
  <c r="N46" i="104"/>
  <c r="G46" i="104"/>
  <c r="N45" i="104"/>
  <c r="G45" i="104"/>
  <c r="N44" i="104"/>
  <c r="G44" i="104"/>
  <c r="N43" i="104"/>
  <c r="G43" i="104"/>
  <c r="N42" i="104"/>
  <c r="G42" i="104"/>
  <c r="N41" i="104"/>
  <c r="G41" i="104"/>
  <c r="N40" i="104"/>
  <c r="G40" i="104"/>
  <c r="N39" i="104"/>
  <c r="G39" i="104"/>
  <c r="N38" i="104"/>
  <c r="G38" i="104"/>
  <c r="N37" i="104"/>
  <c r="G37" i="104"/>
  <c r="N36" i="104"/>
  <c r="G36" i="104"/>
  <c r="N35" i="104"/>
  <c r="G35" i="104"/>
  <c r="N34" i="104"/>
  <c r="G34" i="104"/>
  <c r="N33" i="104"/>
  <c r="G33" i="104"/>
  <c r="N32" i="104"/>
  <c r="G32" i="104"/>
  <c r="N31" i="104"/>
  <c r="G31" i="104"/>
  <c r="N30" i="104"/>
  <c r="G30" i="104"/>
  <c r="N29" i="104"/>
  <c r="G29" i="104"/>
  <c r="N28" i="104"/>
  <c r="G28" i="104"/>
  <c r="N27" i="104"/>
  <c r="G27" i="104"/>
  <c r="N26" i="104"/>
  <c r="G26" i="104"/>
  <c r="N25" i="104"/>
  <c r="G25" i="104"/>
  <c r="N24" i="104"/>
  <c r="G24" i="104"/>
  <c r="N23" i="104"/>
  <c r="G23" i="104"/>
  <c r="N22" i="104"/>
  <c r="G22" i="104"/>
  <c r="N21" i="104"/>
  <c r="G21" i="104"/>
  <c r="N20" i="104"/>
  <c r="G20" i="104"/>
  <c r="N19" i="104"/>
  <c r="G19" i="104"/>
  <c r="N18" i="104"/>
  <c r="G18" i="104"/>
  <c r="N17" i="104"/>
  <c r="G17" i="104"/>
  <c r="N16" i="104"/>
  <c r="G16" i="104"/>
  <c r="N15" i="104"/>
  <c r="G15" i="104"/>
  <c r="N14" i="104"/>
  <c r="G14" i="104"/>
  <c r="N13" i="104"/>
  <c r="G13" i="104"/>
  <c r="N12" i="104"/>
  <c r="G12" i="104"/>
  <c r="N11" i="104"/>
  <c r="G11" i="104"/>
  <c r="N10" i="104"/>
  <c r="G10" i="104"/>
  <c r="N9" i="104"/>
  <c r="G9" i="104"/>
  <c r="N8" i="104"/>
  <c r="G8" i="104"/>
  <c r="N7" i="104"/>
  <c r="G7" i="104"/>
  <c r="N6" i="104"/>
  <c r="G6" i="104"/>
  <c r="W91" i="160"/>
  <c r="V91" i="160"/>
  <c r="T91" i="160"/>
  <c r="Q91" i="160"/>
  <c r="S91" i="160"/>
  <c r="N91" i="160"/>
  <c r="M91" i="160"/>
  <c r="K91" i="160"/>
  <c r="J91" i="160"/>
  <c r="H91" i="160"/>
  <c r="G91" i="160"/>
  <c r="U90" i="160"/>
  <c r="R90" i="160"/>
  <c r="Q90" i="160"/>
  <c r="P90" i="160"/>
  <c r="O90" i="160"/>
  <c r="U89" i="160"/>
  <c r="R89" i="160"/>
  <c r="Q89" i="160"/>
  <c r="P89" i="160"/>
  <c r="O89" i="160"/>
  <c r="L89" i="160"/>
  <c r="I89" i="160"/>
  <c r="F89" i="160"/>
  <c r="C89" i="160"/>
  <c r="E89" i="160"/>
  <c r="D89" i="160"/>
  <c r="U88" i="160"/>
  <c r="R88" i="160"/>
  <c r="Q88" i="160"/>
  <c r="O88" i="160"/>
  <c r="P88" i="160"/>
  <c r="L88" i="160"/>
  <c r="I88" i="160"/>
  <c r="F88" i="160"/>
  <c r="E88" i="160"/>
  <c r="D88" i="160"/>
  <c r="C88" i="160"/>
  <c r="U87" i="160"/>
  <c r="R87" i="160"/>
  <c r="Q87" i="160"/>
  <c r="P87" i="160"/>
  <c r="O87" i="160"/>
  <c r="L87" i="160"/>
  <c r="I87" i="160"/>
  <c r="C87" i="160"/>
  <c r="F87" i="160"/>
  <c r="E87" i="160"/>
  <c r="D87" i="160"/>
  <c r="U86" i="160"/>
  <c r="R86" i="160"/>
  <c r="Q86" i="160"/>
  <c r="P86" i="160"/>
  <c r="O86" i="160"/>
  <c r="L86" i="160"/>
  <c r="I86" i="160"/>
  <c r="F86" i="160"/>
  <c r="E86" i="160"/>
  <c r="D86" i="160"/>
  <c r="C86" i="160"/>
  <c r="U85" i="160"/>
  <c r="R85" i="160"/>
  <c r="Q85" i="160"/>
  <c r="O85" i="160"/>
  <c r="P85" i="160"/>
  <c r="L85" i="160"/>
  <c r="I85" i="160"/>
  <c r="C85" i="160"/>
  <c r="F85" i="160"/>
  <c r="E85" i="160"/>
  <c r="D85" i="160"/>
  <c r="U84" i="160"/>
  <c r="R84" i="160"/>
  <c r="Q84" i="160"/>
  <c r="P84" i="160"/>
  <c r="O84" i="160"/>
  <c r="L84" i="160"/>
  <c r="I84" i="160"/>
  <c r="F84" i="160"/>
  <c r="C84" i="160"/>
  <c r="E84" i="160"/>
  <c r="D84" i="160"/>
  <c r="U83" i="160"/>
  <c r="R83" i="160"/>
  <c r="Q83" i="160"/>
  <c r="P83" i="160"/>
  <c r="O83" i="160"/>
  <c r="L83" i="160"/>
  <c r="I83" i="160"/>
  <c r="C83" i="160"/>
  <c r="F83" i="160"/>
  <c r="E83" i="160"/>
  <c r="D83" i="160"/>
  <c r="U82" i="160"/>
  <c r="R82" i="160"/>
  <c r="Q82" i="160"/>
  <c r="P82" i="160"/>
  <c r="O82" i="160"/>
  <c r="L82" i="160"/>
  <c r="I82" i="160"/>
  <c r="C82" i="160"/>
  <c r="F82" i="160"/>
  <c r="E82" i="160"/>
  <c r="D82" i="160"/>
  <c r="U81" i="160"/>
  <c r="R81" i="160"/>
  <c r="Q81" i="160"/>
  <c r="P81" i="160"/>
  <c r="O81" i="160"/>
  <c r="L81" i="160"/>
  <c r="I81" i="160"/>
  <c r="F81" i="160"/>
  <c r="C81" i="160"/>
  <c r="E81" i="160"/>
  <c r="D81" i="160"/>
  <c r="U80" i="160"/>
  <c r="R80" i="160"/>
  <c r="Q80" i="160"/>
  <c r="O80" i="160"/>
  <c r="P80" i="160"/>
  <c r="L80" i="160"/>
  <c r="I80" i="160"/>
  <c r="F80" i="160"/>
  <c r="E80" i="160"/>
  <c r="D80" i="160"/>
  <c r="C80" i="160"/>
  <c r="U79" i="160"/>
  <c r="R79" i="160"/>
  <c r="Q79" i="160"/>
  <c r="P79" i="160"/>
  <c r="O79" i="160"/>
  <c r="L79" i="160"/>
  <c r="I79" i="160"/>
  <c r="C79" i="160"/>
  <c r="F79" i="160"/>
  <c r="E79" i="160"/>
  <c r="D79" i="160"/>
  <c r="U78" i="160"/>
  <c r="R78" i="160"/>
  <c r="Q78" i="160"/>
  <c r="P78" i="160"/>
  <c r="O78" i="160"/>
  <c r="L78" i="160"/>
  <c r="I78" i="160"/>
  <c r="F78" i="160"/>
  <c r="E78" i="160"/>
  <c r="D78" i="160"/>
  <c r="C78" i="160"/>
  <c r="U77" i="160"/>
  <c r="R77" i="160"/>
  <c r="Q77" i="160"/>
  <c r="P77" i="160"/>
  <c r="O77" i="160"/>
  <c r="L77" i="160"/>
  <c r="I77" i="160"/>
  <c r="C77" i="160"/>
  <c r="F77" i="160"/>
  <c r="E77" i="160"/>
  <c r="D77" i="160"/>
  <c r="U76" i="160"/>
  <c r="R76" i="160"/>
  <c r="Q76" i="160"/>
  <c r="P76" i="160"/>
  <c r="O76" i="160"/>
  <c r="L76" i="160"/>
  <c r="I76" i="160"/>
  <c r="C76" i="160"/>
  <c r="F76" i="160"/>
  <c r="E76" i="160"/>
  <c r="D76" i="160"/>
  <c r="U75" i="160"/>
  <c r="R75" i="160"/>
  <c r="Q75" i="160"/>
  <c r="P75" i="160"/>
  <c r="O75" i="160"/>
  <c r="L75" i="160"/>
  <c r="I75" i="160"/>
  <c r="C75" i="160"/>
  <c r="F75" i="160"/>
  <c r="E75" i="160"/>
  <c r="D75" i="160"/>
  <c r="U74" i="160"/>
  <c r="R74" i="160"/>
  <c r="Q74" i="160"/>
  <c r="P74" i="160"/>
  <c r="O74" i="160"/>
  <c r="L74" i="160"/>
  <c r="I74" i="160"/>
  <c r="C74" i="160"/>
  <c r="F74" i="160"/>
  <c r="E74" i="160"/>
  <c r="D74" i="160"/>
  <c r="U73" i="160"/>
  <c r="R73" i="160"/>
  <c r="Q73" i="160"/>
  <c r="P73" i="160"/>
  <c r="O73" i="160"/>
  <c r="L73" i="160"/>
  <c r="I73" i="160"/>
  <c r="F73" i="160"/>
  <c r="C73" i="160"/>
  <c r="E73" i="160"/>
  <c r="D73" i="160"/>
  <c r="U72" i="160"/>
  <c r="R72" i="160"/>
  <c r="Q72" i="160"/>
  <c r="O72" i="160"/>
  <c r="P72" i="160"/>
  <c r="L72" i="160"/>
  <c r="I72" i="160"/>
  <c r="F72" i="160"/>
  <c r="E72" i="160"/>
  <c r="D72" i="160"/>
  <c r="C72" i="160"/>
  <c r="U71" i="160"/>
  <c r="R71" i="160"/>
  <c r="Q71" i="160"/>
  <c r="P71" i="160"/>
  <c r="O71" i="160"/>
  <c r="L71" i="160"/>
  <c r="I71" i="160"/>
  <c r="C71" i="160"/>
  <c r="F71" i="160"/>
  <c r="E71" i="160"/>
  <c r="D71" i="160"/>
  <c r="U70" i="160"/>
  <c r="R70" i="160"/>
  <c r="Q70" i="160"/>
  <c r="P70" i="160"/>
  <c r="O70" i="160"/>
  <c r="L70" i="160"/>
  <c r="I70" i="160"/>
  <c r="F70" i="160"/>
  <c r="E70" i="160"/>
  <c r="D70" i="160"/>
  <c r="C70" i="160"/>
  <c r="U69" i="160"/>
  <c r="R69" i="160"/>
  <c r="Q69" i="160"/>
  <c r="P69" i="160"/>
  <c r="O69" i="160"/>
  <c r="L69" i="160"/>
  <c r="I69" i="160"/>
  <c r="C69" i="160"/>
  <c r="F69" i="160"/>
  <c r="E69" i="160"/>
  <c r="D69" i="160"/>
  <c r="U68" i="160"/>
  <c r="R68" i="160"/>
  <c r="Q68" i="160"/>
  <c r="P68" i="160"/>
  <c r="O68" i="160"/>
  <c r="L68" i="160"/>
  <c r="I68" i="160"/>
  <c r="C68" i="160"/>
  <c r="F68" i="160"/>
  <c r="E68" i="160"/>
  <c r="D68" i="160"/>
  <c r="U67" i="160"/>
  <c r="R67" i="160"/>
  <c r="Q67" i="160"/>
  <c r="P67" i="160"/>
  <c r="O67" i="160"/>
  <c r="L67" i="160"/>
  <c r="I67" i="160"/>
  <c r="C67" i="160"/>
  <c r="F67" i="160"/>
  <c r="E67" i="160"/>
  <c r="D67" i="160"/>
  <c r="U66" i="160"/>
  <c r="R66" i="160"/>
  <c r="Q66" i="160"/>
  <c r="O66" i="160"/>
  <c r="P66" i="160"/>
  <c r="L66" i="160"/>
  <c r="I66" i="160"/>
  <c r="C66" i="160"/>
  <c r="F66" i="160"/>
  <c r="E66" i="160"/>
  <c r="D66" i="160"/>
  <c r="U65" i="160"/>
  <c r="R65" i="160"/>
  <c r="Q65" i="160"/>
  <c r="P65" i="160"/>
  <c r="O65" i="160"/>
  <c r="L65" i="160"/>
  <c r="I65" i="160"/>
  <c r="F65" i="160"/>
  <c r="C65" i="160"/>
  <c r="E65" i="160"/>
  <c r="D65" i="160"/>
  <c r="U64" i="160"/>
  <c r="R64" i="160"/>
  <c r="Q64" i="160"/>
  <c r="O64" i="160"/>
  <c r="P64" i="160"/>
  <c r="L64" i="160"/>
  <c r="I64" i="160"/>
  <c r="F64" i="160"/>
  <c r="E64" i="160"/>
  <c r="D64" i="160"/>
  <c r="C64" i="160"/>
  <c r="U63" i="160"/>
  <c r="R63" i="160"/>
  <c r="Q63" i="160"/>
  <c r="P63" i="160"/>
  <c r="O63" i="160"/>
  <c r="L63" i="160"/>
  <c r="I63" i="160"/>
  <c r="C63" i="160"/>
  <c r="F63" i="160"/>
  <c r="E63" i="160"/>
  <c r="D63" i="160"/>
  <c r="U62" i="160"/>
  <c r="R62" i="160"/>
  <c r="Q62" i="160"/>
  <c r="P62" i="160"/>
  <c r="O62" i="160"/>
  <c r="L62" i="160"/>
  <c r="I62" i="160"/>
  <c r="F62" i="160"/>
  <c r="E62" i="160"/>
  <c r="D62" i="160"/>
  <c r="C62" i="160"/>
  <c r="U61" i="160"/>
  <c r="R61" i="160"/>
  <c r="Q61" i="160"/>
  <c r="P61" i="160"/>
  <c r="O61" i="160"/>
  <c r="L61" i="160"/>
  <c r="I61" i="160"/>
  <c r="C61" i="160"/>
  <c r="F61" i="160"/>
  <c r="E61" i="160"/>
  <c r="D61" i="160"/>
  <c r="U60" i="160"/>
  <c r="R60" i="160"/>
  <c r="Q60" i="160"/>
  <c r="P60" i="160"/>
  <c r="O60" i="160"/>
  <c r="L60" i="160"/>
  <c r="I60" i="160"/>
  <c r="C60" i="160"/>
  <c r="F60" i="160"/>
  <c r="E60" i="160"/>
  <c r="D60" i="160"/>
  <c r="U59" i="160"/>
  <c r="R59" i="160"/>
  <c r="Q59" i="160"/>
  <c r="P59" i="160"/>
  <c r="O59" i="160"/>
  <c r="L59" i="160"/>
  <c r="I59" i="160"/>
  <c r="C59" i="160"/>
  <c r="F59" i="160"/>
  <c r="E59" i="160"/>
  <c r="D59" i="160"/>
  <c r="U58" i="160"/>
  <c r="R58" i="160"/>
  <c r="Q58" i="160"/>
  <c r="O58" i="160"/>
  <c r="P58" i="160"/>
  <c r="L58" i="160"/>
  <c r="I58" i="160"/>
  <c r="C58" i="160"/>
  <c r="F58" i="160"/>
  <c r="E58" i="160"/>
  <c r="D58" i="160"/>
  <c r="U57" i="160"/>
  <c r="R57" i="160"/>
  <c r="Q57" i="160"/>
  <c r="P57" i="160"/>
  <c r="O57" i="160"/>
  <c r="L57" i="160"/>
  <c r="I57" i="160"/>
  <c r="F57" i="160"/>
  <c r="C57" i="160"/>
  <c r="E57" i="160"/>
  <c r="D57" i="160"/>
  <c r="U56" i="160"/>
  <c r="R56" i="160"/>
  <c r="Q56" i="160"/>
  <c r="P56" i="160"/>
  <c r="O56" i="160"/>
  <c r="L56" i="160"/>
  <c r="I56" i="160"/>
  <c r="F56" i="160"/>
  <c r="E56" i="160"/>
  <c r="D56" i="160"/>
  <c r="C56" i="160"/>
  <c r="U55" i="160"/>
  <c r="R55" i="160"/>
  <c r="Q55" i="160"/>
  <c r="P55" i="160"/>
  <c r="O55" i="160"/>
  <c r="L55" i="160"/>
  <c r="I55" i="160"/>
  <c r="C55" i="160"/>
  <c r="F55" i="160"/>
  <c r="E55" i="160"/>
  <c r="D55" i="160"/>
  <c r="U54" i="160"/>
  <c r="R54" i="160"/>
  <c r="Q54" i="160"/>
  <c r="P54" i="160"/>
  <c r="O54" i="160"/>
  <c r="L54" i="160"/>
  <c r="I54" i="160"/>
  <c r="F54" i="160"/>
  <c r="E54" i="160"/>
  <c r="D54" i="160"/>
  <c r="C54" i="160"/>
  <c r="U53" i="160"/>
  <c r="R53" i="160"/>
  <c r="Q53" i="160"/>
  <c r="P53" i="160"/>
  <c r="O53" i="160"/>
  <c r="L53" i="160"/>
  <c r="I53" i="160"/>
  <c r="C53" i="160"/>
  <c r="F53" i="160"/>
  <c r="E53" i="160"/>
  <c r="D53" i="160"/>
  <c r="U52" i="160"/>
  <c r="R52" i="160"/>
  <c r="Q52" i="160"/>
  <c r="P52" i="160"/>
  <c r="O52" i="160"/>
  <c r="L52" i="160"/>
  <c r="I52" i="160"/>
  <c r="C52" i="160"/>
  <c r="F52" i="160"/>
  <c r="E52" i="160"/>
  <c r="D52" i="160"/>
  <c r="U51" i="160"/>
  <c r="R51" i="160"/>
  <c r="Q51" i="160"/>
  <c r="P51" i="160"/>
  <c r="O51" i="160"/>
  <c r="L51" i="160"/>
  <c r="I51" i="160"/>
  <c r="C51" i="160"/>
  <c r="F51" i="160"/>
  <c r="E51" i="160"/>
  <c r="D51" i="160"/>
  <c r="U50" i="160"/>
  <c r="R50" i="160"/>
  <c r="Q50" i="160"/>
  <c r="O50" i="160"/>
  <c r="P50" i="160"/>
  <c r="L50" i="160"/>
  <c r="I50" i="160"/>
  <c r="C50" i="160"/>
  <c r="F50" i="160"/>
  <c r="E50" i="160"/>
  <c r="D50" i="160"/>
  <c r="U49" i="160"/>
  <c r="R49" i="160"/>
  <c r="Q49" i="160"/>
  <c r="P49" i="160"/>
  <c r="O49" i="160"/>
  <c r="L49" i="160"/>
  <c r="I49" i="160"/>
  <c r="F49" i="160"/>
  <c r="C49" i="160"/>
  <c r="E49" i="160"/>
  <c r="D49" i="160"/>
  <c r="U48" i="160"/>
  <c r="R48" i="160"/>
  <c r="Q48" i="160"/>
  <c r="P48" i="160"/>
  <c r="O48" i="160"/>
  <c r="L48" i="160"/>
  <c r="I48" i="160"/>
  <c r="F48" i="160"/>
  <c r="E48" i="160"/>
  <c r="D48" i="160"/>
  <c r="C48" i="160"/>
  <c r="U47" i="160"/>
  <c r="R47" i="160"/>
  <c r="Q47" i="160"/>
  <c r="P47" i="160"/>
  <c r="O47" i="160"/>
  <c r="L47" i="160"/>
  <c r="I47" i="160"/>
  <c r="C47" i="160"/>
  <c r="F47" i="160"/>
  <c r="E47" i="160"/>
  <c r="D47" i="160"/>
  <c r="U46" i="160"/>
  <c r="R46" i="160"/>
  <c r="Q46" i="160"/>
  <c r="P46" i="160"/>
  <c r="O46" i="160"/>
  <c r="L46" i="160"/>
  <c r="I46" i="160"/>
  <c r="F46" i="160"/>
  <c r="E46" i="160"/>
  <c r="D46" i="160"/>
  <c r="C46" i="160"/>
  <c r="U45" i="160"/>
  <c r="R45" i="160"/>
  <c r="Q45" i="160"/>
  <c r="P45" i="160"/>
  <c r="O45" i="160"/>
  <c r="L45" i="160"/>
  <c r="I45" i="160"/>
  <c r="C45" i="160"/>
  <c r="F45" i="160"/>
  <c r="E45" i="160"/>
  <c r="D45" i="160"/>
  <c r="U44" i="160"/>
  <c r="R44" i="160"/>
  <c r="Q44" i="160"/>
  <c r="P44" i="160"/>
  <c r="O44" i="160"/>
  <c r="L44" i="160"/>
  <c r="I44" i="160"/>
  <c r="F44" i="160"/>
  <c r="C44" i="160"/>
  <c r="E44" i="160"/>
  <c r="D44" i="160"/>
  <c r="U43" i="160"/>
  <c r="R43" i="160"/>
  <c r="Q43" i="160"/>
  <c r="P43" i="160"/>
  <c r="O43" i="160"/>
  <c r="L43" i="160"/>
  <c r="I43" i="160"/>
  <c r="C43" i="160"/>
  <c r="F43" i="160"/>
  <c r="E43" i="160"/>
  <c r="D43" i="160"/>
  <c r="U42" i="160"/>
  <c r="R42" i="160"/>
  <c r="Q42" i="160"/>
  <c r="O42" i="160"/>
  <c r="P42" i="160"/>
  <c r="L42" i="160"/>
  <c r="I42" i="160"/>
  <c r="C42" i="160"/>
  <c r="F42" i="160"/>
  <c r="E42" i="160"/>
  <c r="D42" i="160"/>
  <c r="U41" i="160"/>
  <c r="R41" i="160"/>
  <c r="Q41" i="160"/>
  <c r="P41" i="160"/>
  <c r="O41" i="160"/>
  <c r="L41" i="160"/>
  <c r="I41" i="160"/>
  <c r="F41" i="160"/>
  <c r="C41" i="160"/>
  <c r="E41" i="160"/>
  <c r="D41" i="160"/>
  <c r="U40" i="160"/>
  <c r="R40" i="160"/>
  <c r="Q40" i="160"/>
  <c r="P40" i="160"/>
  <c r="O40" i="160"/>
  <c r="L40" i="160"/>
  <c r="I40" i="160"/>
  <c r="F40" i="160"/>
  <c r="E40" i="160"/>
  <c r="D40" i="160"/>
  <c r="C40" i="160"/>
  <c r="U39" i="160"/>
  <c r="R39" i="160"/>
  <c r="Q39" i="160"/>
  <c r="P39" i="160"/>
  <c r="O39" i="160"/>
  <c r="L39" i="160"/>
  <c r="I39" i="160"/>
  <c r="C39" i="160"/>
  <c r="F39" i="160"/>
  <c r="E39" i="160"/>
  <c r="D39" i="160"/>
  <c r="U38" i="160"/>
  <c r="R38" i="160"/>
  <c r="Q38" i="160"/>
  <c r="P38" i="160"/>
  <c r="O38" i="160"/>
  <c r="L38" i="160"/>
  <c r="I38" i="160"/>
  <c r="F38" i="160"/>
  <c r="E38" i="160"/>
  <c r="D38" i="160"/>
  <c r="C38" i="160"/>
  <c r="U37" i="160"/>
  <c r="R37" i="160"/>
  <c r="Q37" i="160"/>
  <c r="P37" i="160"/>
  <c r="O37" i="160"/>
  <c r="L37" i="160"/>
  <c r="I37" i="160"/>
  <c r="C37" i="160"/>
  <c r="F37" i="160"/>
  <c r="E37" i="160"/>
  <c r="D37" i="160"/>
  <c r="U36" i="160"/>
  <c r="R36" i="160"/>
  <c r="Q36" i="160"/>
  <c r="P36" i="160"/>
  <c r="O36" i="160"/>
  <c r="L36" i="160"/>
  <c r="I36" i="160"/>
  <c r="C36" i="160"/>
  <c r="F36" i="160"/>
  <c r="E36" i="160"/>
  <c r="D36" i="160"/>
  <c r="U35" i="160"/>
  <c r="R35" i="160"/>
  <c r="Q35" i="160"/>
  <c r="P35" i="160"/>
  <c r="O35" i="160"/>
  <c r="L35" i="160"/>
  <c r="I35" i="160"/>
  <c r="C35" i="160"/>
  <c r="F35" i="160"/>
  <c r="E35" i="160"/>
  <c r="D35" i="160"/>
  <c r="U34" i="160"/>
  <c r="R34" i="160"/>
  <c r="Q34" i="160"/>
  <c r="P34" i="160"/>
  <c r="O34" i="160"/>
  <c r="L34" i="160"/>
  <c r="I34" i="160"/>
  <c r="C34" i="160"/>
  <c r="F34" i="160"/>
  <c r="E34" i="160"/>
  <c r="D34" i="160"/>
  <c r="U33" i="160"/>
  <c r="R33" i="160"/>
  <c r="Q33" i="160"/>
  <c r="P33" i="160"/>
  <c r="O33" i="160"/>
  <c r="L33" i="160"/>
  <c r="I33" i="160"/>
  <c r="F33" i="160"/>
  <c r="C33" i="160"/>
  <c r="E33" i="160"/>
  <c r="D33" i="160"/>
  <c r="U32" i="160"/>
  <c r="R32" i="160"/>
  <c r="Q32" i="160"/>
  <c r="P32" i="160"/>
  <c r="O32" i="160"/>
  <c r="L32" i="160"/>
  <c r="I32" i="160"/>
  <c r="F32" i="160"/>
  <c r="E32" i="160"/>
  <c r="D32" i="160"/>
  <c r="C32" i="160"/>
  <c r="U31" i="160"/>
  <c r="R31" i="160"/>
  <c r="Q31" i="160"/>
  <c r="P31" i="160"/>
  <c r="O31" i="160"/>
  <c r="L31" i="160"/>
  <c r="I31" i="160"/>
  <c r="C31" i="160"/>
  <c r="F31" i="160"/>
  <c r="E31" i="160"/>
  <c r="D31" i="160"/>
  <c r="U30" i="160"/>
  <c r="R30" i="160"/>
  <c r="Q30" i="160"/>
  <c r="P30" i="160"/>
  <c r="O30" i="160"/>
  <c r="L30" i="160"/>
  <c r="I30" i="160"/>
  <c r="F30" i="160"/>
  <c r="E30" i="160"/>
  <c r="D30" i="160"/>
  <c r="C30" i="160"/>
  <c r="U29" i="160"/>
  <c r="R29" i="160"/>
  <c r="Q29" i="160"/>
  <c r="P29" i="160"/>
  <c r="O29" i="160"/>
  <c r="L29" i="160"/>
  <c r="I29" i="160"/>
  <c r="C29" i="160"/>
  <c r="F29" i="160"/>
  <c r="E29" i="160"/>
  <c r="D29" i="160"/>
  <c r="U28" i="160"/>
  <c r="R28" i="160"/>
  <c r="Q28" i="160"/>
  <c r="P28" i="160"/>
  <c r="O28" i="160"/>
  <c r="L28" i="160"/>
  <c r="I28" i="160"/>
  <c r="C28" i="160"/>
  <c r="F28" i="160"/>
  <c r="E28" i="160"/>
  <c r="D28" i="160"/>
  <c r="U27" i="160"/>
  <c r="R27" i="160"/>
  <c r="Q27" i="160"/>
  <c r="P27" i="160"/>
  <c r="O27" i="160"/>
  <c r="L27" i="160"/>
  <c r="I27" i="160"/>
  <c r="C27" i="160"/>
  <c r="F27" i="160"/>
  <c r="E27" i="160"/>
  <c r="D27" i="160"/>
  <c r="U26" i="160"/>
  <c r="R26" i="160"/>
  <c r="Q26" i="160"/>
  <c r="P26" i="160"/>
  <c r="O26" i="160"/>
  <c r="L26" i="160"/>
  <c r="I26" i="160"/>
  <c r="F26" i="160"/>
  <c r="C26" i="160"/>
  <c r="E26" i="160"/>
  <c r="D26" i="160"/>
  <c r="U25" i="160"/>
  <c r="R25" i="160"/>
  <c r="Q25" i="160"/>
  <c r="P25" i="160"/>
  <c r="O25" i="160"/>
  <c r="L25" i="160"/>
  <c r="I25" i="160"/>
  <c r="F25" i="160"/>
  <c r="C25" i="160"/>
  <c r="E25" i="160"/>
  <c r="D25" i="160"/>
  <c r="U24" i="160"/>
  <c r="R24" i="160"/>
  <c r="Q24" i="160"/>
  <c r="P24" i="160"/>
  <c r="O24" i="160"/>
  <c r="L24" i="160"/>
  <c r="I24" i="160"/>
  <c r="F24" i="160"/>
  <c r="C24" i="160"/>
  <c r="E24" i="160"/>
  <c r="D24" i="160"/>
  <c r="U23" i="160"/>
  <c r="R23" i="160"/>
  <c r="Q23" i="160"/>
  <c r="P23" i="160"/>
  <c r="O23" i="160"/>
  <c r="L23" i="160"/>
  <c r="I23" i="160"/>
  <c r="C23" i="160"/>
  <c r="F23" i="160"/>
  <c r="E23" i="160"/>
  <c r="D23" i="160"/>
  <c r="U22" i="160"/>
  <c r="R22" i="160"/>
  <c r="Q22" i="160"/>
  <c r="P22" i="160"/>
  <c r="O22" i="160"/>
  <c r="L22" i="160"/>
  <c r="I22" i="160"/>
  <c r="F22" i="160"/>
  <c r="C22" i="160"/>
  <c r="E22" i="160"/>
  <c r="D22" i="160"/>
  <c r="U21" i="160"/>
  <c r="R21" i="160"/>
  <c r="Q21" i="160"/>
  <c r="P21" i="160"/>
  <c r="O21" i="160"/>
  <c r="L21" i="160"/>
  <c r="I21" i="160"/>
  <c r="C21" i="160"/>
  <c r="F21" i="160"/>
  <c r="E21" i="160"/>
  <c r="D21" i="160"/>
  <c r="U20" i="160"/>
  <c r="R20" i="160"/>
  <c r="Q20" i="160"/>
  <c r="P20" i="160"/>
  <c r="O20" i="160"/>
  <c r="L20" i="160"/>
  <c r="C20" i="160"/>
  <c r="I20" i="160"/>
  <c r="F20" i="160"/>
  <c r="E20" i="160"/>
  <c r="D20" i="160"/>
  <c r="U19" i="160"/>
  <c r="R19" i="160"/>
  <c r="Q19" i="160"/>
  <c r="P19" i="160"/>
  <c r="O19" i="160"/>
  <c r="L19" i="160"/>
  <c r="I19" i="160"/>
  <c r="C19" i="160"/>
  <c r="F19" i="160"/>
  <c r="E19" i="160"/>
  <c r="D19" i="160"/>
  <c r="U18" i="160"/>
  <c r="R18" i="160"/>
  <c r="Q18" i="160"/>
  <c r="P18" i="160"/>
  <c r="O18" i="160"/>
  <c r="L18" i="160"/>
  <c r="I18" i="160"/>
  <c r="F18" i="160"/>
  <c r="C18" i="160"/>
  <c r="E18" i="160"/>
  <c r="D18" i="160"/>
  <c r="A18" i="160"/>
  <c r="A19" i="160"/>
  <c r="A20" i="160"/>
  <c r="A21" i="160"/>
  <c r="A22" i="160"/>
  <c r="A23" i="160"/>
  <c r="A24" i="160"/>
  <c r="A25" i="160"/>
  <c r="A26" i="160"/>
  <c r="A27" i="160"/>
  <c r="A28" i="160"/>
  <c r="A29" i="160"/>
  <c r="A30" i="160"/>
  <c r="A31" i="160"/>
  <c r="A32" i="160"/>
  <c r="A33" i="160"/>
  <c r="A34" i="160"/>
  <c r="A35" i="160"/>
  <c r="A36" i="160"/>
  <c r="A37" i="160"/>
  <c r="A38" i="160"/>
  <c r="A39" i="160"/>
  <c r="A40" i="160"/>
  <c r="A41" i="160"/>
  <c r="A42" i="160"/>
  <c r="A43" i="160"/>
  <c r="A44" i="160"/>
  <c r="A45" i="160"/>
  <c r="A46" i="160"/>
  <c r="A47" i="160"/>
  <c r="A48" i="160"/>
  <c r="A49" i="160"/>
  <c r="A50" i="160"/>
  <c r="A51" i="160"/>
  <c r="A52" i="160"/>
  <c r="A53" i="160"/>
  <c r="A54" i="160"/>
  <c r="A55" i="160"/>
  <c r="A56" i="160"/>
  <c r="A57" i="160"/>
  <c r="A58" i="160"/>
  <c r="A59" i="160"/>
  <c r="A60" i="160"/>
  <c r="A61" i="160"/>
  <c r="A62" i="160"/>
  <c r="A63" i="160"/>
  <c r="A64" i="160"/>
  <c r="A65" i="160"/>
  <c r="A66" i="160"/>
  <c r="A67" i="160"/>
  <c r="A68" i="160"/>
  <c r="A69" i="160"/>
  <c r="A70" i="160"/>
  <c r="A71" i="160"/>
  <c r="A72" i="160"/>
  <c r="A73" i="160"/>
  <c r="A74" i="160"/>
  <c r="A75" i="160"/>
  <c r="A76" i="160"/>
  <c r="A77" i="160"/>
  <c r="A78" i="160"/>
  <c r="A79" i="160"/>
  <c r="A80" i="160"/>
  <c r="A81" i="160"/>
  <c r="A82" i="160"/>
  <c r="A83" i="160"/>
  <c r="A84" i="160"/>
  <c r="A85" i="160"/>
  <c r="A86" i="160"/>
  <c r="A87" i="160"/>
  <c r="A88" i="160"/>
  <c r="A89" i="160"/>
  <c r="U17" i="160"/>
  <c r="R17" i="160"/>
  <c r="Q17" i="160"/>
  <c r="P17" i="160"/>
  <c r="O17" i="160"/>
  <c r="L17" i="160"/>
  <c r="C17" i="160"/>
  <c r="I17" i="160"/>
  <c r="F17" i="160"/>
  <c r="E17" i="160"/>
  <c r="D17" i="160"/>
  <c r="U16" i="160"/>
  <c r="R16" i="160"/>
  <c r="Q16" i="160"/>
  <c r="O16" i="160"/>
  <c r="P16" i="160"/>
  <c r="L16" i="160"/>
  <c r="C16" i="160"/>
  <c r="I16" i="160"/>
  <c r="F16" i="160"/>
  <c r="E16" i="160"/>
  <c r="D16" i="160"/>
  <c r="D91" i="160"/>
  <c r="U15" i="160"/>
  <c r="R15" i="160"/>
  <c r="Q15" i="160"/>
  <c r="P15" i="160"/>
  <c r="O15" i="160"/>
  <c r="L15" i="160"/>
  <c r="I15" i="160"/>
  <c r="I91" i="160"/>
  <c r="F15" i="160"/>
  <c r="E15" i="160"/>
  <c r="D15" i="160"/>
  <c r="U14" i="160"/>
  <c r="R14" i="160"/>
  <c r="Q14" i="160"/>
  <c r="P14" i="160"/>
  <c r="O14" i="160"/>
  <c r="L14" i="160"/>
  <c r="I14" i="160"/>
  <c r="F14" i="160"/>
  <c r="C14" i="160"/>
  <c r="E14" i="160"/>
  <c r="D14" i="160"/>
  <c r="U13" i="160"/>
  <c r="R13" i="160"/>
  <c r="Q13" i="160"/>
  <c r="P13" i="160"/>
  <c r="O13" i="160"/>
  <c r="L13" i="160"/>
  <c r="I13" i="160"/>
  <c r="C13" i="160"/>
  <c r="F13" i="160"/>
  <c r="E13" i="160"/>
  <c r="D13" i="160"/>
  <c r="U12" i="160"/>
  <c r="R12" i="160"/>
  <c r="R91" i="160"/>
  <c r="Q12" i="160"/>
  <c r="P12" i="160"/>
  <c r="O12" i="160"/>
  <c r="L12" i="160"/>
  <c r="C12" i="160"/>
  <c r="I12" i="160"/>
  <c r="F12" i="160"/>
  <c r="E12" i="160"/>
  <c r="D12" i="160"/>
  <c r="U11" i="160"/>
  <c r="R11" i="160"/>
  <c r="Q11" i="160"/>
  <c r="O11" i="160"/>
  <c r="P11" i="160"/>
  <c r="L11" i="160"/>
  <c r="I11" i="160"/>
  <c r="F11" i="160"/>
  <c r="C11" i="160"/>
  <c r="E11" i="160"/>
  <c r="D11" i="160"/>
  <c r="U10" i="160"/>
  <c r="R10" i="160"/>
  <c r="Q10" i="160"/>
  <c r="O10" i="160"/>
  <c r="P10" i="160"/>
  <c r="L10" i="160"/>
  <c r="I10" i="160"/>
  <c r="F10" i="160"/>
  <c r="C10" i="160"/>
  <c r="E10" i="160"/>
  <c r="D10" i="160"/>
  <c r="U9" i="160"/>
  <c r="U91" i="160"/>
  <c r="R9" i="160"/>
  <c r="Q9" i="160"/>
  <c r="P9" i="160"/>
  <c r="P91" i="160"/>
  <c r="L9" i="160"/>
  <c r="L91" i="160"/>
  <c r="I9" i="160"/>
  <c r="F9" i="160"/>
  <c r="F91" i="160"/>
  <c r="E9" i="160"/>
  <c r="E91" i="160"/>
  <c r="D9" i="160"/>
  <c r="D45" i="154"/>
  <c r="B45" i="154"/>
  <c r="E44" i="154"/>
  <c r="E43" i="154"/>
  <c r="E42" i="154"/>
  <c r="E41" i="154"/>
  <c r="E40" i="154"/>
  <c r="E39" i="154"/>
  <c r="E38" i="154"/>
  <c r="E45" i="154"/>
  <c r="E37" i="154"/>
  <c r="B31" i="154"/>
  <c r="D30" i="154"/>
  <c r="B8" i="154"/>
  <c r="B17" i="154"/>
  <c r="E8" i="153"/>
  <c r="D8" i="153"/>
  <c r="C8" i="153"/>
  <c r="B8" i="153"/>
  <c r="F7" i="153"/>
  <c r="C31" i="153"/>
  <c r="C6" i="153"/>
  <c r="E56" i="158"/>
  <c r="E54" i="158"/>
  <c r="D54" i="158"/>
  <c r="C54" i="158"/>
  <c r="B54" i="158"/>
  <c r="D47" i="158"/>
  <c r="C47" i="158"/>
  <c r="B47" i="158"/>
  <c r="D42" i="158"/>
  <c r="C42" i="158"/>
  <c r="B42" i="158"/>
  <c r="D38" i="158"/>
  <c r="C38" i="158"/>
  <c r="B38" i="158"/>
  <c r="D34" i="158"/>
  <c r="C34" i="158"/>
  <c r="B34" i="158"/>
  <c r="D27" i="158"/>
  <c r="C27" i="158"/>
  <c r="B27" i="158"/>
  <c r="D23" i="158"/>
  <c r="C23" i="158"/>
  <c r="B23" i="158"/>
  <c r="D19" i="158"/>
  <c r="C19" i="158"/>
  <c r="B19" i="158"/>
  <c r="D15" i="158"/>
  <c r="C15" i="158"/>
  <c r="B15" i="158"/>
  <c r="C11" i="158"/>
  <c r="B11" i="158"/>
  <c r="D7" i="158"/>
  <c r="D56" i="158"/>
  <c r="C7" i="158"/>
  <c r="C56" i="158"/>
  <c r="B7" i="158"/>
  <c r="B56" i="158"/>
  <c r="AC11" i="159"/>
  <c r="AC10" i="159"/>
  <c r="AC9" i="159"/>
  <c r="AC8" i="159"/>
  <c r="AC7" i="159"/>
  <c r="AC6" i="159"/>
  <c r="AC5" i="159"/>
  <c r="K102" i="91"/>
  <c r="K101" i="91"/>
  <c r="P22" i="141"/>
  <c r="P7" i="141"/>
  <c r="V79" i="136"/>
  <c r="V75" i="136"/>
  <c r="V67" i="136"/>
  <c r="V39" i="136"/>
  <c r="V43" i="136"/>
  <c r="V73" i="136"/>
  <c r="V61" i="136"/>
  <c r="V31" i="136"/>
  <c r="V17" i="136"/>
  <c r="V45" i="136"/>
  <c r="I56" i="91"/>
  <c r="AH56" i="91"/>
  <c r="AJ56" i="91"/>
  <c r="Q47" i="136"/>
  <c r="I57" i="91"/>
  <c r="AH57" i="91"/>
  <c r="AJ57" i="91"/>
  <c r="Q48" i="136"/>
  <c r="I58" i="91"/>
  <c r="I59" i="91"/>
  <c r="AH59" i="91"/>
  <c r="AJ59" i="91"/>
  <c r="Q50" i="136"/>
  <c r="I60" i="91"/>
  <c r="I61" i="91"/>
  <c r="AH61" i="91"/>
  <c r="AJ61" i="91"/>
  <c r="I62" i="91"/>
  <c r="AH62" i="91"/>
  <c r="AJ62" i="91"/>
  <c r="Q53" i="136"/>
  <c r="I63" i="91"/>
  <c r="I64" i="91"/>
  <c r="AH64" i="91"/>
  <c r="AJ64" i="91"/>
  <c r="Q55" i="136"/>
  <c r="I65" i="91"/>
  <c r="I66" i="91"/>
  <c r="I67" i="91"/>
  <c r="AH67" i="91"/>
  <c r="AJ67" i="91"/>
  <c r="Q58" i="136"/>
  <c r="I68" i="91"/>
  <c r="I69" i="91"/>
  <c r="AH69" i="91"/>
  <c r="I70" i="91"/>
  <c r="I71" i="91"/>
  <c r="I72" i="91"/>
  <c r="AH72" i="91"/>
  <c r="AJ72" i="91"/>
  <c r="I73" i="91"/>
  <c r="AH73" i="91"/>
  <c r="AJ73" i="91"/>
  <c r="I74" i="91"/>
  <c r="AH74" i="91"/>
  <c r="Q65" i="136"/>
  <c r="I75" i="91"/>
  <c r="I76" i="91"/>
  <c r="I77" i="91"/>
  <c r="AH77" i="91"/>
  <c r="AJ77" i="91"/>
  <c r="Q68" i="136"/>
  <c r="I78" i="91"/>
  <c r="AH78" i="91"/>
  <c r="I79" i="91"/>
  <c r="AH79" i="91"/>
  <c r="Q70" i="136"/>
  <c r="I80" i="91"/>
  <c r="I81" i="91"/>
  <c r="AH81" i="91"/>
  <c r="AJ81" i="91"/>
  <c r="Q72" i="136"/>
  <c r="I82" i="91"/>
  <c r="I83" i="91"/>
  <c r="AH83" i="91"/>
  <c r="Q74" i="136"/>
  <c r="I84" i="91"/>
  <c r="AH84" i="91"/>
  <c r="Q75" i="136"/>
  <c r="I85" i="91"/>
  <c r="I86" i="91"/>
  <c r="AH86" i="91"/>
  <c r="Q77" i="136"/>
  <c r="I87" i="91"/>
  <c r="I88" i="91"/>
  <c r="AH88" i="91"/>
  <c r="I89" i="91"/>
  <c r="I90" i="91"/>
  <c r="I91" i="91"/>
  <c r="I92" i="91"/>
  <c r="I93" i="91"/>
  <c r="AH93" i="91"/>
  <c r="AJ93" i="91"/>
  <c r="Q84" i="136"/>
  <c r="I94" i="91"/>
  <c r="AH94" i="91"/>
  <c r="AJ94" i="91"/>
  <c r="Q85" i="136"/>
  <c r="I95" i="91"/>
  <c r="I96" i="91"/>
  <c r="AH96" i="91"/>
  <c r="I55" i="91"/>
  <c r="AH55" i="91"/>
  <c r="AJ55" i="91"/>
  <c r="Q46" i="136"/>
  <c r="I9" i="91"/>
  <c r="I10" i="91"/>
  <c r="G8" i="136"/>
  <c r="I11" i="91"/>
  <c r="I12" i="91"/>
  <c r="I13" i="91"/>
  <c r="I14" i="91"/>
  <c r="I15" i="91"/>
  <c r="AH15" i="91"/>
  <c r="Q13" i="136"/>
  <c r="I16" i="91"/>
  <c r="AH16" i="91"/>
  <c r="AJ16" i="91"/>
  <c r="Q14" i="136"/>
  <c r="I17" i="91"/>
  <c r="AH17" i="91"/>
  <c r="AJ17" i="91"/>
  <c r="Q15" i="136"/>
  <c r="I18" i="91"/>
  <c r="I19" i="91"/>
  <c r="AH19" i="91"/>
  <c r="I20" i="91"/>
  <c r="I21" i="91"/>
  <c r="AH21" i="91"/>
  <c r="AJ21" i="91"/>
  <c r="Q19" i="136"/>
  <c r="I22" i="91"/>
  <c r="AH22" i="91"/>
  <c r="I23" i="91"/>
  <c r="AH23" i="91"/>
  <c r="AJ23" i="91"/>
  <c r="Q21" i="136"/>
  <c r="I24" i="91"/>
  <c r="AH24" i="91"/>
  <c r="AJ24" i="91"/>
  <c r="Q22" i="136"/>
  <c r="I25" i="91"/>
  <c r="AH25" i="91"/>
  <c r="AJ25" i="91"/>
  <c r="Q23" i="136"/>
  <c r="I26" i="91"/>
  <c r="I27" i="91"/>
  <c r="I28" i="91"/>
  <c r="I29" i="91"/>
  <c r="I30" i="91"/>
  <c r="I31" i="91"/>
  <c r="AH31" i="91"/>
  <c r="Q29" i="136"/>
  <c r="I32" i="91"/>
  <c r="I33" i="91"/>
  <c r="AH33" i="91"/>
  <c r="AJ33" i="91"/>
  <c r="Q31" i="136"/>
  <c r="I34" i="91"/>
  <c r="I35" i="91"/>
  <c r="AH35" i="91"/>
  <c r="AJ35" i="91"/>
  <c r="Q33" i="136"/>
  <c r="I36" i="91"/>
  <c r="I37" i="91"/>
  <c r="I38" i="91"/>
  <c r="AH38" i="91"/>
  <c r="AJ38" i="91"/>
  <c r="Q36" i="136"/>
  <c r="I39" i="91"/>
  <c r="I40" i="91"/>
  <c r="AH40" i="91"/>
  <c r="AJ40" i="91"/>
  <c r="Q38" i="136"/>
  <c r="I41" i="91"/>
  <c r="I42" i="91"/>
  <c r="I43" i="91"/>
  <c r="I44" i="91"/>
  <c r="I45" i="91"/>
  <c r="AH45" i="91"/>
  <c r="AJ45" i="91"/>
  <c r="Q43" i="136"/>
  <c r="I46" i="91"/>
  <c r="AH46" i="91"/>
  <c r="I47" i="91"/>
  <c r="AH47" i="91"/>
  <c r="Q45" i="136"/>
  <c r="I8" i="91"/>
  <c r="AH58" i="91"/>
  <c r="Q49" i="136"/>
  <c r="AH44" i="91"/>
  <c r="Q42" i="136"/>
  <c r="AH32" i="91"/>
  <c r="AH28" i="91"/>
  <c r="AH20" i="91"/>
  <c r="AJ20" i="91"/>
  <c r="Q18" i="136"/>
  <c r="AH13" i="91"/>
  <c r="AJ13" i="91"/>
  <c r="Q11" i="136"/>
  <c r="AH12" i="91"/>
  <c r="AJ12" i="91"/>
  <c r="Q10" i="136"/>
  <c r="P36" i="141"/>
  <c r="P37" i="141"/>
  <c r="O36" i="141"/>
  <c r="AC12" i="159"/>
  <c r="AB97" i="91"/>
  <c r="AC97" i="91"/>
  <c r="AD97" i="91"/>
  <c r="AE97" i="91"/>
  <c r="J97" i="91"/>
  <c r="AH95" i="91"/>
  <c r="AH87" i="91"/>
  <c r="AJ87" i="91"/>
  <c r="Q78" i="136"/>
  <c r="AH76" i="91"/>
  <c r="AJ76" i="91"/>
  <c r="Q67" i="136"/>
  <c r="AH70" i="91"/>
  <c r="AH68" i="91"/>
  <c r="Q59" i="136"/>
  <c r="AH60" i="91"/>
  <c r="AH43" i="91"/>
  <c r="AJ43" i="91"/>
  <c r="Q41" i="136"/>
  <c r="AH42" i="91"/>
  <c r="AJ42" i="91"/>
  <c r="Q40" i="136"/>
  <c r="AH41" i="91"/>
  <c r="AJ41" i="91"/>
  <c r="Q39" i="136"/>
  <c r="AH37" i="91"/>
  <c r="AH34" i="91"/>
  <c r="AJ34" i="91"/>
  <c r="Q32" i="136"/>
  <c r="AH30" i="91"/>
  <c r="AJ30" i="91"/>
  <c r="Q28" i="136"/>
  <c r="AH27" i="91"/>
  <c r="AJ27" i="91"/>
  <c r="Q25" i="136"/>
  <c r="AH18" i="91"/>
  <c r="AJ18" i="91"/>
  <c r="Q16" i="136"/>
  <c r="AH14" i="91"/>
  <c r="AJ14" i="91"/>
  <c r="Q12" i="136"/>
  <c r="AH11" i="91"/>
  <c r="AJ11" i="91"/>
  <c r="Q9" i="136"/>
  <c r="AH9" i="91"/>
  <c r="Q7" i="136"/>
  <c r="K97" i="91"/>
  <c r="K106" i="91"/>
  <c r="L97" i="91"/>
  <c r="M97" i="91"/>
  <c r="N97" i="91"/>
  <c r="O97" i="91"/>
  <c r="P97" i="91"/>
  <c r="E97" i="91"/>
  <c r="G84" i="136"/>
  <c r="G82" i="136"/>
  <c r="G81" i="136"/>
  <c r="G64" i="136"/>
  <c r="G59" i="136"/>
  <c r="G57" i="136"/>
  <c r="AV62" i="91"/>
  <c r="G51" i="136"/>
  <c r="G7" i="136"/>
  <c r="G9" i="136"/>
  <c r="G12" i="136"/>
  <c r="G14" i="136"/>
  <c r="G24" i="136"/>
  <c r="G32" i="136"/>
  <c r="G33" i="136"/>
  <c r="G40" i="136"/>
  <c r="Q44" i="136"/>
  <c r="F97" i="91"/>
  <c r="AI14" i="115"/>
  <c r="AI50" i="115"/>
  <c r="V8" i="136"/>
  <c r="V9" i="136"/>
  <c r="V10" i="136"/>
  <c r="V11" i="136"/>
  <c r="V12" i="136"/>
  <c r="V13" i="136"/>
  <c r="V14" i="136"/>
  <c r="V15" i="136"/>
  <c r="V16" i="136"/>
  <c r="V18" i="136"/>
  <c r="V19" i="136"/>
  <c r="V20" i="136"/>
  <c r="V21" i="136"/>
  <c r="V22" i="136"/>
  <c r="V23" i="136"/>
  <c r="V24" i="136"/>
  <c r="V25" i="136"/>
  <c r="V26" i="136"/>
  <c r="V27" i="136"/>
  <c r="V28" i="136"/>
  <c r="V29" i="136"/>
  <c r="V30" i="136"/>
  <c r="V32" i="136"/>
  <c r="V33" i="136"/>
  <c r="V34" i="136"/>
  <c r="V35" i="136"/>
  <c r="V36" i="136"/>
  <c r="V37" i="136"/>
  <c r="V38" i="136"/>
  <c r="V40" i="136"/>
  <c r="V41" i="136"/>
  <c r="V42" i="136"/>
  <c r="V44" i="136"/>
  <c r="V46" i="136"/>
  <c r="V47" i="136"/>
  <c r="V48" i="136"/>
  <c r="V49" i="136"/>
  <c r="V50" i="136"/>
  <c r="V51" i="136"/>
  <c r="V52" i="136"/>
  <c r="V53" i="136"/>
  <c r="V54" i="136"/>
  <c r="V55" i="136"/>
  <c r="V56" i="136"/>
  <c r="V57" i="136"/>
  <c r="V58" i="136"/>
  <c r="V59" i="136"/>
  <c r="V60" i="136"/>
  <c r="V62" i="136"/>
  <c r="V63" i="136"/>
  <c r="V64" i="136"/>
  <c r="V65" i="136"/>
  <c r="V66" i="136"/>
  <c r="V68" i="136"/>
  <c r="V69" i="136"/>
  <c r="V70" i="136"/>
  <c r="V71" i="136"/>
  <c r="V72" i="136"/>
  <c r="V74" i="136"/>
  <c r="V76" i="136"/>
  <c r="V77" i="136"/>
  <c r="V78" i="136"/>
  <c r="V80" i="136"/>
  <c r="V81" i="136"/>
  <c r="V82" i="136"/>
  <c r="V83" i="136"/>
  <c r="V84" i="136"/>
  <c r="V85" i="136"/>
  <c r="V86" i="136"/>
  <c r="V6" i="136"/>
  <c r="AG93" i="91"/>
  <c r="AG94" i="91"/>
  <c r="L85" i="136"/>
  <c r="AG95" i="91"/>
  <c r="L86" i="136"/>
  <c r="AG96" i="91"/>
  <c r="L87" i="136"/>
  <c r="AF93" i="91"/>
  <c r="M8" i="94"/>
  <c r="N8" i="94"/>
  <c r="M9" i="94"/>
  <c r="N9" i="94"/>
  <c r="M10" i="94"/>
  <c r="N10" i="94"/>
  <c r="M11" i="94"/>
  <c r="N11" i="94"/>
  <c r="M12" i="94"/>
  <c r="N12" i="94"/>
  <c r="M13" i="94"/>
  <c r="N13" i="94"/>
  <c r="M14" i="94"/>
  <c r="N14" i="94"/>
  <c r="M15" i="94"/>
  <c r="N15" i="94"/>
  <c r="M16" i="94"/>
  <c r="N16" i="94"/>
  <c r="M17" i="94"/>
  <c r="N17" i="94"/>
  <c r="M18" i="94"/>
  <c r="N18" i="94"/>
  <c r="M19" i="94"/>
  <c r="N19" i="94"/>
  <c r="M20" i="94"/>
  <c r="N20" i="94"/>
  <c r="M21" i="94"/>
  <c r="N21" i="94"/>
  <c r="M22" i="94"/>
  <c r="N22" i="94"/>
  <c r="M23" i="94"/>
  <c r="N23" i="94"/>
  <c r="M24" i="94"/>
  <c r="N24" i="94"/>
  <c r="M25" i="94"/>
  <c r="N25" i="94"/>
  <c r="M26" i="94"/>
  <c r="N26" i="94"/>
  <c r="M27" i="94"/>
  <c r="N27" i="94"/>
  <c r="M28" i="94"/>
  <c r="N28" i="94"/>
  <c r="M29" i="94"/>
  <c r="N29" i="94"/>
  <c r="M30" i="94"/>
  <c r="N30" i="94"/>
  <c r="M31" i="94"/>
  <c r="N31" i="94"/>
  <c r="M32" i="94"/>
  <c r="N32" i="94"/>
  <c r="M33" i="94"/>
  <c r="N33" i="94"/>
  <c r="M34" i="94"/>
  <c r="N34" i="94"/>
  <c r="M35" i="94"/>
  <c r="N35" i="94"/>
  <c r="M36" i="94"/>
  <c r="N36" i="94"/>
  <c r="M37" i="94"/>
  <c r="N37" i="94"/>
  <c r="M38" i="94"/>
  <c r="N38" i="94"/>
  <c r="M39" i="94"/>
  <c r="N39" i="94"/>
  <c r="M40" i="94"/>
  <c r="N40" i="94"/>
  <c r="M41" i="94"/>
  <c r="N41" i="94"/>
  <c r="M42" i="94"/>
  <c r="N42" i="94"/>
  <c r="M43" i="94"/>
  <c r="N43" i="94"/>
  <c r="M44" i="94"/>
  <c r="N44" i="94"/>
  <c r="M45" i="94"/>
  <c r="N45" i="94"/>
  <c r="M46" i="94"/>
  <c r="N46" i="94"/>
  <c r="M47" i="94"/>
  <c r="N47" i="94"/>
  <c r="M48" i="94"/>
  <c r="N48" i="94"/>
  <c r="M49" i="94"/>
  <c r="N49" i="94"/>
  <c r="M50" i="94"/>
  <c r="N50" i="94"/>
  <c r="M51" i="94"/>
  <c r="N51" i="94"/>
  <c r="M52" i="94"/>
  <c r="N52" i="94"/>
  <c r="M53" i="94"/>
  <c r="N53" i="94"/>
  <c r="M54" i="94"/>
  <c r="N54" i="94"/>
  <c r="M55" i="94"/>
  <c r="N55" i="94"/>
  <c r="M56" i="94"/>
  <c r="N56" i="94"/>
  <c r="M57" i="94"/>
  <c r="N57" i="94"/>
  <c r="M58" i="94"/>
  <c r="N58" i="94"/>
  <c r="M59" i="94"/>
  <c r="N59" i="94"/>
  <c r="M60" i="94"/>
  <c r="N60" i="94"/>
  <c r="M61" i="94"/>
  <c r="N61" i="94"/>
  <c r="M62" i="94"/>
  <c r="N62" i="94"/>
  <c r="M63" i="94"/>
  <c r="N63" i="94"/>
  <c r="M64" i="94"/>
  <c r="N64" i="94"/>
  <c r="M65" i="94"/>
  <c r="N65" i="94"/>
  <c r="M66" i="94"/>
  <c r="N66" i="94"/>
  <c r="M67" i="94"/>
  <c r="N67" i="94"/>
  <c r="M68" i="94"/>
  <c r="N68" i="94"/>
  <c r="M69" i="94"/>
  <c r="N69" i="94"/>
  <c r="M70" i="94"/>
  <c r="N70" i="94"/>
  <c r="M71" i="94"/>
  <c r="N71" i="94"/>
  <c r="M72" i="94"/>
  <c r="N72" i="94"/>
  <c r="M73" i="94"/>
  <c r="N73" i="94"/>
  <c r="M74" i="94"/>
  <c r="N74" i="94"/>
  <c r="M75" i="94"/>
  <c r="N75" i="94"/>
  <c r="M76" i="94"/>
  <c r="N76" i="94"/>
  <c r="M77" i="94"/>
  <c r="N77" i="94"/>
  <c r="M78" i="94"/>
  <c r="N78" i="94"/>
  <c r="M79" i="94"/>
  <c r="N79" i="94"/>
  <c r="M80" i="94"/>
  <c r="N80" i="94"/>
  <c r="M81" i="94"/>
  <c r="N81" i="94"/>
  <c r="M82" i="94"/>
  <c r="N82" i="94"/>
  <c r="M83" i="94"/>
  <c r="N83" i="94"/>
  <c r="M84" i="94"/>
  <c r="N84" i="94"/>
  <c r="M85" i="94"/>
  <c r="N85" i="94"/>
  <c r="M86" i="94"/>
  <c r="N86" i="94"/>
  <c r="M87" i="94"/>
  <c r="N87" i="94"/>
  <c r="AB39" i="159"/>
  <c r="AB38" i="159"/>
  <c r="AB37" i="159"/>
  <c r="AB36" i="159"/>
  <c r="AB35" i="159"/>
  <c r="AB31" i="159"/>
  <c r="AB30" i="159"/>
  <c r="AB29" i="159"/>
  <c r="AB28" i="159"/>
  <c r="AB27" i="159"/>
  <c r="AB26" i="159"/>
  <c r="AB25" i="159"/>
  <c r="AB21" i="159"/>
  <c r="AB20" i="159"/>
  <c r="AB19" i="159"/>
  <c r="AB18" i="159"/>
  <c r="AB17" i="159"/>
  <c r="AB16" i="159"/>
  <c r="AB15" i="159"/>
  <c r="AC41" i="159"/>
  <c r="AC32" i="159"/>
  <c r="AC22" i="159"/>
  <c r="AH5" i="84"/>
  <c r="AG15" i="84"/>
  <c r="AH50" i="115"/>
  <c r="AI32" i="115"/>
  <c r="AH31" i="115"/>
  <c r="AH30" i="115"/>
  <c r="AH29" i="115"/>
  <c r="AI28" i="115"/>
  <c r="AH28" i="115"/>
  <c r="O15" i="141"/>
  <c r="O14" i="141"/>
  <c r="O13" i="141"/>
  <c r="O12" i="141"/>
  <c r="O11" i="141"/>
  <c r="O10" i="141"/>
  <c r="O45" i="141"/>
  <c r="O44" i="141"/>
  <c r="O43" i="141"/>
  <c r="O42" i="141"/>
  <c r="O41" i="141"/>
  <c r="O40" i="141"/>
  <c r="O30" i="141"/>
  <c r="O29" i="141"/>
  <c r="O28" i="141"/>
  <c r="O27" i="141"/>
  <c r="O26" i="141"/>
  <c r="O25" i="141"/>
  <c r="O24" i="141"/>
  <c r="O23" i="141"/>
  <c r="AH49" i="115"/>
  <c r="AH48" i="115"/>
  <c r="AH47" i="115"/>
  <c r="AH46" i="115"/>
  <c r="AA11" i="159"/>
  <c r="AB11" i="159"/>
  <c r="AA10" i="159"/>
  <c r="AB10" i="159"/>
  <c r="AA9" i="159"/>
  <c r="AB9" i="159"/>
  <c r="AA8" i="159"/>
  <c r="AB8" i="159"/>
  <c r="AA7" i="159"/>
  <c r="AB7" i="159"/>
  <c r="AA6" i="159"/>
  <c r="AB6" i="159"/>
  <c r="AA5" i="159"/>
  <c r="AB5" i="159"/>
  <c r="Z46" i="115"/>
  <c r="Z47" i="115"/>
  <c r="Z48" i="115"/>
  <c r="Z49" i="115"/>
  <c r="Z50" i="115"/>
  <c r="Z27" i="115"/>
  <c r="Z28" i="115"/>
  <c r="Z29" i="115"/>
  <c r="Z30" i="115"/>
  <c r="Z31" i="115"/>
  <c r="Z8" i="115"/>
  <c r="Z9" i="115"/>
  <c r="Z10" i="115"/>
  <c r="Z11" i="115"/>
  <c r="Z12" i="115"/>
  <c r="Z13" i="115"/>
  <c r="F46" i="141"/>
  <c r="I35" i="141"/>
  <c r="Z6" i="84"/>
  <c r="AB6" i="84"/>
  <c r="AD6" i="84"/>
  <c r="J46" i="141"/>
  <c r="K46" i="141"/>
  <c r="E87" i="96"/>
  <c r="D87" i="96"/>
  <c r="E86" i="96"/>
  <c r="D86" i="96"/>
  <c r="C86" i="96"/>
  <c r="W86" i="96"/>
  <c r="Z86" i="96"/>
  <c r="S86" i="136"/>
  <c r="E85" i="96"/>
  <c r="D85" i="96"/>
  <c r="C85" i="96"/>
  <c r="I85" i="136"/>
  <c r="E84" i="96"/>
  <c r="D84" i="96"/>
  <c r="C84" i="96"/>
  <c r="E83" i="96"/>
  <c r="D83" i="96"/>
  <c r="E82" i="96"/>
  <c r="D82" i="96"/>
  <c r="E81" i="96"/>
  <c r="D81" i="96"/>
  <c r="C81" i="96"/>
  <c r="E80" i="96"/>
  <c r="D80" i="96"/>
  <c r="C80" i="96"/>
  <c r="E79" i="96"/>
  <c r="D79" i="96"/>
  <c r="E78" i="96"/>
  <c r="D78" i="96"/>
  <c r="C78" i="96"/>
  <c r="E77" i="96"/>
  <c r="D77" i="96"/>
  <c r="E76" i="96"/>
  <c r="D76" i="96"/>
  <c r="E75" i="96"/>
  <c r="D75" i="96"/>
  <c r="E74" i="96"/>
  <c r="D74" i="96"/>
  <c r="E73" i="96"/>
  <c r="D73" i="96"/>
  <c r="E72" i="96"/>
  <c r="D72" i="96"/>
  <c r="E71" i="96"/>
  <c r="D71" i="96"/>
  <c r="C71" i="96"/>
  <c r="E70" i="96"/>
  <c r="D70" i="96"/>
  <c r="C70" i="96"/>
  <c r="E69" i="96"/>
  <c r="D69" i="96"/>
  <c r="C69" i="96"/>
  <c r="W69" i="96"/>
  <c r="Z69" i="96"/>
  <c r="S69" i="136"/>
  <c r="E68" i="96"/>
  <c r="D68" i="96"/>
  <c r="C68" i="96"/>
  <c r="E67" i="96"/>
  <c r="D67" i="96"/>
  <c r="E66" i="96"/>
  <c r="D66" i="96"/>
  <c r="E65" i="96"/>
  <c r="D65" i="96"/>
  <c r="E64" i="96"/>
  <c r="D64" i="96"/>
  <c r="E63" i="96"/>
  <c r="D63" i="96"/>
  <c r="C63" i="96"/>
  <c r="I63" i="136"/>
  <c r="E62" i="96"/>
  <c r="D62" i="96"/>
  <c r="C62" i="96"/>
  <c r="W62" i="96"/>
  <c r="Z62" i="96"/>
  <c r="S62" i="136"/>
  <c r="E61" i="96"/>
  <c r="D61" i="96"/>
  <c r="E60" i="96"/>
  <c r="D60" i="96"/>
  <c r="C60" i="96"/>
  <c r="W60" i="96"/>
  <c r="Z60" i="96"/>
  <c r="E59" i="96"/>
  <c r="D59" i="96"/>
  <c r="E58" i="96"/>
  <c r="D58" i="96"/>
  <c r="E57" i="96"/>
  <c r="D57" i="96"/>
  <c r="C57" i="96"/>
  <c r="I57" i="136"/>
  <c r="E56" i="96"/>
  <c r="D56" i="96"/>
  <c r="C56" i="96"/>
  <c r="W56" i="96"/>
  <c r="E55" i="96"/>
  <c r="D55" i="96"/>
  <c r="E54" i="96"/>
  <c r="D54" i="96"/>
  <c r="C54" i="96"/>
  <c r="I54" i="136"/>
  <c r="E53" i="96"/>
  <c r="D53" i="96"/>
  <c r="C53" i="96"/>
  <c r="W53" i="96"/>
  <c r="Z53" i="96"/>
  <c r="E52" i="96"/>
  <c r="D52" i="96"/>
  <c r="C52" i="96"/>
  <c r="I52" i="136"/>
  <c r="E51" i="96"/>
  <c r="D51" i="96"/>
  <c r="C51" i="96"/>
  <c r="W51" i="96"/>
  <c r="Z51" i="96"/>
  <c r="S51" i="136"/>
  <c r="E50" i="96"/>
  <c r="D50" i="96"/>
  <c r="E49" i="96"/>
  <c r="D49" i="96"/>
  <c r="C49" i="96"/>
  <c r="I49" i="136"/>
  <c r="E48" i="96"/>
  <c r="D48" i="96"/>
  <c r="C48" i="96"/>
  <c r="E47" i="96"/>
  <c r="C47" i="96"/>
  <c r="D47" i="96"/>
  <c r="E46" i="96"/>
  <c r="D46" i="96"/>
  <c r="C46" i="96"/>
  <c r="W46" i="96"/>
  <c r="E45" i="96"/>
  <c r="D45" i="96"/>
  <c r="E44" i="96"/>
  <c r="D44" i="96"/>
  <c r="E43" i="96"/>
  <c r="D43" i="96"/>
  <c r="E42" i="96"/>
  <c r="D42" i="96"/>
  <c r="C42" i="96"/>
  <c r="I42" i="136"/>
  <c r="E41" i="96"/>
  <c r="D41" i="96"/>
  <c r="C41" i="96"/>
  <c r="E40" i="96"/>
  <c r="D40" i="96"/>
  <c r="E39" i="96"/>
  <c r="D39" i="96"/>
  <c r="E38" i="96"/>
  <c r="D38" i="96"/>
  <c r="C38" i="96"/>
  <c r="I38" i="136"/>
  <c r="E37" i="96"/>
  <c r="D37" i="96"/>
  <c r="C37" i="96"/>
  <c r="E36" i="96"/>
  <c r="D36" i="96"/>
  <c r="E35" i="96"/>
  <c r="D35" i="96"/>
  <c r="E34" i="96"/>
  <c r="D34" i="96"/>
  <c r="E33" i="96"/>
  <c r="D33" i="96"/>
  <c r="E32" i="96"/>
  <c r="D32" i="96"/>
  <c r="E31" i="96"/>
  <c r="I31" i="136"/>
  <c r="D31" i="96"/>
  <c r="C31" i="96"/>
  <c r="E30" i="96"/>
  <c r="D30" i="96"/>
  <c r="E29" i="96"/>
  <c r="D29" i="96"/>
  <c r="C29" i="96"/>
  <c r="E28" i="96"/>
  <c r="C28" i="96"/>
  <c r="D28" i="96"/>
  <c r="E27" i="96"/>
  <c r="D27" i="96"/>
  <c r="C27" i="96"/>
  <c r="W27" i="96"/>
  <c r="Z27" i="96"/>
  <c r="S27" i="136"/>
  <c r="E26" i="96"/>
  <c r="D26" i="96"/>
  <c r="E25" i="96"/>
  <c r="D25" i="96"/>
  <c r="C25" i="96"/>
  <c r="E24" i="96"/>
  <c r="D24" i="96"/>
  <c r="C24" i="96"/>
  <c r="I24" i="136"/>
  <c r="E23" i="96"/>
  <c r="D23" i="96"/>
  <c r="C23" i="96"/>
  <c r="W23" i="96"/>
  <c r="Z23" i="96"/>
  <c r="S23" i="136"/>
  <c r="E22" i="96"/>
  <c r="D22" i="96"/>
  <c r="E21" i="96"/>
  <c r="D21" i="96"/>
  <c r="C21" i="96"/>
  <c r="I21" i="136"/>
  <c r="E20" i="96"/>
  <c r="D20" i="96"/>
  <c r="E19" i="96"/>
  <c r="D19" i="96"/>
  <c r="C19" i="96"/>
  <c r="E18" i="96"/>
  <c r="D18" i="96"/>
  <c r="E17" i="96"/>
  <c r="D17" i="96"/>
  <c r="E16" i="96"/>
  <c r="D16" i="96"/>
  <c r="E15" i="96"/>
  <c r="D15" i="96"/>
  <c r="E14" i="96"/>
  <c r="D14" i="96"/>
  <c r="C14" i="96"/>
  <c r="E13" i="96"/>
  <c r="D13" i="96"/>
  <c r="C13" i="96"/>
  <c r="I13" i="136"/>
  <c r="E12" i="96"/>
  <c r="C12" i="96"/>
  <c r="D12" i="96"/>
  <c r="E11" i="96"/>
  <c r="D11" i="96"/>
  <c r="E10" i="96"/>
  <c r="D10" i="96"/>
  <c r="E9" i="96"/>
  <c r="D9" i="96"/>
  <c r="C9" i="96"/>
  <c r="E8" i="96"/>
  <c r="D8" i="96"/>
  <c r="C8" i="96"/>
  <c r="E7" i="96"/>
  <c r="D7" i="96"/>
  <c r="Z90" i="96"/>
  <c r="AJ88" i="96"/>
  <c r="AI88" i="96"/>
  <c r="AH88" i="96"/>
  <c r="T88" i="96"/>
  <c r="S88" i="96"/>
  <c r="AH17" i="84"/>
  <c r="AG17" i="84"/>
  <c r="R88" i="96"/>
  <c r="AH16" i="84"/>
  <c r="Q88" i="96"/>
  <c r="AH13" i="84"/>
  <c r="AH12" i="84" s="1"/>
  <c r="P88" i="96"/>
  <c r="AH15" i="84"/>
  <c r="AI20" i="115" s="1"/>
  <c r="AH20" i="115"/>
  <c r="O88" i="96"/>
  <c r="AH14" i="84"/>
  <c r="AG14" i="84"/>
  <c r="N88" i="96"/>
  <c r="M88" i="96"/>
  <c r="K88" i="96"/>
  <c r="J88" i="96"/>
  <c r="H88" i="96"/>
  <c r="G88" i="96"/>
  <c r="AS87" i="96"/>
  <c r="AJ87" i="96"/>
  <c r="AI87" i="96"/>
  <c r="AH87" i="96"/>
  <c r="W87" i="96"/>
  <c r="Z87" i="96"/>
  <c r="S87" i="136"/>
  <c r="V87" i="96"/>
  <c r="N87" i="136"/>
  <c r="U87" i="96"/>
  <c r="F87" i="96"/>
  <c r="AS86" i="96"/>
  <c r="AJ86" i="96"/>
  <c r="AI86" i="96"/>
  <c r="AH86" i="96"/>
  <c r="V86" i="96"/>
  <c r="N86" i="136"/>
  <c r="U86" i="96"/>
  <c r="L86" i="96"/>
  <c r="I86" i="96"/>
  <c r="F86" i="96"/>
  <c r="AS85" i="96"/>
  <c r="AJ85" i="96"/>
  <c r="AI85" i="96"/>
  <c r="AH85" i="96"/>
  <c r="V85" i="96"/>
  <c r="N85" i="136"/>
  <c r="U85" i="96"/>
  <c r="L85" i="96"/>
  <c r="I85" i="96"/>
  <c r="F85" i="96"/>
  <c r="AS84" i="96"/>
  <c r="AJ84" i="96"/>
  <c r="AI84" i="96"/>
  <c r="AH84" i="96"/>
  <c r="V84" i="96"/>
  <c r="N84" i="136"/>
  <c r="U84" i="96"/>
  <c r="L84" i="96"/>
  <c r="I84" i="96"/>
  <c r="F84" i="96"/>
  <c r="AS83" i="96"/>
  <c r="AJ83" i="96"/>
  <c r="AI83" i="96"/>
  <c r="AH83" i="96"/>
  <c r="V83" i="96"/>
  <c r="N83" i="136"/>
  <c r="U83" i="96"/>
  <c r="L83" i="96"/>
  <c r="I83" i="96"/>
  <c r="F83" i="96"/>
  <c r="AS82" i="96"/>
  <c r="AJ82" i="96"/>
  <c r="AI82" i="96"/>
  <c r="AH82" i="96"/>
  <c r="V82" i="96"/>
  <c r="N82" i="136"/>
  <c r="U82" i="96"/>
  <c r="L82" i="96"/>
  <c r="I82" i="96"/>
  <c r="F82" i="96"/>
  <c r="AS81" i="96"/>
  <c r="AJ81" i="96"/>
  <c r="AI81" i="96"/>
  <c r="AH81" i="96"/>
  <c r="V81" i="96"/>
  <c r="N81" i="136"/>
  <c r="U81" i="96"/>
  <c r="L81" i="96"/>
  <c r="I81" i="96"/>
  <c r="F81" i="96"/>
  <c r="AS80" i="96"/>
  <c r="AJ80" i="96"/>
  <c r="AI80" i="96"/>
  <c r="AH80" i="96"/>
  <c r="V80" i="96"/>
  <c r="N80" i="136"/>
  <c r="U80" i="96"/>
  <c r="L80" i="96"/>
  <c r="I80" i="96"/>
  <c r="F80" i="96"/>
  <c r="AS79" i="96"/>
  <c r="AJ79" i="96"/>
  <c r="AI79" i="96"/>
  <c r="AH79" i="96"/>
  <c r="V79" i="96"/>
  <c r="N79" i="136"/>
  <c r="U79" i="96"/>
  <c r="L79" i="96"/>
  <c r="I79" i="96"/>
  <c r="F79" i="96"/>
  <c r="AS78" i="96"/>
  <c r="AJ78" i="96"/>
  <c r="AI78" i="96"/>
  <c r="AH78" i="96"/>
  <c r="V78" i="96"/>
  <c r="N78" i="136"/>
  <c r="U78" i="96"/>
  <c r="L78" i="96"/>
  <c r="I78" i="96"/>
  <c r="F78" i="96"/>
  <c r="AS77" i="96"/>
  <c r="AJ77" i="96"/>
  <c r="AI77" i="96"/>
  <c r="AH77" i="96"/>
  <c r="V77" i="96"/>
  <c r="N77" i="136"/>
  <c r="U77" i="96"/>
  <c r="L77" i="96"/>
  <c r="I77" i="96"/>
  <c r="F77" i="96"/>
  <c r="AS76" i="96"/>
  <c r="AJ76" i="96"/>
  <c r="AI76" i="96"/>
  <c r="AH76" i="96"/>
  <c r="V76" i="96"/>
  <c r="N76" i="136"/>
  <c r="U76" i="96"/>
  <c r="L76" i="96"/>
  <c r="I76" i="96"/>
  <c r="F76" i="96"/>
  <c r="AS75" i="96"/>
  <c r="AJ75" i="96"/>
  <c r="AI75" i="96"/>
  <c r="AH75" i="96"/>
  <c r="V75" i="96"/>
  <c r="N75" i="136"/>
  <c r="U75" i="96"/>
  <c r="L75" i="96"/>
  <c r="I75" i="96"/>
  <c r="F75" i="96"/>
  <c r="AS74" i="96"/>
  <c r="AJ74" i="96"/>
  <c r="AI74" i="96"/>
  <c r="AH74" i="96"/>
  <c r="V74" i="96"/>
  <c r="N74" i="136"/>
  <c r="U74" i="96"/>
  <c r="L74" i="96"/>
  <c r="I74" i="96"/>
  <c r="F74" i="96"/>
  <c r="AS73" i="96"/>
  <c r="AJ73" i="96"/>
  <c r="AI73" i="96"/>
  <c r="AH73" i="96"/>
  <c r="V73" i="96"/>
  <c r="N73" i="136"/>
  <c r="U73" i="96"/>
  <c r="L73" i="96"/>
  <c r="I73" i="96"/>
  <c r="F73" i="96"/>
  <c r="AS72" i="96"/>
  <c r="AJ72" i="96"/>
  <c r="AI72" i="96"/>
  <c r="AH72" i="96"/>
  <c r="V72" i="96"/>
  <c r="N72" i="136"/>
  <c r="U72" i="96"/>
  <c r="L72" i="96"/>
  <c r="I72" i="96"/>
  <c r="F72" i="96"/>
  <c r="AS71" i="96"/>
  <c r="AJ71" i="96"/>
  <c r="AI71" i="96"/>
  <c r="AH71" i="96"/>
  <c r="V71" i="96"/>
  <c r="N71" i="136"/>
  <c r="U71" i="96"/>
  <c r="L71" i="96"/>
  <c r="I71" i="96"/>
  <c r="F71" i="96"/>
  <c r="AS70" i="96"/>
  <c r="AJ70" i="96"/>
  <c r="AI70" i="96"/>
  <c r="AH70" i="96"/>
  <c r="V70" i="96"/>
  <c r="N70" i="136"/>
  <c r="U70" i="96"/>
  <c r="L70" i="96"/>
  <c r="I70" i="96"/>
  <c r="F70" i="96"/>
  <c r="AS69" i="96"/>
  <c r="AJ69" i="96"/>
  <c r="AI69" i="96"/>
  <c r="AH69" i="96"/>
  <c r="V69" i="96"/>
  <c r="N69" i="136"/>
  <c r="U69" i="96"/>
  <c r="L69" i="96"/>
  <c r="I69" i="96"/>
  <c r="F69" i="96"/>
  <c r="AS68" i="96"/>
  <c r="AJ68" i="96"/>
  <c r="AI68" i="96"/>
  <c r="AH68" i="96"/>
  <c r="V68" i="96"/>
  <c r="N68" i="136"/>
  <c r="U68" i="96"/>
  <c r="L68" i="96"/>
  <c r="I68" i="96"/>
  <c r="F68" i="96"/>
  <c r="AS67" i="96"/>
  <c r="AJ67" i="96"/>
  <c r="AI67" i="96"/>
  <c r="AH67" i="96"/>
  <c r="V67" i="96"/>
  <c r="N67" i="136"/>
  <c r="U67" i="96"/>
  <c r="L67" i="96"/>
  <c r="I67" i="96"/>
  <c r="F67" i="96"/>
  <c r="AS66" i="96"/>
  <c r="AJ66" i="96"/>
  <c r="AI66" i="96"/>
  <c r="AH66" i="96"/>
  <c r="V66" i="96"/>
  <c r="N66" i="136"/>
  <c r="U66" i="96"/>
  <c r="L66" i="96"/>
  <c r="I66" i="96"/>
  <c r="F66" i="96"/>
  <c r="AS65" i="96"/>
  <c r="AJ65" i="96"/>
  <c r="AI65" i="96"/>
  <c r="AH65" i="96"/>
  <c r="V65" i="96"/>
  <c r="N65" i="136"/>
  <c r="U65" i="96"/>
  <c r="L65" i="96"/>
  <c r="I65" i="96"/>
  <c r="F65" i="96"/>
  <c r="AS64" i="96"/>
  <c r="AJ64" i="96"/>
  <c r="AI64" i="96"/>
  <c r="AH64" i="96"/>
  <c r="V64" i="96"/>
  <c r="N64" i="136"/>
  <c r="U64" i="96"/>
  <c r="L64" i="96"/>
  <c r="I64" i="96"/>
  <c r="F64" i="96"/>
  <c r="AS63" i="96"/>
  <c r="AJ63" i="96"/>
  <c r="AI63" i="96"/>
  <c r="AH63" i="96"/>
  <c r="V63" i="96"/>
  <c r="N63" i="136"/>
  <c r="U63" i="96"/>
  <c r="L63" i="96"/>
  <c r="I63" i="96"/>
  <c r="F63" i="96"/>
  <c r="AS62" i="96"/>
  <c r="AJ62" i="96"/>
  <c r="AI62" i="96"/>
  <c r="AH62" i="96"/>
  <c r="V62" i="96"/>
  <c r="N62" i="136"/>
  <c r="U62" i="96"/>
  <c r="L62" i="96"/>
  <c r="I62" i="96"/>
  <c r="F62" i="96"/>
  <c r="AS61" i="96"/>
  <c r="AJ61" i="96"/>
  <c r="AI61" i="96"/>
  <c r="AH61" i="96"/>
  <c r="V61" i="96"/>
  <c r="N61" i="136"/>
  <c r="U61" i="96"/>
  <c r="L61" i="96"/>
  <c r="I61" i="96"/>
  <c r="F61" i="96"/>
  <c r="AS60" i="96"/>
  <c r="AJ60" i="96"/>
  <c r="AI60" i="96"/>
  <c r="AH60" i="96"/>
  <c r="V60" i="96"/>
  <c r="N60" i="136"/>
  <c r="U60" i="96"/>
  <c r="L60" i="96"/>
  <c r="I60" i="96"/>
  <c r="F60" i="96"/>
  <c r="AS59" i="96"/>
  <c r="AJ59" i="96"/>
  <c r="AI59" i="96"/>
  <c r="AH59" i="96"/>
  <c r="V59" i="96"/>
  <c r="N59" i="136"/>
  <c r="U59" i="96"/>
  <c r="L59" i="96"/>
  <c r="I59" i="96"/>
  <c r="F59" i="96"/>
  <c r="AS58" i="96"/>
  <c r="AJ58" i="96"/>
  <c r="AI58" i="96"/>
  <c r="AH58" i="96"/>
  <c r="V58" i="96"/>
  <c r="N58" i="136"/>
  <c r="U58" i="96"/>
  <c r="L58" i="96"/>
  <c r="I58" i="96"/>
  <c r="F58" i="96"/>
  <c r="AS57" i="96"/>
  <c r="AJ57" i="96"/>
  <c r="AI57" i="96"/>
  <c r="AH57" i="96"/>
  <c r="V57" i="96"/>
  <c r="N57" i="136"/>
  <c r="U57" i="96"/>
  <c r="L57" i="96"/>
  <c r="I57" i="96"/>
  <c r="F57" i="96"/>
  <c r="AS56" i="96"/>
  <c r="AJ56" i="96"/>
  <c r="AI56" i="96"/>
  <c r="AH56" i="96"/>
  <c r="V56" i="96"/>
  <c r="N56" i="136"/>
  <c r="U56" i="96"/>
  <c r="L56" i="96"/>
  <c r="I56" i="96"/>
  <c r="F56" i="96"/>
  <c r="AS55" i="96"/>
  <c r="AJ55" i="96"/>
  <c r="AI55" i="96"/>
  <c r="AH55" i="96"/>
  <c r="V55" i="96"/>
  <c r="N55" i="136"/>
  <c r="U55" i="96"/>
  <c r="L55" i="96"/>
  <c r="I55" i="96"/>
  <c r="F55" i="96"/>
  <c r="AS54" i="96"/>
  <c r="AJ54" i="96"/>
  <c r="AI54" i="96"/>
  <c r="AH54" i="96"/>
  <c r="V54" i="96"/>
  <c r="N54" i="136"/>
  <c r="U54" i="96"/>
  <c r="L54" i="96"/>
  <c r="I54" i="96"/>
  <c r="F54" i="96"/>
  <c r="AS53" i="96"/>
  <c r="AJ53" i="96"/>
  <c r="AI53" i="96"/>
  <c r="AH53" i="96"/>
  <c r="V53" i="96"/>
  <c r="N53" i="136"/>
  <c r="U53" i="96"/>
  <c r="L53" i="96"/>
  <c r="I53" i="96"/>
  <c r="F53" i="96"/>
  <c r="AS52" i="96"/>
  <c r="AJ52" i="96"/>
  <c r="AI52" i="96"/>
  <c r="AH52" i="96"/>
  <c r="V52" i="96"/>
  <c r="N52" i="136"/>
  <c r="U52" i="96"/>
  <c r="L52" i="96"/>
  <c r="I52" i="96"/>
  <c r="F52" i="96"/>
  <c r="AS51" i="96"/>
  <c r="AJ51" i="96"/>
  <c r="AI51" i="96"/>
  <c r="AH51" i="96"/>
  <c r="V51" i="96"/>
  <c r="N51" i="136"/>
  <c r="U51" i="96"/>
  <c r="L51" i="96"/>
  <c r="I51" i="96"/>
  <c r="F51" i="96"/>
  <c r="AS50" i="96"/>
  <c r="AJ50" i="96"/>
  <c r="AI50" i="96"/>
  <c r="AH50" i="96"/>
  <c r="V50" i="96"/>
  <c r="N50" i="136"/>
  <c r="U50" i="96"/>
  <c r="L50" i="96"/>
  <c r="I50" i="96"/>
  <c r="F50" i="96"/>
  <c r="AS49" i="96"/>
  <c r="AJ49" i="96"/>
  <c r="AI49" i="96"/>
  <c r="AH49" i="96"/>
  <c r="V49" i="96"/>
  <c r="N49" i="136"/>
  <c r="U49" i="96"/>
  <c r="L49" i="96"/>
  <c r="I49" i="96"/>
  <c r="F49" i="96"/>
  <c r="AS48" i="96"/>
  <c r="AJ48" i="96"/>
  <c r="AI48" i="96"/>
  <c r="AH48" i="96"/>
  <c r="V48" i="96"/>
  <c r="N48" i="136"/>
  <c r="U48" i="96"/>
  <c r="L48" i="96"/>
  <c r="I48" i="96"/>
  <c r="F48" i="96"/>
  <c r="AS47" i="96"/>
  <c r="AJ47" i="96"/>
  <c r="AI47" i="96"/>
  <c r="AH47" i="96"/>
  <c r="V47" i="96"/>
  <c r="N47" i="136"/>
  <c r="U47" i="96"/>
  <c r="L47" i="96"/>
  <c r="I47" i="96"/>
  <c r="F47" i="96"/>
  <c r="AS46" i="96"/>
  <c r="AJ46" i="96"/>
  <c r="AI46" i="96"/>
  <c r="AH46" i="96"/>
  <c r="V46" i="96"/>
  <c r="N46" i="136"/>
  <c r="U46" i="96"/>
  <c r="L46" i="96"/>
  <c r="I46" i="96"/>
  <c r="F46" i="96"/>
  <c r="AS45" i="96"/>
  <c r="AJ45" i="96"/>
  <c r="AI45" i="96"/>
  <c r="AH45" i="96"/>
  <c r="V45" i="96"/>
  <c r="N45" i="136"/>
  <c r="U45" i="96"/>
  <c r="L45" i="96"/>
  <c r="I45" i="96"/>
  <c r="F45" i="96"/>
  <c r="AS44" i="96"/>
  <c r="AJ44" i="96"/>
  <c r="AI44" i="96"/>
  <c r="AH44" i="96"/>
  <c r="V44" i="96"/>
  <c r="N44" i="136"/>
  <c r="U44" i="96"/>
  <c r="L44" i="96"/>
  <c r="I44" i="96"/>
  <c r="F44" i="96"/>
  <c r="AS43" i="96"/>
  <c r="AJ43" i="96"/>
  <c r="AI43" i="96"/>
  <c r="AH43" i="96"/>
  <c r="V43" i="96"/>
  <c r="N43" i="136"/>
  <c r="U43" i="96"/>
  <c r="L43" i="96"/>
  <c r="I43" i="96"/>
  <c r="F43" i="96"/>
  <c r="AS42" i="96"/>
  <c r="AJ42" i="96"/>
  <c r="AI42" i="96"/>
  <c r="AH42" i="96"/>
  <c r="V42" i="96"/>
  <c r="N42" i="136"/>
  <c r="U42" i="96"/>
  <c r="L42" i="96"/>
  <c r="I42" i="96"/>
  <c r="F42" i="96"/>
  <c r="AS41" i="96"/>
  <c r="AJ41" i="96"/>
  <c r="AI41" i="96"/>
  <c r="AH41" i="96"/>
  <c r="V41" i="96"/>
  <c r="N41" i="136"/>
  <c r="U41" i="96"/>
  <c r="L41" i="96"/>
  <c r="I41" i="96"/>
  <c r="F41" i="96"/>
  <c r="AS40" i="96"/>
  <c r="AJ40" i="96"/>
  <c r="AI40" i="96"/>
  <c r="AH40" i="96"/>
  <c r="V40" i="96"/>
  <c r="N40" i="136"/>
  <c r="U40" i="96"/>
  <c r="L40" i="96"/>
  <c r="I40" i="96"/>
  <c r="F40" i="96"/>
  <c r="AS39" i="96"/>
  <c r="AJ39" i="96"/>
  <c r="AI39" i="96"/>
  <c r="AH39" i="96"/>
  <c r="V39" i="96"/>
  <c r="N39" i="136"/>
  <c r="U39" i="96"/>
  <c r="L39" i="96"/>
  <c r="I39" i="96"/>
  <c r="F39" i="96"/>
  <c r="AS38" i="96"/>
  <c r="AJ38" i="96"/>
  <c r="AI38" i="96"/>
  <c r="AH38" i="96"/>
  <c r="V38" i="96"/>
  <c r="N38" i="136"/>
  <c r="U38" i="96"/>
  <c r="L38" i="96"/>
  <c r="I38" i="96"/>
  <c r="F38" i="96"/>
  <c r="AS37" i="96"/>
  <c r="AJ37" i="96"/>
  <c r="AI37" i="96"/>
  <c r="AH37" i="96"/>
  <c r="V37" i="96"/>
  <c r="N37" i="136"/>
  <c r="U37" i="96"/>
  <c r="L37" i="96"/>
  <c r="I37" i="96"/>
  <c r="F37" i="96"/>
  <c r="AS36" i="96"/>
  <c r="AJ36" i="96"/>
  <c r="AI36" i="96"/>
  <c r="AH36" i="96"/>
  <c r="V36" i="96"/>
  <c r="N36" i="136"/>
  <c r="U36" i="96"/>
  <c r="L36" i="96"/>
  <c r="I36" i="96"/>
  <c r="F36" i="96"/>
  <c r="AS35" i="96"/>
  <c r="AJ35" i="96"/>
  <c r="AI35" i="96"/>
  <c r="AH35" i="96"/>
  <c r="V35" i="96"/>
  <c r="N35" i="136"/>
  <c r="U35" i="96"/>
  <c r="L35" i="96"/>
  <c r="I35" i="96"/>
  <c r="F35" i="96"/>
  <c r="AS34" i="96"/>
  <c r="AJ34" i="96"/>
  <c r="AI34" i="96"/>
  <c r="AH34" i="96"/>
  <c r="V34" i="96"/>
  <c r="N34" i="136"/>
  <c r="U34" i="96"/>
  <c r="L34" i="96"/>
  <c r="I34" i="96"/>
  <c r="F34" i="96"/>
  <c r="AS33" i="96"/>
  <c r="AJ33" i="96"/>
  <c r="AI33" i="96"/>
  <c r="AH33" i="96"/>
  <c r="V33" i="96"/>
  <c r="N33" i="136"/>
  <c r="U33" i="96"/>
  <c r="L33" i="96"/>
  <c r="I33" i="96"/>
  <c r="F33" i="96"/>
  <c r="AS32" i="96"/>
  <c r="AJ32" i="96"/>
  <c r="AI32" i="96"/>
  <c r="AH32" i="96"/>
  <c r="V32" i="96"/>
  <c r="N32" i="136"/>
  <c r="U32" i="96"/>
  <c r="L32" i="96"/>
  <c r="I32" i="96"/>
  <c r="F32" i="96"/>
  <c r="AS31" i="96"/>
  <c r="AJ31" i="96"/>
  <c r="AI31" i="96"/>
  <c r="AH31" i="96"/>
  <c r="V31" i="96"/>
  <c r="N31" i="136"/>
  <c r="U31" i="96"/>
  <c r="L31" i="96"/>
  <c r="I31" i="96"/>
  <c r="F31" i="96"/>
  <c r="AS30" i="96"/>
  <c r="AJ30" i="96"/>
  <c r="AI30" i="96"/>
  <c r="AH30" i="96"/>
  <c r="V30" i="96"/>
  <c r="N30" i="136"/>
  <c r="U30" i="96"/>
  <c r="L30" i="96"/>
  <c r="I30" i="96"/>
  <c r="F30" i="96"/>
  <c r="AS29" i="96"/>
  <c r="AJ29" i="96"/>
  <c r="AI29" i="96"/>
  <c r="AH29" i="96"/>
  <c r="V29" i="96"/>
  <c r="N29" i="136"/>
  <c r="U29" i="96"/>
  <c r="L29" i="96"/>
  <c r="I29" i="96"/>
  <c r="F29" i="96"/>
  <c r="AS28" i="96"/>
  <c r="AJ28" i="96"/>
  <c r="AI28" i="96"/>
  <c r="AH28" i="96"/>
  <c r="V28" i="96"/>
  <c r="N28" i="136"/>
  <c r="U28" i="96"/>
  <c r="L28" i="96"/>
  <c r="I28" i="96"/>
  <c r="F28" i="96"/>
  <c r="AS27" i="96"/>
  <c r="AJ27" i="96"/>
  <c r="AI27" i="96"/>
  <c r="AH27" i="96"/>
  <c r="V27" i="96"/>
  <c r="N27" i="136"/>
  <c r="U27" i="96"/>
  <c r="L27" i="96"/>
  <c r="I27" i="96"/>
  <c r="F27" i="96"/>
  <c r="AS26" i="96"/>
  <c r="AJ26" i="96"/>
  <c r="AI26" i="96"/>
  <c r="AH26" i="96"/>
  <c r="V26" i="96"/>
  <c r="N26" i="136"/>
  <c r="U26" i="96"/>
  <c r="L26" i="96"/>
  <c r="I26" i="96"/>
  <c r="F26" i="96"/>
  <c r="AS25" i="96"/>
  <c r="AJ25" i="96"/>
  <c r="AI25" i="96"/>
  <c r="AH25" i="96"/>
  <c r="V25" i="96"/>
  <c r="N25" i="136"/>
  <c r="U25" i="96"/>
  <c r="L25" i="96"/>
  <c r="I25" i="96"/>
  <c r="F25" i="96"/>
  <c r="AS24" i="96"/>
  <c r="AJ24" i="96"/>
  <c r="AI24" i="96"/>
  <c r="AH24" i="96"/>
  <c r="V24" i="96"/>
  <c r="N24" i="136"/>
  <c r="U24" i="96"/>
  <c r="L24" i="96"/>
  <c r="I24" i="96"/>
  <c r="F24" i="96"/>
  <c r="AS23" i="96"/>
  <c r="AJ23" i="96"/>
  <c r="AI23" i="96"/>
  <c r="AH23" i="96"/>
  <c r="V23" i="96"/>
  <c r="N23" i="136"/>
  <c r="U23" i="96"/>
  <c r="L23" i="96"/>
  <c r="I23" i="96"/>
  <c r="F23" i="96"/>
  <c r="AS22" i="96"/>
  <c r="AJ22" i="96"/>
  <c r="AI22" i="96"/>
  <c r="AH22" i="96"/>
  <c r="V22" i="96"/>
  <c r="N22" i="136"/>
  <c r="U22" i="96"/>
  <c r="L22" i="96"/>
  <c r="I22" i="96"/>
  <c r="F22" i="96"/>
  <c r="AS21" i="96"/>
  <c r="AJ21" i="96"/>
  <c r="AI21" i="96"/>
  <c r="AH21" i="96"/>
  <c r="V21" i="96"/>
  <c r="N21" i="136"/>
  <c r="U21" i="96"/>
  <c r="L21" i="96"/>
  <c r="I21" i="96"/>
  <c r="F21" i="96"/>
  <c r="AS20" i="96"/>
  <c r="AJ20" i="96"/>
  <c r="AI20" i="96"/>
  <c r="AH20" i="96"/>
  <c r="V20" i="96"/>
  <c r="N20" i="136"/>
  <c r="U20" i="96"/>
  <c r="L20" i="96"/>
  <c r="I20" i="96"/>
  <c r="F20" i="96"/>
  <c r="AS19" i="96"/>
  <c r="AJ19" i="96"/>
  <c r="AI19" i="96"/>
  <c r="AH19" i="96"/>
  <c r="V19" i="96"/>
  <c r="N19" i="136"/>
  <c r="U19" i="96"/>
  <c r="L19" i="96"/>
  <c r="I19" i="96"/>
  <c r="F19" i="96"/>
  <c r="AS18" i="96"/>
  <c r="AJ18" i="96"/>
  <c r="AI18" i="96"/>
  <c r="AH18" i="96"/>
  <c r="V18" i="96"/>
  <c r="N18" i="136"/>
  <c r="U18" i="96"/>
  <c r="L18" i="96"/>
  <c r="I18" i="96"/>
  <c r="F18" i="96"/>
  <c r="AS17" i="96"/>
  <c r="AJ17" i="96"/>
  <c r="AI17" i="96"/>
  <c r="AH17" i="96"/>
  <c r="V17" i="96"/>
  <c r="N17" i="136"/>
  <c r="U17" i="96"/>
  <c r="L17" i="96"/>
  <c r="I17" i="96"/>
  <c r="F17" i="96"/>
  <c r="AS16" i="96"/>
  <c r="AJ16" i="96"/>
  <c r="AI16" i="96"/>
  <c r="AH16" i="96"/>
  <c r="V16" i="96"/>
  <c r="N16" i="136"/>
  <c r="U16" i="96"/>
  <c r="L16" i="96"/>
  <c r="I16" i="96"/>
  <c r="F16" i="96"/>
  <c r="AS15" i="96"/>
  <c r="AJ15" i="96"/>
  <c r="AI15" i="96"/>
  <c r="AH15" i="96"/>
  <c r="V15" i="96"/>
  <c r="U15" i="96"/>
  <c r="L15" i="96"/>
  <c r="I15" i="96"/>
  <c r="F15" i="96"/>
  <c r="A15" i="96"/>
  <c r="A16" i="96"/>
  <c r="A17" i="96"/>
  <c r="A18" i="96"/>
  <c r="A19" i="96"/>
  <c r="A20" i="96"/>
  <c r="A21" i="96"/>
  <c r="A22" i="96"/>
  <c r="A23" i="96"/>
  <c r="A24" i="96"/>
  <c r="A25" i="96"/>
  <c r="A26" i="96"/>
  <c r="A27" i="96"/>
  <c r="A28" i="96"/>
  <c r="A29" i="96"/>
  <c r="A30" i="96"/>
  <c r="A31" i="96"/>
  <c r="A32" i="96"/>
  <c r="A33" i="96"/>
  <c r="A34" i="96"/>
  <c r="A35" i="96"/>
  <c r="A36" i="96"/>
  <c r="A37" i="96"/>
  <c r="A38" i="96"/>
  <c r="A39" i="96"/>
  <c r="A40" i="96"/>
  <c r="A41" i="96"/>
  <c r="A42" i="96"/>
  <c r="A43" i="96"/>
  <c r="A44" i="96"/>
  <c r="A45" i="96"/>
  <c r="A46" i="96"/>
  <c r="A47" i="96"/>
  <c r="A48" i="96"/>
  <c r="A49" i="96"/>
  <c r="A50" i="96"/>
  <c r="A51" i="96"/>
  <c r="A52" i="96"/>
  <c r="A53" i="96"/>
  <c r="A54" i="96"/>
  <c r="A55" i="96"/>
  <c r="A56" i="96"/>
  <c r="A57" i="96"/>
  <c r="A58" i="96"/>
  <c r="A59" i="96"/>
  <c r="A60" i="96"/>
  <c r="A61" i="96"/>
  <c r="A62" i="96"/>
  <c r="A63" i="96"/>
  <c r="A64" i="96"/>
  <c r="A65" i="96"/>
  <c r="A66" i="96"/>
  <c r="A67" i="96"/>
  <c r="A68" i="96"/>
  <c r="A69" i="96"/>
  <c r="A70" i="96"/>
  <c r="A71" i="96"/>
  <c r="A72" i="96"/>
  <c r="A73" i="96"/>
  <c r="A74" i="96"/>
  <c r="A75" i="96"/>
  <c r="A76" i="96"/>
  <c r="A77" i="96"/>
  <c r="A78" i="96"/>
  <c r="A79" i="96"/>
  <c r="A80" i="96"/>
  <c r="A81" i="96"/>
  <c r="A82" i="96"/>
  <c r="A83" i="96"/>
  <c r="A84" i="96"/>
  <c r="A85" i="96"/>
  <c r="A86" i="96"/>
  <c r="AS14" i="96"/>
  <c r="AJ14" i="96"/>
  <c r="AI14" i="96"/>
  <c r="AH14" i="96"/>
  <c r="V14" i="96"/>
  <c r="N14" i="136"/>
  <c r="U14" i="96"/>
  <c r="L14" i="96"/>
  <c r="I14" i="96"/>
  <c r="F14" i="96"/>
  <c r="AS13" i="96"/>
  <c r="AJ13" i="96"/>
  <c r="AI13" i="96"/>
  <c r="AH13" i="96"/>
  <c r="V13" i="96"/>
  <c r="N13" i="136"/>
  <c r="U13" i="96"/>
  <c r="L13" i="96"/>
  <c r="I13" i="96"/>
  <c r="F13" i="96"/>
  <c r="AS12" i="96"/>
  <c r="AJ12" i="96"/>
  <c r="AI12" i="96"/>
  <c r="AH12" i="96"/>
  <c r="V12" i="96"/>
  <c r="N12" i="136"/>
  <c r="U12" i="96"/>
  <c r="L12" i="96"/>
  <c r="I12" i="96"/>
  <c r="F12" i="96"/>
  <c r="AS11" i="96"/>
  <c r="AJ11" i="96"/>
  <c r="AI11" i="96"/>
  <c r="AH11" i="96"/>
  <c r="V11" i="96"/>
  <c r="N11" i="136"/>
  <c r="U11" i="96"/>
  <c r="L11" i="96"/>
  <c r="I11" i="96"/>
  <c r="F11" i="96"/>
  <c r="AS10" i="96"/>
  <c r="AJ10" i="96"/>
  <c r="AI10" i="96"/>
  <c r="AH10" i="96"/>
  <c r="V10" i="96"/>
  <c r="N10" i="136"/>
  <c r="U10" i="96"/>
  <c r="L10" i="96"/>
  <c r="I10" i="96"/>
  <c r="F10" i="96"/>
  <c r="AS9" i="96"/>
  <c r="AJ9" i="96"/>
  <c r="AI9" i="96"/>
  <c r="AH9" i="96"/>
  <c r="V9" i="96"/>
  <c r="N9" i="136"/>
  <c r="U9" i="96"/>
  <c r="L9" i="96"/>
  <c r="I9" i="96"/>
  <c r="F9" i="96"/>
  <c r="AS8" i="96"/>
  <c r="AJ8" i="96"/>
  <c r="AI8" i="96"/>
  <c r="AH8" i="96"/>
  <c r="V8" i="96"/>
  <c r="N8" i="136"/>
  <c r="U8" i="96"/>
  <c r="L8" i="96"/>
  <c r="I8" i="96"/>
  <c r="F8" i="96"/>
  <c r="AS7" i="96"/>
  <c r="AJ7" i="96"/>
  <c r="AI7" i="96"/>
  <c r="AH7" i="96"/>
  <c r="V7" i="96"/>
  <c r="N7" i="136"/>
  <c r="U7" i="96"/>
  <c r="L7" i="96"/>
  <c r="I7" i="96"/>
  <c r="F7" i="96"/>
  <c r="AS6" i="96"/>
  <c r="AJ6" i="96"/>
  <c r="AI6" i="96"/>
  <c r="AH6" i="96"/>
  <c r="V6" i="96"/>
  <c r="N6" i="136"/>
  <c r="U6" i="96"/>
  <c r="L6" i="96"/>
  <c r="L88" i="96"/>
  <c r="AH9" i="84"/>
  <c r="I6" i="96"/>
  <c r="F6" i="96"/>
  <c r="E6" i="96"/>
  <c r="D6" i="96"/>
  <c r="AF41" i="91"/>
  <c r="AD12" i="84"/>
  <c r="AD11" i="84"/>
  <c r="AC20" i="83"/>
  <c r="AC47" i="83"/>
  <c r="AC57" i="83"/>
  <c r="AC46" i="83"/>
  <c r="AC42" i="83"/>
  <c r="AC30" i="83"/>
  <c r="AC29" i="83"/>
  <c r="AC11" i="83"/>
  <c r="AC24" i="83"/>
  <c r="AC5" i="83"/>
  <c r="J31" i="141"/>
  <c r="K31" i="141"/>
  <c r="AF16" i="82"/>
  <c r="AF17" i="82"/>
  <c r="M43" i="141"/>
  <c r="P43" i="141"/>
  <c r="M12" i="141"/>
  <c r="P12" i="141"/>
  <c r="M27" i="141"/>
  <c r="P27" i="141"/>
  <c r="M40" i="141"/>
  <c r="P40" i="141"/>
  <c r="AA41" i="159"/>
  <c r="AB41" i="159"/>
  <c r="I41" i="159"/>
  <c r="G41" i="159"/>
  <c r="E41" i="159"/>
  <c r="C41" i="159"/>
  <c r="D41" i="159"/>
  <c r="B41" i="159"/>
  <c r="S40" i="159"/>
  <c r="Q40" i="159"/>
  <c r="O40" i="159"/>
  <c r="W39" i="159"/>
  <c r="S39" i="159"/>
  <c r="V39" i="159"/>
  <c r="Q39" i="159"/>
  <c r="R39" i="159"/>
  <c r="O39" i="159"/>
  <c r="M39" i="159"/>
  <c r="K39" i="159"/>
  <c r="J39" i="159"/>
  <c r="H39" i="159"/>
  <c r="Z38" i="159"/>
  <c r="X38" i="159"/>
  <c r="S38" i="159"/>
  <c r="V38" i="159"/>
  <c r="Q38" i="159"/>
  <c r="R38" i="159"/>
  <c r="O38" i="159"/>
  <c r="D38" i="159"/>
  <c r="W37" i="159"/>
  <c r="Z37" i="159"/>
  <c r="S37" i="159"/>
  <c r="Q37" i="159"/>
  <c r="O37" i="159"/>
  <c r="P37" i="159"/>
  <c r="M37" i="159"/>
  <c r="K37" i="159"/>
  <c r="L37" i="159"/>
  <c r="J37" i="159"/>
  <c r="H37" i="159"/>
  <c r="D37" i="159"/>
  <c r="Z36" i="159"/>
  <c r="X36" i="159"/>
  <c r="S36" i="159"/>
  <c r="T36" i="159"/>
  <c r="Q36" i="159"/>
  <c r="R36" i="159"/>
  <c r="O36" i="159"/>
  <c r="P36" i="159"/>
  <c r="M36" i="159"/>
  <c r="N36" i="159"/>
  <c r="K36" i="159"/>
  <c r="L36" i="159"/>
  <c r="J36" i="159"/>
  <c r="H36" i="159"/>
  <c r="D36" i="159"/>
  <c r="W35" i="159"/>
  <c r="X35" i="159"/>
  <c r="S35" i="159"/>
  <c r="Q35" i="159"/>
  <c r="O35" i="159"/>
  <c r="M35" i="159"/>
  <c r="K35" i="159"/>
  <c r="L35" i="159"/>
  <c r="J35" i="159"/>
  <c r="H35" i="159"/>
  <c r="D35" i="159"/>
  <c r="AA32" i="159"/>
  <c r="AB32" i="159"/>
  <c r="W32" i="159"/>
  <c r="Z32" i="159"/>
  <c r="U32" i="159"/>
  <c r="I32" i="159"/>
  <c r="G32" i="159"/>
  <c r="J32" i="159"/>
  <c r="E32" i="159"/>
  <c r="C32" i="159"/>
  <c r="B32" i="159"/>
  <c r="Z31" i="159"/>
  <c r="X31" i="159"/>
  <c r="V31" i="159"/>
  <c r="T31" i="159"/>
  <c r="R31" i="159"/>
  <c r="P31" i="159"/>
  <c r="Z30" i="159"/>
  <c r="X30" i="159"/>
  <c r="V30" i="159"/>
  <c r="T30" i="159"/>
  <c r="R30" i="159"/>
  <c r="P30" i="159"/>
  <c r="Z29" i="159"/>
  <c r="X29" i="159"/>
  <c r="S29" i="159"/>
  <c r="O29" i="159"/>
  <c r="Z28" i="159"/>
  <c r="X28" i="159"/>
  <c r="S28" i="159"/>
  <c r="V28" i="159"/>
  <c r="Q28" i="159"/>
  <c r="M28" i="159"/>
  <c r="P28" i="159"/>
  <c r="K28" i="159"/>
  <c r="K32" i="159"/>
  <c r="L32" i="159"/>
  <c r="J28" i="159"/>
  <c r="H28" i="159"/>
  <c r="F28" i="159"/>
  <c r="D28" i="159"/>
  <c r="Z27" i="159"/>
  <c r="X27" i="159"/>
  <c r="S27" i="159"/>
  <c r="V27" i="159"/>
  <c r="Q27" i="159"/>
  <c r="O27" i="159"/>
  <c r="M27" i="159"/>
  <c r="K27" i="159"/>
  <c r="L27" i="159"/>
  <c r="J27" i="159"/>
  <c r="H27" i="159"/>
  <c r="F27" i="159"/>
  <c r="D27" i="159"/>
  <c r="Z26" i="159"/>
  <c r="X26" i="159"/>
  <c r="S26" i="159"/>
  <c r="V26" i="159"/>
  <c r="Q26" i="159"/>
  <c r="O26" i="159"/>
  <c r="P26" i="159"/>
  <c r="M26" i="159"/>
  <c r="N26" i="159"/>
  <c r="L26" i="159"/>
  <c r="J26" i="159"/>
  <c r="H26" i="159"/>
  <c r="F26" i="159"/>
  <c r="D26" i="159"/>
  <c r="Z25" i="159"/>
  <c r="X25" i="159"/>
  <c r="S25" i="159"/>
  <c r="V25" i="159"/>
  <c r="Q25" i="159"/>
  <c r="O25" i="159"/>
  <c r="P25" i="159"/>
  <c r="M25" i="159"/>
  <c r="M32" i="159"/>
  <c r="L25" i="159"/>
  <c r="J25" i="159"/>
  <c r="H25" i="159"/>
  <c r="F25" i="159"/>
  <c r="D25" i="159"/>
  <c r="AA22" i="159"/>
  <c r="AB22" i="159"/>
  <c r="W22" i="159"/>
  <c r="Z22" i="159"/>
  <c r="U22" i="159"/>
  <c r="I22" i="159"/>
  <c r="J22" i="159"/>
  <c r="G22" i="159"/>
  <c r="E22" i="159"/>
  <c r="F22" i="159"/>
  <c r="C22" i="159"/>
  <c r="B22" i="159"/>
  <c r="D22" i="159"/>
  <c r="Z21" i="159"/>
  <c r="X21" i="159"/>
  <c r="V21" i="159"/>
  <c r="T21" i="159"/>
  <c r="R21" i="159"/>
  <c r="P21" i="159"/>
  <c r="N21" i="159"/>
  <c r="Z20" i="159"/>
  <c r="X20" i="159"/>
  <c r="V20" i="159"/>
  <c r="T20" i="159"/>
  <c r="R20" i="159"/>
  <c r="P20" i="159"/>
  <c r="N20" i="159"/>
  <c r="Z19" i="159"/>
  <c r="X19" i="159"/>
  <c r="S19" i="159"/>
  <c r="Q19" i="159"/>
  <c r="O19" i="159"/>
  <c r="Z18" i="159"/>
  <c r="X18" i="159"/>
  <c r="S18" i="159"/>
  <c r="Q18" i="159"/>
  <c r="R18" i="159"/>
  <c r="O18" i="159"/>
  <c r="M18" i="159"/>
  <c r="K18" i="159"/>
  <c r="L18" i="159"/>
  <c r="J18" i="159"/>
  <c r="H18" i="159"/>
  <c r="F18" i="159"/>
  <c r="D18" i="159"/>
  <c r="Z17" i="159"/>
  <c r="X17" i="159"/>
  <c r="S17" i="159"/>
  <c r="T17" i="159"/>
  <c r="Q17" i="159"/>
  <c r="O17" i="159"/>
  <c r="R17" i="159"/>
  <c r="M17" i="159"/>
  <c r="K17" i="159"/>
  <c r="L17" i="159"/>
  <c r="J17" i="159"/>
  <c r="H17" i="159"/>
  <c r="F17" i="159"/>
  <c r="D17" i="159"/>
  <c r="Z16" i="159"/>
  <c r="X16" i="159"/>
  <c r="S16" i="159"/>
  <c r="V16" i="159"/>
  <c r="Q16" i="159"/>
  <c r="R16" i="159"/>
  <c r="O16" i="159"/>
  <c r="M16" i="159"/>
  <c r="P16" i="159"/>
  <c r="K16" i="159"/>
  <c r="K22" i="159"/>
  <c r="J16" i="159"/>
  <c r="H16" i="159"/>
  <c r="F16" i="159"/>
  <c r="D16" i="159"/>
  <c r="Z15" i="159"/>
  <c r="X15" i="159"/>
  <c r="S15" i="159"/>
  <c r="Q15" i="159"/>
  <c r="O15" i="159"/>
  <c r="O22" i="159"/>
  <c r="M15" i="159"/>
  <c r="N15" i="159"/>
  <c r="L15" i="159"/>
  <c r="J15" i="159"/>
  <c r="H15" i="159"/>
  <c r="F15" i="159"/>
  <c r="D15" i="159"/>
  <c r="M12" i="159"/>
  <c r="I12" i="159"/>
  <c r="J12" i="159"/>
  <c r="G12" i="159"/>
  <c r="E12" i="159"/>
  <c r="F12" i="159"/>
  <c r="C12" i="159"/>
  <c r="Z11" i="159"/>
  <c r="X11" i="159"/>
  <c r="S11" i="159"/>
  <c r="T11" i="159"/>
  <c r="Q11" i="159"/>
  <c r="O11" i="159"/>
  <c r="K11" i="159"/>
  <c r="N11" i="159"/>
  <c r="J11" i="159"/>
  <c r="H11" i="159"/>
  <c r="F11" i="159"/>
  <c r="Z10" i="159"/>
  <c r="X10" i="159"/>
  <c r="S10" i="159"/>
  <c r="V10" i="159"/>
  <c r="Q10" i="159"/>
  <c r="O10" i="159"/>
  <c r="M10" i="159"/>
  <c r="N10" i="159"/>
  <c r="K10" i="159"/>
  <c r="I10" i="159"/>
  <c r="J10" i="159"/>
  <c r="H10" i="159"/>
  <c r="F10" i="159"/>
  <c r="Z9" i="159"/>
  <c r="X9" i="159"/>
  <c r="S9" i="159"/>
  <c r="Q9" i="159"/>
  <c r="T9" i="159"/>
  <c r="O9" i="159"/>
  <c r="P9" i="159"/>
  <c r="K9" i="159"/>
  <c r="N9" i="159"/>
  <c r="J9" i="159"/>
  <c r="H9" i="159"/>
  <c r="F9" i="159"/>
  <c r="W8" i="159"/>
  <c r="X8" i="159"/>
  <c r="S8" i="159"/>
  <c r="V8" i="159"/>
  <c r="Q8" i="159"/>
  <c r="R8" i="159"/>
  <c r="O8" i="159"/>
  <c r="P8" i="159"/>
  <c r="K8" i="159"/>
  <c r="J8" i="159"/>
  <c r="H8" i="159"/>
  <c r="F8" i="159"/>
  <c r="W7" i="159"/>
  <c r="S7" i="159"/>
  <c r="V7" i="159"/>
  <c r="Q7" i="159"/>
  <c r="R7" i="159"/>
  <c r="O7" i="159"/>
  <c r="M7" i="159"/>
  <c r="N7" i="159"/>
  <c r="K7" i="159"/>
  <c r="I7" i="159"/>
  <c r="H7" i="159"/>
  <c r="F7" i="159"/>
  <c r="W6" i="159"/>
  <c r="X6" i="159"/>
  <c r="S6" i="159"/>
  <c r="Q6" i="159"/>
  <c r="R6" i="159"/>
  <c r="O6" i="159"/>
  <c r="P6" i="159"/>
  <c r="K6" i="159"/>
  <c r="N6" i="159"/>
  <c r="J6" i="159"/>
  <c r="H6" i="159"/>
  <c r="F6" i="159"/>
  <c r="W5" i="159"/>
  <c r="S5" i="159"/>
  <c r="V5" i="159"/>
  <c r="Q5" i="159"/>
  <c r="Q12" i="159"/>
  <c r="O5" i="159"/>
  <c r="K5" i="159"/>
  <c r="J5" i="159"/>
  <c r="H5" i="159"/>
  <c r="F5" i="159"/>
  <c r="V11" i="159"/>
  <c r="V18" i="159"/>
  <c r="L28" i="159"/>
  <c r="N35" i="159"/>
  <c r="P35" i="159"/>
  <c r="AX96" i="91"/>
  <c r="G17" i="136"/>
  <c r="G21" i="136"/>
  <c r="G29" i="136"/>
  <c r="BA9" i="91"/>
  <c r="BA10" i="91"/>
  <c r="BA11" i="91"/>
  <c r="BA12" i="91"/>
  <c r="BA13" i="91"/>
  <c r="BA14" i="91"/>
  <c r="BA15" i="91"/>
  <c r="BA16" i="91"/>
  <c r="BA17" i="91"/>
  <c r="BA18" i="91"/>
  <c r="BA19" i="91"/>
  <c r="BA20" i="91"/>
  <c r="BA21" i="91"/>
  <c r="BA22" i="91"/>
  <c r="BA23" i="91"/>
  <c r="BA24" i="91"/>
  <c r="BA25" i="91"/>
  <c r="BA26" i="91"/>
  <c r="BA27" i="91"/>
  <c r="BA28" i="91"/>
  <c r="BA29" i="91"/>
  <c r="BA30" i="91"/>
  <c r="BA31" i="91"/>
  <c r="BA32" i="91"/>
  <c r="BA33" i="91"/>
  <c r="BA34" i="91"/>
  <c r="BA35" i="91"/>
  <c r="BA36" i="91"/>
  <c r="BA37" i="91"/>
  <c r="BA38" i="91"/>
  <c r="BA39" i="91"/>
  <c r="BA40" i="91"/>
  <c r="BA41" i="91"/>
  <c r="BA42" i="91"/>
  <c r="BA43" i="91"/>
  <c r="BA44" i="91"/>
  <c r="BA45" i="91"/>
  <c r="BA46" i="91"/>
  <c r="BA47" i="91"/>
  <c r="BA8" i="91"/>
  <c r="AG8" i="91"/>
  <c r="AQ8" i="91"/>
  <c r="AR8" i="91"/>
  <c r="AS8" i="91"/>
  <c r="AT8" i="91"/>
  <c r="AU8" i="91"/>
  <c r="AY8" i="91"/>
  <c r="BH8" i="91"/>
  <c r="BK8" i="91"/>
  <c r="AG9" i="91"/>
  <c r="AQ9" i="91"/>
  <c r="AR9" i="91"/>
  <c r="AS9" i="91"/>
  <c r="AT9" i="91"/>
  <c r="AU9" i="91"/>
  <c r="AY9" i="91"/>
  <c r="BH9" i="91"/>
  <c r="BK9" i="91"/>
  <c r="AG10" i="91"/>
  <c r="L8" i="136"/>
  <c r="AQ10" i="91"/>
  <c r="AR10" i="91"/>
  <c r="AS10" i="91"/>
  <c r="AT10" i="91"/>
  <c r="AU10" i="91"/>
  <c r="AY10" i="91"/>
  <c r="BH10" i="91"/>
  <c r="BK10" i="91"/>
  <c r="AG11" i="91"/>
  <c r="AQ11" i="91"/>
  <c r="AR11" i="91"/>
  <c r="AS11" i="91"/>
  <c r="AT11" i="91"/>
  <c r="AU11" i="91"/>
  <c r="AY11" i="91"/>
  <c r="BH11" i="91"/>
  <c r="BK11" i="91"/>
  <c r="AG12" i="91"/>
  <c r="L10" i="136"/>
  <c r="AQ12" i="91"/>
  <c r="AR12" i="91"/>
  <c r="AS12" i="91"/>
  <c r="AT12" i="91"/>
  <c r="AU12" i="91"/>
  <c r="AY12" i="91"/>
  <c r="BH12" i="91"/>
  <c r="BK12" i="91"/>
  <c r="AG13" i="91"/>
  <c r="L11" i="136"/>
  <c r="AQ13" i="91"/>
  <c r="AR13" i="91"/>
  <c r="AS13" i="91"/>
  <c r="AT13" i="91"/>
  <c r="AU13" i="91"/>
  <c r="AY13" i="91"/>
  <c r="BH13" i="91"/>
  <c r="BK13" i="91"/>
  <c r="AG14" i="91"/>
  <c r="L12" i="136"/>
  <c r="AQ14" i="91"/>
  <c r="AV14" i="91"/>
  <c r="AR14" i="91"/>
  <c r="AS14" i="91"/>
  <c r="AT14" i="91"/>
  <c r="AU14" i="91"/>
  <c r="AY14" i="91"/>
  <c r="BH14" i="91"/>
  <c r="BK14" i="91"/>
  <c r="AG15" i="91"/>
  <c r="AQ15" i="91"/>
  <c r="AV15" i="91"/>
  <c r="AR15" i="91"/>
  <c r="AS15" i="91"/>
  <c r="AT15" i="91"/>
  <c r="AU15" i="91"/>
  <c r="AY15" i="91"/>
  <c r="BH15" i="91"/>
  <c r="BK15" i="91"/>
  <c r="AG16" i="91"/>
  <c r="L14" i="136"/>
  <c r="AQ16" i="91"/>
  <c r="AV16" i="91"/>
  <c r="AR16" i="91"/>
  <c r="AS16" i="91"/>
  <c r="AT16" i="91"/>
  <c r="AU16" i="91"/>
  <c r="AY16" i="91"/>
  <c r="BH16" i="91"/>
  <c r="BK16" i="91"/>
  <c r="AG17" i="91"/>
  <c r="AQ17" i="91"/>
  <c r="AR17" i="91"/>
  <c r="AS17" i="91"/>
  <c r="AT17" i="91"/>
  <c r="AU17" i="91"/>
  <c r="AY17" i="91"/>
  <c r="BH17" i="91"/>
  <c r="BK17" i="91"/>
  <c r="AG18" i="91"/>
  <c r="L16" i="136"/>
  <c r="AQ18" i="91"/>
  <c r="AR18" i="91"/>
  <c r="AS18" i="91"/>
  <c r="AT18" i="91"/>
  <c r="AU18" i="91"/>
  <c r="AY18" i="91"/>
  <c r="BH18" i="91"/>
  <c r="BK18" i="91"/>
  <c r="AG19" i="91"/>
  <c r="L17" i="136"/>
  <c r="AQ19" i="91"/>
  <c r="AR19" i="91"/>
  <c r="AS19" i="91"/>
  <c r="AT19" i="91"/>
  <c r="AU19" i="91"/>
  <c r="AY19" i="91"/>
  <c r="BH19" i="91"/>
  <c r="BK19" i="91"/>
  <c r="AG20" i="91"/>
  <c r="L18" i="136"/>
  <c r="AQ20" i="91"/>
  <c r="AV20" i="91"/>
  <c r="AR20" i="91"/>
  <c r="AS20" i="91"/>
  <c r="AT20" i="91"/>
  <c r="AU20" i="91"/>
  <c r="AY20" i="91"/>
  <c r="BH20" i="91"/>
  <c r="BK20" i="91"/>
  <c r="AG21" i="91"/>
  <c r="L19" i="136"/>
  <c r="AQ21" i="91"/>
  <c r="AR21" i="91"/>
  <c r="AS21" i="91"/>
  <c r="AT21" i="91"/>
  <c r="AU21" i="91"/>
  <c r="AY21" i="91"/>
  <c r="BH21" i="91"/>
  <c r="BK21" i="91"/>
  <c r="AG22" i="91"/>
  <c r="L20" i="136"/>
  <c r="AQ22" i="91"/>
  <c r="AV22" i="91"/>
  <c r="AR22" i="91"/>
  <c r="AS22" i="91"/>
  <c r="AT22" i="91"/>
  <c r="AU22" i="91"/>
  <c r="AY22" i="91"/>
  <c r="BH22" i="91"/>
  <c r="BK22" i="91"/>
  <c r="AG23" i="91"/>
  <c r="L21" i="136"/>
  <c r="AQ23" i="91"/>
  <c r="AR23" i="91"/>
  <c r="AS23" i="91"/>
  <c r="AT23" i="91"/>
  <c r="AU23" i="91"/>
  <c r="AY23" i="91"/>
  <c r="BH23" i="91"/>
  <c r="BK23" i="91"/>
  <c r="AG24" i="91"/>
  <c r="L22" i="136"/>
  <c r="AQ24" i="91"/>
  <c r="AV24" i="91"/>
  <c r="AR24" i="91"/>
  <c r="AS24" i="91"/>
  <c r="AT24" i="91"/>
  <c r="AU24" i="91"/>
  <c r="AY24" i="91"/>
  <c r="BH24" i="91"/>
  <c r="BK24" i="91"/>
  <c r="AG25" i="91"/>
  <c r="L23" i="136"/>
  <c r="AQ25" i="91"/>
  <c r="AR25" i="91"/>
  <c r="AS25" i="91"/>
  <c r="AT25" i="91"/>
  <c r="AU25" i="91"/>
  <c r="AY25" i="91"/>
  <c r="BH25" i="91"/>
  <c r="BK25" i="91"/>
  <c r="AG26" i="91"/>
  <c r="L24" i="136"/>
  <c r="AQ26" i="91"/>
  <c r="AR26" i="91"/>
  <c r="AS26" i="91"/>
  <c r="AT26" i="91"/>
  <c r="AU26" i="91"/>
  <c r="AY26" i="91"/>
  <c r="BH26" i="91"/>
  <c r="BK26" i="91"/>
  <c r="AG27" i="91"/>
  <c r="L25" i="136"/>
  <c r="AQ27" i="91"/>
  <c r="AR27" i="91"/>
  <c r="AS27" i="91"/>
  <c r="AT27" i="91"/>
  <c r="AU27" i="91"/>
  <c r="AY27" i="91"/>
  <c r="BH27" i="91"/>
  <c r="BK27" i="91"/>
  <c r="AG28" i="91"/>
  <c r="L26" i="136"/>
  <c r="AQ28" i="91"/>
  <c r="AV28" i="91"/>
  <c r="AR28" i="91"/>
  <c r="AS28" i="91"/>
  <c r="AT28" i="91"/>
  <c r="AU28" i="91"/>
  <c r="AY28" i="91"/>
  <c r="BH28" i="91"/>
  <c r="BK28" i="91"/>
  <c r="AG29" i="91"/>
  <c r="L27" i="136"/>
  <c r="AQ29" i="91"/>
  <c r="AR29" i="91"/>
  <c r="AS29" i="91"/>
  <c r="AT29" i="91"/>
  <c r="AU29" i="91"/>
  <c r="AY29" i="91"/>
  <c r="BH29" i="91"/>
  <c r="BK29" i="91"/>
  <c r="AG30" i="91"/>
  <c r="L28" i="136"/>
  <c r="AQ30" i="91"/>
  <c r="AV30" i="91"/>
  <c r="AR30" i="91"/>
  <c r="AS30" i="91"/>
  <c r="AT30" i="91"/>
  <c r="AU30" i="91"/>
  <c r="AY30" i="91"/>
  <c r="BH30" i="91"/>
  <c r="BK30" i="91"/>
  <c r="AG31" i="91"/>
  <c r="L29" i="136"/>
  <c r="AQ31" i="91"/>
  <c r="AR31" i="91"/>
  <c r="AS31" i="91"/>
  <c r="AT31" i="91"/>
  <c r="AU31" i="91"/>
  <c r="AY31" i="91"/>
  <c r="BH31" i="91"/>
  <c r="BK31" i="91"/>
  <c r="AG32" i="91"/>
  <c r="L30" i="136"/>
  <c r="AQ32" i="91"/>
  <c r="AR32" i="91"/>
  <c r="AS32" i="91"/>
  <c r="AT32" i="91"/>
  <c r="AU32" i="91"/>
  <c r="AY32" i="91"/>
  <c r="BH32" i="91"/>
  <c r="BK32" i="91"/>
  <c r="AG33" i="91"/>
  <c r="L31" i="136"/>
  <c r="AQ33" i="91"/>
  <c r="AV33" i="91"/>
  <c r="AR33" i="91"/>
  <c r="AS33" i="91"/>
  <c r="AT33" i="91"/>
  <c r="AU33" i="91"/>
  <c r="AY33" i="91"/>
  <c r="BH33" i="91"/>
  <c r="BK33" i="91"/>
  <c r="AG34" i="91"/>
  <c r="L32" i="136"/>
  <c r="AQ34" i="91"/>
  <c r="AR34" i="91"/>
  <c r="AS34" i="91"/>
  <c r="AT34" i="91"/>
  <c r="AU34" i="91"/>
  <c r="AY34" i="91"/>
  <c r="BH34" i="91"/>
  <c r="BK34" i="91"/>
  <c r="AG35" i="91"/>
  <c r="L33" i="136"/>
  <c r="AQ35" i="91"/>
  <c r="AR35" i="91"/>
  <c r="AS35" i="91"/>
  <c r="AT35" i="91"/>
  <c r="AU35" i="91"/>
  <c r="AY35" i="91"/>
  <c r="BH35" i="91"/>
  <c r="BK35" i="91"/>
  <c r="AG36" i="91"/>
  <c r="L34" i="136"/>
  <c r="AQ36" i="91"/>
  <c r="AR36" i="91"/>
  <c r="AS36" i="91"/>
  <c r="AT36" i="91"/>
  <c r="AU36" i="91"/>
  <c r="AY36" i="91"/>
  <c r="BH36" i="91"/>
  <c r="BK36" i="91"/>
  <c r="AG37" i="91"/>
  <c r="L35" i="136"/>
  <c r="AQ37" i="91"/>
  <c r="AR37" i="91"/>
  <c r="AS37" i="91"/>
  <c r="AT37" i="91"/>
  <c r="AU37" i="91"/>
  <c r="AY37" i="91"/>
  <c r="BH37" i="91"/>
  <c r="BK37" i="91"/>
  <c r="AG38" i="91"/>
  <c r="L36" i="136"/>
  <c r="AQ38" i="91"/>
  <c r="AR38" i="91"/>
  <c r="AS38" i="91"/>
  <c r="AT38" i="91"/>
  <c r="AU38" i="91"/>
  <c r="AY38" i="91"/>
  <c r="BH38" i="91"/>
  <c r="BK38" i="91"/>
  <c r="AG39" i="91"/>
  <c r="L37" i="136"/>
  <c r="AQ39" i="91"/>
  <c r="AR39" i="91"/>
  <c r="AS39" i="91"/>
  <c r="AT39" i="91"/>
  <c r="AU39" i="91"/>
  <c r="AY39" i="91"/>
  <c r="BH39" i="91"/>
  <c r="BK39" i="91"/>
  <c r="AG40" i="91"/>
  <c r="L38" i="136"/>
  <c r="AQ40" i="91"/>
  <c r="AR40" i="91"/>
  <c r="AS40" i="91"/>
  <c r="AT40" i="91"/>
  <c r="AU40" i="91"/>
  <c r="AY40" i="91"/>
  <c r="BH40" i="91"/>
  <c r="BK40" i="91"/>
  <c r="AG41" i="91"/>
  <c r="L39" i="136"/>
  <c r="AQ41" i="91"/>
  <c r="AR41" i="91"/>
  <c r="AS41" i="91"/>
  <c r="AT41" i="91"/>
  <c r="AU41" i="91"/>
  <c r="AY41" i="91"/>
  <c r="BH41" i="91"/>
  <c r="BK41" i="91"/>
  <c r="AG42" i="91"/>
  <c r="L40" i="136"/>
  <c r="AQ42" i="91"/>
  <c r="AR42" i="91"/>
  <c r="AS42" i="91"/>
  <c r="AT42" i="91"/>
  <c r="AU42" i="91"/>
  <c r="AY42" i="91"/>
  <c r="BH42" i="91"/>
  <c r="BK42" i="91"/>
  <c r="AG43" i="91"/>
  <c r="L41" i="136"/>
  <c r="AQ43" i="91"/>
  <c r="AR43" i="91"/>
  <c r="AS43" i="91"/>
  <c r="AT43" i="91"/>
  <c r="AU43" i="91"/>
  <c r="AY43" i="91"/>
  <c r="BH43" i="91"/>
  <c r="BK43" i="91"/>
  <c r="AG44" i="91"/>
  <c r="L42" i="136"/>
  <c r="AQ44" i="91"/>
  <c r="AR44" i="91"/>
  <c r="AS44" i="91"/>
  <c r="AT44" i="91"/>
  <c r="AU44" i="91"/>
  <c r="AY44" i="91"/>
  <c r="BH44" i="91"/>
  <c r="BK44" i="91"/>
  <c r="AG45" i="91"/>
  <c r="L43" i="136"/>
  <c r="AQ45" i="91"/>
  <c r="AR45" i="91"/>
  <c r="AS45" i="91"/>
  <c r="AT45" i="91"/>
  <c r="AU45" i="91"/>
  <c r="AY45" i="91"/>
  <c r="BH45" i="91"/>
  <c r="BK45" i="91"/>
  <c r="AG46" i="91"/>
  <c r="L44" i="136"/>
  <c r="AQ46" i="91"/>
  <c r="AR46" i="91"/>
  <c r="AS46" i="91"/>
  <c r="AT46" i="91"/>
  <c r="AU46" i="91"/>
  <c r="AY46" i="91"/>
  <c r="BH46" i="91"/>
  <c r="BK46" i="91"/>
  <c r="AG47" i="91"/>
  <c r="L45" i="136"/>
  <c r="AQ47" i="91"/>
  <c r="AR47" i="91"/>
  <c r="AS47" i="91"/>
  <c r="AT47" i="91"/>
  <c r="AU47" i="91"/>
  <c r="AY47" i="91"/>
  <c r="BH47" i="91"/>
  <c r="BK47" i="91"/>
  <c r="AG49" i="91"/>
  <c r="AG55" i="91"/>
  <c r="L46" i="136"/>
  <c r="AQ55" i="91"/>
  <c r="AV55" i="91"/>
  <c r="AR55" i="91"/>
  <c r="AS55" i="91"/>
  <c r="AT55" i="91"/>
  <c r="AU55" i="91"/>
  <c r="AY55" i="91"/>
  <c r="BH55" i="91"/>
  <c r="BK55" i="91"/>
  <c r="AG56" i="91"/>
  <c r="L47" i="136"/>
  <c r="AQ56" i="91"/>
  <c r="AR56" i="91"/>
  <c r="AS56" i="91"/>
  <c r="AT56" i="91"/>
  <c r="AU56" i="91"/>
  <c r="AY56" i="91"/>
  <c r="BH56" i="91"/>
  <c r="BK56" i="91"/>
  <c r="AG57" i="91"/>
  <c r="L48" i="136"/>
  <c r="AQ57" i="91"/>
  <c r="AR57" i="91"/>
  <c r="AS57" i="91"/>
  <c r="AT57" i="91"/>
  <c r="AU57" i="91"/>
  <c r="AY57" i="91"/>
  <c r="BH57" i="91"/>
  <c r="BK57" i="91"/>
  <c r="AG58" i="91"/>
  <c r="L49" i="136"/>
  <c r="AQ58" i="91"/>
  <c r="AV58" i="91"/>
  <c r="AR58" i="91"/>
  <c r="AS58" i="91"/>
  <c r="AT58" i="91"/>
  <c r="AU58" i="91"/>
  <c r="AY58" i="91"/>
  <c r="BH58" i="91"/>
  <c r="BK58" i="91"/>
  <c r="AG59" i="91"/>
  <c r="L50" i="136"/>
  <c r="AQ59" i="91"/>
  <c r="AR59" i="91"/>
  <c r="AS59" i="91"/>
  <c r="AT59" i="91"/>
  <c r="AU59" i="91"/>
  <c r="AY59" i="91"/>
  <c r="BH59" i="91"/>
  <c r="BK59" i="91"/>
  <c r="AG60" i="91"/>
  <c r="L51" i="136"/>
  <c r="AQ60" i="91"/>
  <c r="AR60" i="91"/>
  <c r="AS60" i="91"/>
  <c r="AT60" i="91"/>
  <c r="AU60" i="91"/>
  <c r="AY60" i="91"/>
  <c r="BH60" i="91"/>
  <c r="BK60" i="91"/>
  <c r="AG61" i="91"/>
  <c r="L52" i="136"/>
  <c r="AQ61" i="91"/>
  <c r="AR61" i="91"/>
  <c r="AS61" i="91"/>
  <c r="AT61" i="91"/>
  <c r="AU61" i="91"/>
  <c r="AY61" i="91"/>
  <c r="BH61" i="91"/>
  <c r="BK61" i="91"/>
  <c r="AG62" i="91"/>
  <c r="L53" i="136"/>
  <c r="AY62" i="91"/>
  <c r="BH62" i="91"/>
  <c r="BK62" i="91"/>
  <c r="AG63" i="91"/>
  <c r="L54" i="136"/>
  <c r="AQ63" i="91"/>
  <c r="AR63" i="91"/>
  <c r="AS63" i="91"/>
  <c r="AT63" i="91"/>
  <c r="AU63" i="91"/>
  <c r="AY63" i="91"/>
  <c r="BH63" i="91"/>
  <c r="BK63" i="91"/>
  <c r="AG64" i="91"/>
  <c r="L55" i="136"/>
  <c r="AQ64" i="91"/>
  <c r="AR64" i="91"/>
  <c r="AS64" i="91"/>
  <c r="AT64" i="91"/>
  <c r="AU64" i="91"/>
  <c r="AY64" i="91"/>
  <c r="BH64" i="91"/>
  <c r="BK64" i="91"/>
  <c r="AG65" i="91"/>
  <c r="L56" i="136"/>
  <c r="AQ65" i="91"/>
  <c r="AR65" i="91"/>
  <c r="AS65" i="91"/>
  <c r="AT65" i="91"/>
  <c r="AU65" i="91"/>
  <c r="AY65" i="91"/>
  <c r="BH65" i="91"/>
  <c r="BK65" i="91"/>
  <c r="AG66" i="91"/>
  <c r="L57" i="136"/>
  <c r="AQ66" i="91"/>
  <c r="AV66" i="91"/>
  <c r="AR66" i="91"/>
  <c r="AS66" i="91"/>
  <c r="AT66" i="91"/>
  <c r="AU66" i="91"/>
  <c r="AY66" i="91"/>
  <c r="BH66" i="91"/>
  <c r="BK66" i="91"/>
  <c r="AG67" i="91"/>
  <c r="L58" i="136"/>
  <c r="AQ67" i="91"/>
  <c r="AV67" i="91"/>
  <c r="AR67" i="91"/>
  <c r="AS67" i="91"/>
  <c r="AT67" i="91"/>
  <c r="AU67" i="91"/>
  <c r="AY67" i="91"/>
  <c r="BH67" i="91"/>
  <c r="BK67" i="91"/>
  <c r="AG68" i="91"/>
  <c r="L59" i="136"/>
  <c r="AQ68" i="91"/>
  <c r="AR68" i="91"/>
  <c r="AS68" i="91"/>
  <c r="AT68" i="91"/>
  <c r="AU68" i="91"/>
  <c r="AY68" i="91"/>
  <c r="BH68" i="91"/>
  <c r="BK68" i="91"/>
  <c r="AG69" i="91"/>
  <c r="L60" i="136"/>
  <c r="AQ69" i="91"/>
  <c r="AV69" i="91"/>
  <c r="AR69" i="91"/>
  <c r="AS69" i="91"/>
  <c r="AT69" i="91"/>
  <c r="AU69" i="91"/>
  <c r="AY69" i="91"/>
  <c r="BH69" i="91"/>
  <c r="BK69" i="91"/>
  <c r="AG70" i="91"/>
  <c r="L61" i="136"/>
  <c r="AQ70" i="91"/>
  <c r="AV70" i="91"/>
  <c r="AR70" i="91"/>
  <c r="AS70" i="91"/>
  <c r="AT70" i="91"/>
  <c r="AU70" i="91"/>
  <c r="AY70" i="91"/>
  <c r="BH70" i="91"/>
  <c r="BK70" i="91"/>
  <c r="AG71" i="91"/>
  <c r="L62" i="136"/>
  <c r="AQ71" i="91"/>
  <c r="AR71" i="91"/>
  <c r="AS71" i="91"/>
  <c r="AT71" i="91"/>
  <c r="AU71" i="91"/>
  <c r="AY71" i="91"/>
  <c r="BH71" i="91"/>
  <c r="BK71" i="91"/>
  <c r="AG72" i="91"/>
  <c r="L63" i="136"/>
  <c r="AQ72" i="91"/>
  <c r="AR72" i="91"/>
  <c r="AR97" i="91"/>
  <c r="AS72" i="91"/>
  <c r="AT72" i="91"/>
  <c r="AU72" i="91"/>
  <c r="AY72" i="91"/>
  <c r="BH72" i="91"/>
  <c r="BK72" i="91"/>
  <c r="AG73" i="91"/>
  <c r="L64" i="136"/>
  <c r="AQ73" i="91"/>
  <c r="AR73" i="91"/>
  <c r="AS73" i="91"/>
  <c r="AT73" i="91"/>
  <c r="AU73" i="91"/>
  <c r="AY73" i="91"/>
  <c r="BH73" i="91"/>
  <c r="BK73" i="91"/>
  <c r="AG74" i="91"/>
  <c r="L65" i="136"/>
  <c r="AQ74" i="91"/>
  <c r="AR74" i="91"/>
  <c r="AS74" i="91"/>
  <c r="AT74" i="91"/>
  <c r="AU74" i="91"/>
  <c r="AY74" i="91"/>
  <c r="BH74" i="91"/>
  <c r="BK74" i="91"/>
  <c r="AG75" i="91"/>
  <c r="L66" i="136"/>
  <c r="AQ75" i="91"/>
  <c r="AR75" i="91"/>
  <c r="AS75" i="91"/>
  <c r="AT75" i="91"/>
  <c r="AU75" i="91"/>
  <c r="AY75" i="91"/>
  <c r="BH75" i="91"/>
  <c r="BK75" i="91"/>
  <c r="AG76" i="91"/>
  <c r="L67" i="136"/>
  <c r="AQ76" i="91"/>
  <c r="AV76" i="91"/>
  <c r="AR76" i="91"/>
  <c r="AS76" i="91"/>
  <c r="AT76" i="91"/>
  <c r="AU76" i="91"/>
  <c r="AY76" i="91"/>
  <c r="BH76" i="91"/>
  <c r="BK76" i="91"/>
  <c r="AG77" i="91"/>
  <c r="L68" i="136"/>
  <c r="AQ77" i="91"/>
  <c r="AR77" i="91"/>
  <c r="AS77" i="91"/>
  <c r="AT77" i="91"/>
  <c r="AU77" i="91"/>
  <c r="AY77" i="91"/>
  <c r="BH77" i="91"/>
  <c r="BK77" i="91"/>
  <c r="AG78" i="91"/>
  <c r="L69" i="136"/>
  <c r="AQ78" i="91"/>
  <c r="AR78" i="91"/>
  <c r="AS78" i="91"/>
  <c r="AT78" i="91"/>
  <c r="AU78" i="91"/>
  <c r="AY78" i="91"/>
  <c r="BH78" i="91"/>
  <c r="BK78" i="91"/>
  <c r="AG79" i="91"/>
  <c r="L70" i="136"/>
  <c r="AQ79" i="91"/>
  <c r="AR79" i="91"/>
  <c r="AS79" i="91"/>
  <c r="AT79" i="91"/>
  <c r="AU79" i="91"/>
  <c r="AY79" i="91"/>
  <c r="BH79" i="91"/>
  <c r="BK79" i="91"/>
  <c r="AG80" i="91"/>
  <c r="L71" i="136"/>
  <c r="AQ80" i="91"/>
  <c r="AR80" i="91"/>
  <c r="AS80" i="91"/>
  <c r="AT80" i="91"/>
  <c r="AU80" i="91"/>
  <c r="AY80" i="91"/>
  <c r="BH80" i="91"/>
  <c r="BK80" i="91"/>
  <c r="AG81" i="91"/>
  <c r="L72" i="136"/>
  <c r="AQ81" i="91"/>
  <c r="AR81" i="91"/>
  <c r="AS81" i="91"/>
  <c r="AT81" i="91"/>
  <c r="AU81" i="91"/>
  <c r="AY81" i="91"/>
  <c r="BH81" i="91"/>
  <c r="BK81" i="91"/>
  <c r="AG82" i="91"/>
  <c r="L73" i="136"/>
  <c r="AQ82" i="91"/>
  <c r="AR82" i="91"/>
  <c r="AS82" i="91"/>
  <c r="AT82" i="91"/>
  <c r="AU82" i="91"/>
  <c r="AY82" i="91"/>
  <c r="BH82" i="91"/>
  <c r="BK82" i="91"/>
  <c r="AG83" i="91"/>
  <c r="L74" i="136"/>
  <c r="AQ83" i="91"/>
  <c r="AR83" i="91"/>
  <c r="AS83" i="91"/>
  <c r="AT83" i="91"/>
  <c r="AU83" i="91"/>
  <c r="AY83" i="91"/>
  <c r="BH83" i="91"/>
  <c r="BK83" i="91"/>
  <c r="AG84" i="91"/>
  <c r="L75" i="136"/>
  <c r="AQ84" i="91"/>
  <c r="AR84" i="91"/>
  <c r="AS84" i="91"/>
  <c r="AT84" i="91"/>
  <c r="AU84" i="91"/>
  <c r="AY84" i="91"/>
  <c r="BH84" i="91"/>
  <c r="BK84" i="91"/>
  <c r="AG85" i="91"/>
  <c r="L76" i="136"/>
  <c r="AQ85" i="91"/>
  <c r="AR85" i="91"/>
  <c r="AS85" i="91"/>
  <c r="AT85" i="91"/>
  <c r="AU85" i="91"/>
  <c r="AY85" i="91"/>
  <c r="BH85" i="91"/>
  <c r="BK85" i="91"/>
  <c r="AG86" i="91"/>
  <c r="L77" i="136"/>
  <c r="AQ86" i="91"/>
  <c r="AV86" i="91"/>
  <c r="AR86" i="91"/>
  <c r="AS86" i="91"/>
  <c r="AT86" i="91"/>
  <c r="AU86" i="91"/>
  <c r="AY86" i="91"/>
  <c r="BH86" i="91"/>
  <c r="BK86" i="91"/>
  <c r="AG87" i="91"/>
  <c r="L78" i="136"/>
  <c r="AQ87" i="91"/>
  <c r="AR87" i="91"/>
  <c r="AS87" i="91"/>
  <c r="AT87" i="91"/>
  <c r="AU87" i="91"/>
  <c r="AY87" i="91"/>
  <c r="BH87" i="91"/>
  <c r="BK87" i="91"/>
  <c r="AG88" i="91"/>
  <c r="L79" i="136"/>
  <c r="AQ88" i="91"/>
  <c r="AR88" i="91"/>
  <c r="AS88" i="91"/>
  <c r="AT88" i="91"/>
  <c r="AU88" i="91"/>
  <c r="AY88" i="91"/>
  <c r="BH88" i="91"/>
  <c r="BK88" i="91"/>
  <c r="AF50" i="115"/>
  <c r="AF49" i="115"/>
  <c r="AF48" i="115"/>
  <c r="AF47" i="115"/>
  <c r="AF46" i="115"/>
  <c r="AF31" i="115"/>
  <c r="AF30" i="115"/>
  <c r="AF29" i="115"/>
  <c r="AF13" i="115"/>
  <c r="AF12" i="115"/>
  <c r="AF11" i="115"/>
  <c r="AF10" i="115"/>
  <c r="AF9" i="115"/>
  <c r="AF8" i="115"/>
  <c r="AF7" i="115"/>
  <c r="AE20" i="84"/>
  <c r="AE18" i="84"/>
  <c r="AE17" i="84"/>
  <c r="AE16" i="84"/>
  <c r="AE15" i="84"/>
  <c r="AE14" i="84"/>
  <c r="AE13" i="84"/>
  <c r="AG25" i="82"/>
  <c r="AG24" i="82"/>
  <c r="AG23" i="82"/>
  <c r="AG22" i="82"/>
  <c r="AG21" i="82"/>
  <c r="AG20" i="82"/>
  <c r="AG19" i="82"/>
  <c r="AG18" i="82"/>
  <c r="AG13" i="82"/>
  <c r="AG12" i="82"/>
  <c r="AG11" i="82"/>
  <c r="AG10" i="82"/>
  <c r="AG9" i="82"/>
  <c r="AD51" i="83"/>
  <c r="AD50" i="83"/>
  <c r="AD49" i="83"/>
  <c r="AD48" i="83"/>
  <c r="AD44" i="83"/>
  <c r="AD34" i="83"/>
  <c r="AD33" i="83"/>
  <c r="AD32" i="83"/>
  <c r="AD31" i="83"/>
  <c r="AD27" i="83"/>
  <c r="AD26" i="83"/>
  <c r="AD25" i="83"/>
  <c r="AD9" i="83"/>
  <c r="AD8" i="83"/>
  <c r="AD7" i="83"/>
  <c r="AD6" i="83"/>
  <c r="AF5" i="84"/>
  <c r="F6" i="142"/>
  <c r="F7" i="142"/>
  <c r="F8" i="142"/>
  <c r="F9" i="142"/>
  <c r="F10" i="142"/>
  <c r="F11" i="142"/>
  <c r="F12" i="142"/>
  <c r="F13" i="142"/>
  <c r="F14" i="142"/>
  <c r="F15" i="142"/>
  <c r="F16" i="142"/>
  <c r="F17" i="142"/>
  <c r="F18" i="142"/>
  <c r="F19" i="142"/>
  <c r="F20" i="142"/>
  <c r="F23" i="142"/>
  <c r="F24" i="142"/>
  <c r="F25" i="142"/>
  <c r="F26" i="142"/>
  <c r="F27" i="142"/>
  <c r="F28" i="142"/>
  <c r="F29" i="142"/>
  <c r="F30" i="142"/>
  <c r="F31" i="142"/>
  <c r="F32" i="142"/>
  <c r="F33" i="142"/>
  <c r="F34" i="142"/>
  <c r="F35" i="142"/>
  <c r="F36" i="142"/>
  <c r="V7" i="136"/>
  <c r="G87" i="136"/>
  <c r="AI33" i="115"/>
  <c r="W88" i="136"/>
  <c r="AI54" i="115"/>
  <c r="X88" i="136"/>
  <c r="AI53" i="115"/>
  <c r="AI52" i="115" s="1"/>
  <c r="AF8" i="91"/>
  <c r="AF9" i="91"/>
  <c r="AF10" i="91"/>
  <c r="AF11" i="91"/>
  <c r="AF12" i="91"/>
  <c r="AF13" i="91"/>
  <c r="AF14" i="91"/>
  <c r="AF15" i="91"/>
  <c r="AF16" i="91"/>
  <c r="A17" i="91"/>
  <c r="A18" i="91"/>
  <c r="A19" i="91"/>
  <c r="A20" i="91"/>
  <c r="A21" i="91"/>
  <c r="A22" i="91"/>
  <c r="A23" i="91"/>
  <c r="A24" i="91"/>
  <c r="A25" i="91"/>
  <c r="A26" i="91"/>
  <c r="A27" i="91"/>
  <c r="A28" i="91"/>
  <c r="A29" i="91"/>
  <c r="A30" i="91"/>
  <c r="A31" i="91"/>
  <c r="A32" i="91"/>
  <c r="A33" i="91"/>
  <c r="A34" i="91"/>
  <c r="A35" i="91"/>
  <c r="A36" i="91"/>
  <c r="A37" i="91"/>
  <c r="A38" i="91"/>
  <c r="A39" i="91"/>
  <c r="A40" i="91"/>
  <c r="A41" i="91"/>
  <c r="A42" i="91"/>
  <c r="A43" i="91"/>
  <c r="A44" i="91"/>
  <c r="A45" i="91"/>
  <c r="A46" i="91"/>
  <c r="A47" i="91"/>
  <c r="A55" i="91"/>
  <c r="A56" i="91"/>
  <c r="A57" i="91"/>
  <c r="A58" i="91"/>
  <c r="A59" i="91"/>
  <c r="A60" i="91"/>
  <c r="A61" i="91"/>
  <c r="A62" i="91"/>
  <c r="A63" i="91"/>
  <c r="A64" i="91"/>
  <c r="A65" i="91"/>
  <c r="A66" i="91"/>
  <c r="A67" i="91"/>
  <c r="A68" i="91"/>
  <c r="A69" i="91"/>
  <c r="A70" i="91"/>
  <c r="A71" i="91"/>
  <c r="A72" i="91"/>
  <c r="A73" i="91"/>
  <c r="A74" i="91"/>
  <c r="A75" i="91"/>
  <c r="A76" i="91"/>
  <c r="A77" i="91"/>
  <c r="A78" i="91"/>
  <c r="A79" i="91"/>
  <c r="A80" i="91"/>
  <c r="A81" i="91"/>
  <c r="A82" i="91"/>
  <c r="A83" i="91"/>
  <c r="A84" i="91"/>
  <c r="A85" i="91"/>
  <c r="A86" i="91"/>
  <c r="A87" i="91"/>
  <c r="A88" i="91"/>
  <c r="A89" i="91"/>
  <c r="A90" i="91"/>
  <c r="A91" i="91"/>
  <c r="A92" i="91"/>
  <c r="A93" i="91"/>
  <c r="A94" i="91"/>
  <c r="A95" i="91"/>
  <c r="AF17" i="91"/>
  <c r="AF18" i="91"/>
  <c r="AF19" i="91"/>
  <c r="AF20" i="91"/>
  <c r="AF21" i="91"/>
  <c r="AF22" i="91"/>
  <c r="AF23" i="91"/>
  <c r="AF24" i="91"/>
  <c r="AF25" i="91"/>
  <c r="AF26" i="91"/>
  <c r="AF27" i="91"/>
  <c r="AF28" i="91"/>
  <c r="AF29" i="91"/>
  <c r="AF30" i="91"/>
  <c r="AF31" i="91"/>
  <c r="AF32" i="91"/>
  <c r="AF33" i="91"/>
  <c r="AF34" i="91"/>
  <c r="AF35" i="91"/>
  <c r="AF36" i="91"/>
  <c r="AF37" i="91"/>
  <c r="AF38" i="91"/>
  <c r="AF39" i="91"/>
  <c r="AF40" i="91"/>
  <c r="AF42" i="91"/>
  <c r="AF43" i="91"/>
  <c r="AF44" i="91"/>
  <c r="AF45" i="91"/>
  <c r="AF46" i="91"/>
  <c r="AF47" i="91"/>
  <c r="AF55" i="91"/>
  <c r="AF56" i="91"/>
  <c r="AF57" i="91"/>
  <c r="AF58" i="91"/>
  <c r="AF59" i="91"/>
  <c r="AF60" i="91"/>
  <c r="AF61" i="91"/>
  <c r="AF62" i="91"/>
  <c r="AF63" i="91"/>
  <c r="AF64" i="91"/>
  <c r="AF65" i="91"/>
  <c r="AF66" i="91"/>
  <c r="AF67" i="91"/>
  <c r="AF68" i="91"/>
  <c r="AF69" i="91"/>
  <c r="AF70" i="91"/>
  <c r="AF71" i="91"/>
  <c r="AF72" i="91"/>
  <c r="AF73" i="91"/>
  <c r="AF74" i="91"/>
  <c r="AF75" i="91"/>
  <c r="G67" i="136"/>
  <c r="AF76" i="91"/>
  <c r="G68" i="136"/>
  <c r="AF77" i="91"/>
  <c r="AF78" i="91"/>
  <c r="AF79" i="91"/>
  <c r="AF80" i="91"/>
  <c r="G72" i="136"/>
  <c r="AF81" i="91"/>
  <c r="AF82" i="91"/>
  <c r="AF83" i="91"/>
  <c r="AF84" i="91"/>
  <c r="AF85" i="91"/>
  <c r="AF86" i="91"/>
  <c r="AF87" i="91"/>
  <c r="AF88" i="91"/>
  <c r="AF89" i="91"/>
  <c r="AG89" i="91"/>
  <c r="L80" i="136"/>
  <c r="AQ89" i="91"/>
  <c r="AV89" i="91"/>
  <c r="AR89" i="91"/>
  <c r="AS89" i="91"/>
  <c r="AT89" i="91"/>
  <c r="AU89" i="91"/>
  <c r="AY89" i="91"/>
  <c r="BH89" i="91"/>
  <c r="BK89" i="91"/>
  <c r="AF90" i="91"/>
  <c r="AG90" i="91"/>
  <c r="L81" i="136"/>
  <c r="AQ90" i="91"/>
  <c r="AR90" i="91"/>
  <c r="AS90" i="91"/>
  <c r="AT90" i="91"/>
  <c r="AU90" i="91"/>
  <c r="AY90" i="91"/>
  <c r="BH90" i="91"/>
  <c r="BK90" i="91"/>
  <c r="AF91" i="91"/>
  <c r="AG91" i="91"/>
  <c r="L82" i="136"/>
  <c r="AQ91" i="91"/>
  <c r="AR91" i="91"/>
  <c r="AS91" i="91"/>
  <c r="AT91" i="91"/>
  <c r="AU91" i="91"/>
  <c r="AY91" i="91"/>
  <c r="BH91" i="91"/>
  <c r="BK91" i="91"/>
  <c r="AF92" i="91"/>
  <c r="AG92" i="91"/>
  <c r="L83" i="136"/>
  <c r="AQ92" i="91"/>
  <c r="AR92" i="91"/>
  <c r="AS92" i="91"/>
  <c r="AT92" i="91"/>
  <c r="AU92" i="91"/>
  <c r="AY92" i="91"/>
  <c r="BH92" i="91"/>
  <c r="BK92" i="91"/>
  <c r="L84" i="136"/>
  <c r="AQ93" i="91"/>
  <c r="AR93" i="91"/>
  <c r="AS93" i="91"/>
  <c r="AY93" i="91"/>
  <c r="BH93" i="91"/>
  <c r="BK93" i="91"/>
  <c r="AF94" i="91"/>
  <c r="AQ94" i="91"/>
  <c r="AR94" i="91"/>
  <c r="AS94" i="91"/>
  <c r="AT94" i="91"/>
  <c r="AU94" i="91"/>
  <c r="AY94" i="91"/>
  <c r="BH94" i="91"/>
  <c r="BK94" i="91"/>
  <c r="AF95" i="91"/>
  <c r="AQ95" i="91"/>
  <c r="AR95" i="91"/>
  <c r="AS95" i="91"/>
  <c r="AT95" i="91"/>
  <c r="AU95" i="91"/>
  <c r="AY95" i="91"/>
  <c r="BH95" i="91"/>
  <c r="BK95" i="91"/>
  <c r="AF96" i="91"/>
  <c r="AY96" i="91"/>
  <c r="BH96" i="91"/>
  <c r="BK96" i="91"/>
  <c r="AI9" i="82"/>
  <c r="K16" i="141"/>
  <c r="H97" i="91"/>
  <c r="BN84" i="91"/>
  <c r="BO84" i="91"/>
  <c r="Q97" i="91"/>
  <c r="AJ11" i="82"/>
  <c r="AI9" i="115" s="1"/>
  <c r="R97" i="91"/>
  <c r="S97" i="91"/>
  <c r="T97" i="91"/>
  <c r="V97" i="91"/>
  <c r="AJ22" i="82"/>
  <c r="W97" i="91"/>
  <c r="AJ24" i="82"/>
  <c r="X97" i="91"/>
  <c r="Y97" i="91"/>
  <c r="AJ19" i="82"/>
  <c r="AJ17" i="82" s="1"/>
  <c r="Z97" i="91"/>
  <c r="AJ18" i="82"/>
  <c r="AA97" i="91"/>
  <c r="AI97" i="91"/>
  <c r="AP97" i="91"/>
  <c r="AW97" i="91"/>
  <c r="AY97" i="91"/>
  <c r="BC97" i="91"/>
  <c r="BH98" i="91"/>
  <c r="BD97" i="91"/>
  <c r="BE97" i="91"/>
  <c r="BF97" i="91"/>
  <c r="BG97" i="91"/>
  <c r="BI97" i="91"/>
  <c r="BJ97" i="91"/>
  <c r="BL97" i="91"/>
  <c r="C6" i="94"/>
  <c r="M6" i="94"/>
  <c r="N6" i="94"/>
  <c r="C7" i="94"/>
  <c r="Q7" i="94"/>
  <c r="M7" i="94"/>
  <c r="N7" i="94"/>
  <c r="C8" i="94"/>
  <c r="O8" i="94"/>
  <c r="C9" i="94"/>
  <c r="O9" i="94"/>
  <c r="P9" i="94"/>
  <c r="C10" i="94"/>
  <c r="O10" i="94"/>
  <c r="P10" i="94"/>
  <c r="C11" i="94"/>
  <c r="Q11" i="94"/>
  <c r="C12" i="94"/>
  <c r="Q12" i="94"/>
  <c r="C13" i="94"/>
  <c r="Q13" i="94"/>
  <c r="C14" i="94"/>
  <c r="Q14" i="94"/>
  <c r="A15" i="94"/>
  <c r="A16" i="94"/>
  <c r="A17" i="94"/>
  <c r="A18" i="94"/>
  <c r="A19" i="94"/>
  <c r="A20" i="94"/>
  <c r="A21" i="94"/>
  <c r="A22" i="94"/>
  <c r="A23" i="94"/>
  <c r="A24" i="94"/>
  <c r="A25" i="94"/>
  <c r="A26" i="94"/>
  <c r="A27" i="94"/>
  <c r="A28" i="94"/>
  <c r="A29" i="94"/>
  <c r="A30" i="94"/>
  <c r="A31" i="94"/>
  <c r="A32" i="94"/>
  <c r="A33" i="94"/>
  <c r="A34" i="94"/>
  <c r="A35" i="94"/>
  <c r="A36" i="94"/>
  <c r="A37" i="94"/>
  <c r="A38" i="94"/>
  <c r="A39" i="94"/>
  <c r="A40" i="94"/>
  <c r="A41" i="94"/>
  <c r="A42" i="94"/>
  <c r="A43" i="94"/>
  <c r="A44" i="94"/>
  <c r="A45" i="94"/>
  <c r="A46" i="94"/>
  <c r="A47" i="94"/>
  <c r="A48" i="94"/>
  <c r="A49" i="94"/>
  <c r="A50" i="94"/>
  <c r="A51" i="94"/>
  <c r="A52" i="94"/>
  <c r="A53" i="94"/>
  <c r="A54" i="94"/>
  <c r="A55" i="94"/>
  <c r="A56" i="94"/>
  <c r="A57" i="94"/>
  <c r="A58" i="94"/>
  <c r="A59" i="94"/>
  <c r="A60" i="94"/>
  <c r="A61" i="94"/>
  <c r="A62" i="94"/>
  <c r="A63" i="94"/>
  <c r="A64" i="94"/>
  <c r="A65" i="94"/>
  <c r="A66" i="94"/>
  <c r="A67" i="94"/>
  <c r="A68" i="94"/>
  <c r="A69" i="94"/>
  <c r="A70" i="94"/>
  <c r="A71" i="94"/>
  <c r="A72" i="94"/>
  <c r="A73" i="94"/>
  <c r="A74" i="94"/>
  <c r="A75" i="94"/>
  <c r="A76" i="94"/>
  <c r="A77" i="94"/>
  <c r="A78" i="94"/>
  <c r="A79" i="94"/>
  <c r="A80" i="94"/>
  <c r="A81" i="94"/>
  <c r="A82" i="94"/>
  <c r="A83" i="94"/>
  <c r="A84" i="94"/>
  <c r="A85" i="94"/>
  <c r="A86" i="94"/>
  <c r="C15" i="94"/>
  <c r="Q15" i="94"/>
  <c r="C16" i="94"/>
  <c r="O16" i="94"/>
  <c r="P16" i="94"/>
  <c r="C17" i="94"/>
  <c r="O17" i="94"/>
  <c r="P17" i="94"/>
  <c r="C18" i="94"/>
  <c r="O18" i="94"/>
  <c r="P18" i="94"/>
  <c r="C19" i="94"/>
  <c r="O19" i="94"/>
  <c r="P19" i="94"/>
  <c r="C20" i="94"/>
  <c r="O20" i="94"/>
  <c r="P20" i="94"/>
  <c r="C21" i="94"/>
  <c r="Q21" i="94"/>
  <c r="C22" i="94"/>
  <c r="C23" i="94"/>
  <c r="O23" i="94"/>
  <c r="P23" i="94"/>
  <c r="C24" i="94"/>
  <c r="O24" i="94"/>
  <c r="P24" i="94"/>
  <c r="C25" i="94"/>
  <c r="C26" i="94"/>
  <c r="O26" i="94"/>
  <c r="P26" i="94"/>
  <c r="C27" i="94"/>
  <c r="C28" i="94"/>
  <c r="O28" i="94"/>
  <c r="P28" i="94"/>
  <c r="C29" i="94"/>
  <c r="O29" i="94"/>
  <c r="P29" i="94"/>
  <c r="C30" i="94"/>
  <c r="C31" i="94"/>
  <c r="O31" i="94"/>
  <c r="P31" i="94"/>
  <c r="C32" i="94"/>
  <c r="Q32" i="94"/>
  <c r="C33" i="94"/>
  <c r="Q33" i="94"/>
  <c r="C34" i="94"/>
  <c r="O34" i="94"/>
  <c r="P34" i="94"/>
  <c r="C35" i="94"/>
  <c r="O35" i="94"/>
  <c r="P35" i="94"/>
  <c r="C36" i="94"/>
  <c r="Q36" i="94"/>
  <c r="C37" i="94"/>
  <c r="O37" i="94"/>
  <c r="P37" i="94"/>
  <c r="C38" i="94"/>
  <c r="O38" i="94"/>
  <c r="P38" i="94"/>
  <c r="C39" i="94"/>
  <c r="O39" i="94"/>
  <c r="P39" i="94"/>
  <c r="C40" i="94"/>
  <c r="Q40" i="94"/>
  <c r="C41" i="94"/>
  <c r="O41" i="94"/>
  <c r="P41" i="94"/>
  <c r="C42" i="94"/>
  <c r="O42" i="94"/>
  <c r="P42" i="94"/>
  <c r="C43" i="94"/>
  <c r="Q43" i="94"/>
  <c r="C44" i="94"/>
  <c r="Q44" i="94"/>
  <c r="C45" i="94"/>
  <c r="O45" i="94"/>
  <c r="P45" i="94"/>
  <c r="C46" i="94"/>
  <c r="O46" i="94"/>
  <c r="P46" i="94"/>
  <c r="C47" i="94"/>
  <c r="O47" i="94"/>
  <c r="P47" i="94"/>
  <c r="C48" i="94"/>
  <c r="Q48" i="94"/>
  <c r="C49" i="94"/>
  <c r="Q49" i="94"/>
  <c r="C50" i="94"/>
  <c r="Q50" i="94"/>
  <c r="C51" i="94"/>
  <c r="Q51" i="94"/>
  <c r="C52" i="94"/>
  <c r="Q52" i="94"/>
  <c r="C53" i="94"/>
  <c r="O53" i="94"/>
  <c r="P53" i="94"/>
  <c r="C54" i="94"/>
  <c r="Q54" i="94"/>
  <c r="C55" i="94"/>
  <c r="O55" i="94"/>
  <c r="P55" i="94"/>
  <c r="C56" i="94"/>
  <c r="Q56" i="94"/>
  <c r="C57" i="94"/>
  <c r="O57" i="94"/>
  <c r="P57" i="94"/>
  <c r="C58" i="94"/>
  <c r="O58" i="94"/>
  <c r="P58" i="94"/>
  <c r="C59" i="94"/>
  <c r="Q59" i="94"/>
  <c r="C60" i="94"/>
  <c r="Q60" i="94"/>
  <c r="C61" i="94"/>
  <c r="O61" i="94"/>
  <c r="P61" i="94"/>
  <c r="C62" i="94"/>
  <c r="Q62" i="94"/>
  <c r="C63" i="94"/>
  <c r="Q63" i="94"/>
  <c r="C64" i="94"/>
  <c r="Q64" i="94"/>
  <c r="C65" i="94"/>
  <c r="Q65" i="94"/>
  <c r="C66" i="94"/>
  <c r="O66" i="94"/>
  <c r="P66" i="94"/>
  <c r="C67" i="94"/>
  <c r="O67" i="94"/>
  <c r="P67" i="94"/>
  <c r="C68" i="94"/>
  <c r="Q68" i="94"/>
  <c r="C69" i="94"/>
  <c r="O69" i="94"/>
  <c r="P69" i="94"/>
  <c r="C70" i="94"/>
  <c r="C71" i="94"/>
  <c r="Q71" i="94"/>
  <c r="C72" i="94"/>
  <c r="Q72" i="94"/>
  <c r="C73" i="94"/>
  <c r="O73" i="94"/>
  <c r="P73" i="94"/>
  <c r="C74" i="94"/>
  <c r="O74" i="94"/>
  <c r="P74" i="94"/>
  <c r="C75" i="94"/>
  <c r="Q75" i="94"/>
  <c r="C76" i="94"/>
  <c r="O76" i="94"/>
  <c r="P76" i="94"/>
  <c r="C77" i="94"/>
  <c r="O77" i="94"/>
  <c r="P77" i="94"/>
  <c r="C78" i="94"/>
  <c r="Q78" i="94"/>
  <c r="C79" i="94"/>
  <c r="Q79" i="94"/>
  <c r="C80" i="94"/>
  <c r="Q80" i="94"/>
  <c r="C81" i="94"/>
  <c r="O81" i="94"/>
  <c r="P81" i="94"/>
  <c r="C82" i="94"/>
  <c r="O82" i="94"/>
  <c r="P82" i="94"/>
  <c r="C83" i="94"/>
  <c r="Q83" i="94"/>
  <c r="C84" i="94"/>
  <c r="Q84" i="94"/>
  <c r="C85" i="94"/>
  <c r="O85" i="94"/>
  <c r="P85" i="94"/>
  <c r="C86" i="94"/>
  <c r="C87" i="94"/>
  <c r="Q87" i="94"/>
  <c r="D88" i="94"/>
  <c r="AG44" i="83"/>
  <c r="AG7" i="83"/>
  <c r="AI11" i="115"/>
  <c r="AF44" i="83"/>
  <c r="AF7" i="83"/>
  <c r="E88" i="94"/>
  <c r="AG43" i="83"/>
  <c r="F88" i="94"/>
  <c r="AG49" i="83"/>
  <c r="G88" i="94"/>
  <c r="AG48" i="83"/>
  <c r="H88" i="94"/>
  <c r="AG50" i="83"/>
  <c r="I88" i="94"/>
  <c r="AG51" i="83"/>
  <c r="AF51" i="83"/>
  <c r="J88" i="94"/>
  <c r="AG52" i="83"/>
  <c r="K88" i="94"/>
  <c r="AG53" i="83"/>
  <c r="L88" i="94"/>
  <c r="AG54" i="83"/>
  <c r="O2" i="95"/>
  <c r="N2" i="94"/>
  <c r="C6" i="95"/>
  <c r="N6" i="95"/>
  <c r="O6" i="95"/>
  <c r="M6" i="136"/>
  <c r="W6" i="95"/>
  <c r="X6" i="95"/>
  <c r="Y6" i="95"/>
  <c r="AS6" i="95"/>
  <c r="C7" i="95"/>
  <c r="H7" i="136"/>
  <c r="J7" i="136"/>
  <c r="N7" i="95"/>
  <c r="O7" i="95"/>
  <c r="W7" i="95"/>
  <c r="X7" i="95"/>
  <c r="Y7" i="95"/>
  <c r="C8" i="95"/>
  <c r="P8" i="95"/>
  <c r="N8" i="95"/>
  <c r="O8" i="95"/>
  <c r="M8" i="136"/>
  <c r="O8" i="136"/>
  <c r="P8" i="136"/>
  <c r="W8" i="95"/>
  <c r="X8" i="95"/>
  <c r="Y8" i="95"/>
  <c r="C9" i="95"/>
  <c r="H9" i="136"/>
  <c r="J9" i="136"/>
  <c r="N9" i="95"/>
  <c r="O9" i="95"/>
  <c r="W9" i="95"/>
  <c r="X9" i="95"/>
  <c r="Y9" i="95"/>
  <c r="C10" i="95"/>
  <c r="P10" i="95"/>
  <c r="N10" i="95"/>
  <c r="O10" i="95"/>
  <c r="M10" i="136"/>
  <c r="O10" i="136"/>
  <c r="W10" i="95"/>
  <c r="X10" i="95"/>
  <c r="Y10" i="95"/>
  <c r="C11" i="95"/>
  <c r="P11" i="95"/>
  <c r="N11" i="95"/>
  <c r="O11" i="95"/>
  <c r="M11" i="136"/>
  <c r="O11" i="136"/>
  <c r="W11" i="95"/>
  <c r="X11" i="95"/>
  <c r="Y11" i="95"/>
  <c r="C12" i="95"/>
  <c r="P12" i="95"/>
  <c r="N12" i="95"/>
  <c r="O12" i="95"/>
  <c r="M12" i="136"/>
  <c r="O12" i="136"/>
  <c r="P12" i="136"/>
  <c r="W12" i="95"/>
  <c r="X12" i="95"/>
  <c r="Y12" i="95"/>
  <c r="C13" i="95"/>
  <c r="P13" i="95"/>
  <c r="Q13" i="95"/>
  <c r="R13" i="136"/>
  <c r="T13" i="136"/>
  <c r="N13" i="95"/>
  <c r="O13" i="95"/>
  <c r="W13" i="95"/>
  <c r="X13" i="95"/>
  <c r="Y13" i="95"/>
  <c r="C14" i="95"/>
  <c r="P14" i="95"/>
  <c r="Q14" i="95"/>
  <c r="R14" i="136"/>
  <c r="T14" i="136"/>
  <c r="U14" i="136"/>
  <c r="N14" i="95"/>
  <c r="O14" i="95"/>
  <c r="M14" i="136"/>
  <c r="O14" i="136"/>
  <c r="P14" i="136"/>
  <c r="W14" i="95"/>
  <c r="X14" i="95"/>
  <c r="Y14" i="95"/>
  <c r="A15" i="95"/>
  <c r="A16" i="95"/>
  <c r="A17" i="95"/>
  <c r="A18" i="95"/>
  <c r="A19" i="95"/>
  <c r="A20" i="95"/>
  <c r="A21" i="95"/>
  <c r="A22" i="95"/>
  <c r="A23" i="95"/>
  <c r="A24" i="95"/>
  <c r="A25" i="95"/>
  <c r="A26" i="95"/>
  <c r="A27" i="95"/>
  <c r="A28" i="95"/>
  <c r="A29" i="95"/>
  <c r="A30" i="95"/>
  <c r="A31" i="95"/>
  <c r="A32" i="95"/>
  <c r="A33" i="95"/>
  <c r="A34" i="95"/>
  <c r="A35" i="95"/>
  <c r="A36" i="95"/>
  <c r="A37" i="95"/>
  <c r="A38" i="95"/>
  <c r="A39" i="95"/>
  <c r="A40" i="95"/>
  <c r="A41" i="95"/>
  <c r="A42" i="95"/>
  <c r="A43" i="95"/>
  <c r="A44" i="95"/>
  <c r="A45" i="95"/>
  <c r="A51" i="95"/>
  <c r="A52" i="95"/>
  <c r="A53" i="95"/>
  <c r="A54" i="95"/>
  <c r="A55" i="95"/>
  <c r="A56" i="95"/>
  <c r="A57" i="95"/>
  <c r="A58" i="95"/>
  <c r="A59" i="95"/>
  <c r="A60" i="95"/>
  <c r="A61" i="95"/>
  <c r="A62" i="95"/>
  <c r="A63" i="95"/>
  <c r="A64" i="95"/>
  <c r="A65" i="95"/>
  <c r="A66" i="95"/>
  <c r="A67" i="95"/>
  <c r="A68" i="95"/>
  <c r="A69" i="95"/>
  <c r="A70" i="95"/>
  <c r="A71" i="95"/>
  <c r="A72" i="95"/>
  <c r="A73" i="95"/>
  <c r="A74" i="95"/>
  <c r="A75" i="95"/>
  <c r="A76" i="95"/>
  <c r="A77" i="95"/>
  <c r="A78" i="95"/>
  <c r="A79" i="95"/>
  <c r="A80" i="95"/>
  <c r="A81" i="95"/>
  <c r="A82" i="95"/>
  <c r="A83" i="95"/>
  <c r="A84" i="95"/>
  <c r="A85" i="95"/>
  <c r="A86" i="95"/>
  <c r="A87" i="95"/>
  <c r="A88" i="95"/>
  <c r="A89" i="95"/>
  <c r="A90" i="95"/>
  <c r="A91" i="95"/>
  <c r="C15" i="95"/>
  <c r="P15" i="95"/>
  <c r="N15" i="95"/>
  <c r="O15" i="95"/>
  <c r="W15" i="95"/>
  <c r="X15" i="95"/>
  <c r="Y15" i="95"/>
  <c r="C16" i="95"/>
  <c r="P16" i="95"/>
  <c r="N16" i="95"/>
  <c r="O16" i="95"/>
  <c r="M16" i="136"/>
  <c r="O16" i="136"/>
  <c r="P16" i="136"/>
  <c r="W16" i="95"/>
  <c r="X16" i="95"/>
  <c r="Y16" i="95"/>
  <c r="C17" i="95"/>
  <c r="P17" i="95"/>
  <c r="N17" i="95"/>
  <c r="O17" i="95"/>
  <c r="W17" i="95"/>
  <c r="X17" i="95"/>
  <c r="Y17" i="95"/>
  <c r="C18" i="95"/>
  <c r="P18" i="95"/>
  <c r="Q18" i="95"/>
  <c r="R18" i="136"/>
  <c r="T18" i="136"/>
  <c r="U18" i="136"/>
  <c r="N18" i="95"/>
  <c r="O18" i="95"/>
  <c r="W18" i="95"/>
  <c r="X18" i="95"/>
  <c r="Y18" i="95"/>
  <c r="C19" i="95"/>
  <c r="P19" i="95"/>
  <c r="N19" i="95"/>
  <c r="O19" i="95"/>
  <c r="M19" i="136"/>
  <c r="O19" i="136"/>
  <c r="P19" i="136"/>
  <c r="W19" i="95"/>
  <c r="X19" i="95"/>
  <c r="Y19" i="95"/>
  <c r="C20" i="95"/>
  <c r="N20" i="95"/>
  <c r="O20" i="95"/>
  <c r="M20" i="136"/>
  <c r="O20" i="136"/>
  <c r="P20" i="136"/>
  <c r="W20" i="95"/>
  <c r="X20" i="95"/>
  <c r="Y20" i="95"/>
  <c r="C21" i="95"/>
  <c r="H21" i="136"/>
  <c r="J21" i="136"/>
  <c r="N21" i="95"/>
  <c r="O21" i="95"/>
  <c r="W21" i="95"/>
  <c r="X21" i="95"/>
  <c r="Y21" i="95"/>
  <c r="C22" i="95"/>
  <c r="P22" i="95"/>
  <c r="N22" i="95"/>
  <c r="O22" i="95"/>
  <c r="M22" i="136"/>
  <c r="O22" i="136"/>
  <c r="P22" i="136"/>
  <c r="W22" i="95"/>
  <c r="X22" i="95"/>
  <c r="Y22" i="95"/>
  <c r="C23" i="95"/>
  <c r="H23" i="136"/>
  <c r="J23" i="136"/>
  <c r="N23" i="95"/>
  <c r="O23" i="95"/>
  <c r="M23" i="136"/>
  <c r="W23" i="95"/>
  <c r="X23" i="95"/>
  <c r="Y23" i="95"/>
  <c r="C24" i="95"/>
  <c r="P24" i="95"/>
  <c r="N24" i="95"/>
  <c r="O24" i="95"/>
  <c r="M24" i="136"/>
  <c r="O24" i="136"/>
  <c r="W24" i="95"/>
  <c r="X24" i="95"/>
  <c r="Y24" i="95"/>
  <c r="C25" i="95"/>
  <c r="P25" i="95"/>
  <c r="N25" i="95"/>
  <c r="O25" i="95"/>
  <c r="M25" i="136"/>
  <c r="O25" i="136"/>
  <c r="P25" i="136"/>
  <c r="W25" i="95"/>
  <c r="X25" i="95"/>
  <c r="Y25" i="95"/>
  <c r="C26" i="95"/>
  <c r="H26" i="136"/>
  <c r="J26" i="136"/>
  <c r="N26" i="95"/>
  <c r="O26" i="95"/>
  <c r="M26" i="136"/>
  <c r="O26" i="136"/>
  <c r="P26" i="136"/>
  <c r="W26" i="95"/>
  <c r="X26" i="95"/>
  <c r="Y26" i="95"/>
  <c r="C27" i="95"/>
  <c r="H27" i="136"/>
  <c r="J27" i="136"/>
  <c r="N27" i="95"/>
  <c r="O27" i="95"/>
  <c r="M27" i="136"/>
  <c r="O27" i="136"/>
  <c r="P27" i="136"/>
  <c r="W27" i="95"/>
  <c r="X27" i="95"/>
  <c r="Y27" i="95"/>
  <c r="C28" i="95"/>
  <c r="P28" i="95"/>
  <c r="N28" i="95"/>
  <c r="O28" i="95"/>
  <c r="M28" i="136"/>
  <c r="O28" i="136"/>
  <c r="W28" i="95"/>
  <c r="X28" i="95"/>
  <c r="Y28" i="95"/>
  <c r="C29" i="95"/>
  <c r="P29" i="95"/>
  <c r="Q29" i="95"/>
  <c r="R29" i="136"/>
  <c r="T29" i="136"/>
  <c r="U29" i="136"/>
  <c r="N29" i="95"/>
  <c r="O29" i="95"/>
  <c r="W29" i="95"/>
  <c r="X29" i="95"/>
  <c r="Y29" i="95"/>
  <c r="C30" i="95"/>
  <c r="H30" i="136"/>
  <c r="J30" i="136"/>
  <c r="N30" i="95"/>
  <c r="O30" i="95"/>
  <c r="M30" i="136"/>
  <c r="O30" i="136"/>
  <c r="P30" i="136"/>
  <c r="W30" i="95"/>
  <c r="X30" i="95"/>
  <c r="Y30" i="95"/>
  <c r="C31" i="95"/>
  <c r="P31" i="95"/>
  <c r="N31" i="95"/>
  <c r="O31" i="95"/>
  <c r="W31" i="95"/>
  <c r="X31" i="95"/>
  <c r="Y31" i="95"/>
  <c r="C32" i="95"/>
  <c r="P32" i="95"/>
  <c r="Q32" i="95"/>
  <c r="R32" i="136"/>
  <c r="T32" i="136"/>
  <c r="N32" i="95"/>
  <c r="O32" i="95"/>
  <c r="M32" i="136"/>
  <c r="O32" i="136"/>
  <c r="P32" i="136"/>
  <c r="W32" i="95"/>
  <c r="X32" i="95"/>
  <c r="Y32" i="95"/>
  <c r="C33" i="95"/>
  <c r="P33" i="95"/>
  <c r="N33" i="95"/>
  <c r="O33" i="95"/>
  <c r="W33" i="95"/>
  <c r="X33" i="95"/>
  <c r="Y33" i="95"/>
  <c r="C34" i="95"/>
  <c r="H34" i="136"/>
  <c r="J34" i="136"/>
  <c r="K34" i="136"/>
  <c r="N34" i="95"/>
  <c r="O34" i="95"/>
  <c r="W34" i="95"/>
  <c r="X34" i="95"/>
  <c r="Y34" i="95"/>
  <c r="C35" i="95"/>
  <c r="P35" i="95"/>
  <c r="N35" i="95"/>
  <c r="O35" i="95"/>
  <c r="M35" i="136"/>
  <c r="O35" i="136"/>
  <c r="P35" i="136"/>
  <c r="W35" i="95"/>
  <c r="X35" i="95"/>
  <c r="Y35" i="95"/>
  <c r="C36" i="95"/>
  <c r="P36" i="95"/>
  <c r="N36" i="95"/>
  <c r="O36" i="95"/>
  <c r="M36" i="136"/>
  <c r="O36" i="136"/>
  <c r="P36" i="136"/>
  <c r="W36" i="95"/>
  <c r="X36" i="95"/>
  <c r="Y36" i="95"/>
  <c r="C37" i="95"/>
  <c r="P37" i="95"/>
  <c r="Q37" i="95"/>
  <c r="R37" i="136"/>
  <c r="T37" i="136"/>
  <c r="U37" i="136"/>
  <c r="N37" i="95"/>
  <c r="O37" i="95"/>
  <c r="W37" i="95"/>
  <c r="X37" i="95"/>
  <c r="Y37" i="95"/>
  <c r="C38" i="95"/>
  <c r="P38" i="95"/>
  <c r="N38" i="95"/>
  <c r="O38" i="95"/>
  <c r="W38" i="95"/>
  <c r="X38" i="95"/>
  <c r="Y38" i="95"/>
  <c r="C39" i="95"/>
  <c r="H39" i="136"/>
  <c r="J39" i="136"/>
  <c r="K39" i="136"/>
  <c r="N39" i="95"/>
  <c r="O39" i="95"/>
  <c r="M39" i="136"/>
  <c r="O39" i="136"/>
  <c r="P39" i="136"/>
  <c r="W39" i="95"/>
  <c r="X39" i="95"/>
  <c r="Y39" i="95"/>
  <c r="C40" i="95"/>
  <c r="P40" i="95"/>
  <c r="N40" i="95"/>
  <c r="O40" i="95"/>
  <c r="M40" i="136"/>
  <c r="O40" i="136"/>
  <c r="P40" i="136"/>
  <c r="W40" i="95"/>
  <c r="X40" i="95"/>
  <c r="Y40" i="95"/>
  <c r="C41" i="95"/>
  <c r="H41" i="136"/>
  <c r="J41" i="136"/>
  <c r="K41" i="136"/>
  <c r="N41" i="95"/>
  <c r="O41" i="95"/>
  <c r="M41" i="136"/>
  <c r="O41" i="136"/>
  <c r="P41" i="136"/>
  <c r="W41" i="95"/>
  <c r="X41" i="95"/>
  <c r="Y41" i="95"/>
  <c r="C42" i="95"/>
  <c r="P42" i="95"/>
  <c r="N42" i="95"/>
  <c r="O42" i="95"/>
  <c r="M42" i="136"/>
  <c r="O42" i="136"/>
  <c r="P42" i="136"/>
  <c r="W42" i="95"/>
  <c r="X42" i="95"/>
  <c r="Y42" i="95"/>
  <c r="C43" i="95"/>
  <c r="H43" i="136"/>
  <c r="J43" i="136"/>
  <c r="K43" i="136"/>
  <c r="N43" i="95"/>
  <c r="O43" i="95"/>
  <c r="M43" i="136"/>
  <c r="O43" i="136"/>
  <c r="P43" i="136"/>
  <c r="W43" i="95"/>
  <c r="X43" i="95"/>
  <c r="Y43" i="95"/>
  <c r="C44" i="95"/>
  <c r="P44" i="95"/>
  <c r="N44" i="95"/>
  <c r="O44" i="95"/>
  <c r="M44" i="136"/>
  <c r="O44" i="136"/>
  <c r="P44" i="136"/>
  <c r="W44" i="95"/>
  <c r="X44" i="95"/>
  <c r="Y44" i="95"/>
  <c r="C45" i="95"/>
  <c r="P45" i="95"/>
  <c r="N45" i="95"/>
  <c r="O45" i="95"/>
  <c r="M45" i="136"/>
  <c r="O45" i="136"/>
  <c r="P45" i="136"/>
  <c r="W45" i="95"/>
  <c r="X45" i="95"/>
  <c r="Y45" i="95"/>
  <c r="C51" i="95"/>
  <c r="H46" i="136"/>
  <c r="J46" i="136"/>
  <c r="K46" i="136"/>
  <c r="N51" i="95"/>
  <c r="O51" i="95"/>
  <c r="W51" i="95"/>
  <c r="X51" i="95"/>
  <c r="Y51" i="95"/>
  <c r="C52" i="95"/>
  <c r="P52" i="95"/>
  <c r="N52" i="95"/>
  <c r="O52" i="95"/>
  <c r="M47" i="136"/>
  <c r="O47" i="136"/>
  <c r="W52" i="95"/>
  <c r="X52" i="95"/>
  <c r="Y52" i="95"/>
  <c r="C53" i="95"/>
  <c r="P53" i="95"/>
  <c r="N53" i="95"/>
  <c r="O53" i="95"/>
  <c r="M48" i="136"/>
  <c r="O48" i="136"/>
  <c r="P48" i="136"/>
  <c r="W53" i="95"/>
  <c r="X53" i="95"/>
  <c r="Y53" i="95"/>
  <c r="C54" i="95"/>
  <c r="P54" i="95"/>
  <c r="N54" i="95"/>
  <c r="O54" i="95"/>
  <c r="W54" i="95"/>
  <c r="X54" i="95"/>
  <c r="Y54" i="95"/>
  <c r="C55" i="95"/>
  <c r="H50" i="136"/>
  <c r="J50" i="136"/>
  <c r="K50" i="136"/>
  <c r="N55" i="95"/>
  <c r="O55" i="95"/>
  <c r="M50" i="136"/>
  <c r="O50" i="136"/>
  <c r="P50" i="136"/>
  <c r="W55" i="95"/>
  <c r="X55" i="95"/>
  <c r="Y55" i="95"/>
  <c r="C56" i="95"/>
  <c r="H51" i="136"/>
  <c r="J51" i="136"/>
  <c r="K51" i="136"/>
  <c r="N56" i="95"/>
  <c r="O56" i="95"/>
  <c r="W56" i="95"/>
  <c r="X56" i="95"/>
  <c r="Y56" i="95"/>
  <c r="C57" i="95"/>
  <c r="N57" i="95"/>
  <c r="O57" i="95"/>
  <c r="M52" i="136"/>
  <c r="O52" i="136"/>
  <c r="W57" i="95"/>
  <c r="X57" i="95"/>
  <c r="Y57" i="95"/>
  <c r="C58" i="95"/>
  <c r="H53" i="136"/>
  <c r="J53" i="136"/>
  <c r="K53" i="136"/>
  <c r="N58" i="95"/>
  <c r="O58" i="95"/>
  <c r="W58" i="95"/>
  <c r="X58" i="95"/>
  <c r="Y58" i="95"/>
  <c r="C59" i="95"/>
  <c r="N59" i="95"/>
  <c r="O59" i="95"/>
  <c r="W59" i="95"/>
  <c r="X59" i="95"/>
  <c r="Y59" i="95"/>
  <c r="C60" i="95"/>
  <c r="P60" i="95"/>
  <c r="N60" i="95"/>
  <c r="O60" i="95"/>
  <c r="M55" i="136"/>
  <c r="O55" i="136"/>
  <c r="P55" i="136"/>
  <c r="W60" i="95"/>
  <c r="X60" i="95"/>
  <c r="Y60" i="95"/>
  <c r="C61" i="95"/>
  <c r="H56" i="136"/>
  <c r="J56" i="136"/>
  <c r="K56" i="136"/>
  <c r="N61" i="95"/>
  <c r="O61" i="95"/>
  <c r="M56" i="136"/>
  <c r="O56" i="136"/>
  <c r="P56" i="136"/>
  <c r="W61" i="95"/>
  <c r="X61" i="95"/>
  <c r="Y61" i="95"/>
  <c r="C62" i="95"/>
  <c r="P62" i="95"/>
  <c r="N62" i="95"/>
  <c r="O62" i="95"/>
  <c r="W62" i="95"/>
  <c r="X62" i="95"/>
  <c r="Y62" i="95"/>
  <c r="C63" i="95"/>
  <c r="P63" i="95"/>
  <c r="N63" i="95"/>
  <c r="O63" i="95"/>
  <c r="W63" i="95"/>
  <c r="X63" i="95"/>
  <c r="Y63" i="95"/>
  <c r="C64" i="95"/>
  <c r="H59" i="136"/>
  <c r="J59" i="136"/>
  <c r="K59" i="136"/>
  <c r="N64" i="95"/>
  <c r="O64" i="95"/>
  <c r="M59" i="136"/>
  <c r="O59" i="136"/>
  <c r="W64" i="95"/>
  <c r="X64" i="95"/>
  <c r="Y64" i="95"/>
  <c r="C65" i="95"/>
  <c r="P65" i="95"/>
  <c r="N65" i="95"/>
  <c r="O65" i="95"/>
  <c r="M60" i="136"/>
  <c r="O60" i="136"/>
  <c r="P60" i="136"/>
  <c r="W65" i="95"/>
  <c r="X65" i="95"/>
  <c r="Y65" i="95"/>
  <c r="C66" i="95"/>
  <c r="H61" i="136"/>
  <c r="J61" i="136"/>
  <c r="K61" i="136"/>
  <c r="N66" i="95"/>
  <c r="O66" i="95"/>
  <c r="M61" i="136"/>
  <c r="O61" i="136"/>
  <c r="W66" i="95"/>
  <c r="X66" i="95"/>
  <c r="Y66" i="95"/>
  <c r="C67" i="95"/>
  <c r="N67" i="95"/>
  <c r="O67" i="95"/>
  <c r="W67" i="95"/>
  <c r="X67" i="95"/>
  <c r="Y67" i="95"/>
  <c r="C68" i="95"/>
  <c r="N68" i="95"/>
  <c r="O68" i="95"/>
  <c r="M63" i="136"/>
  <c r="O63" i="136"/>
  <c r="P63" i="136"/>
  <c r="W68" i="95"/>
  <c r="X68" i="95"/>
  <c r="Y68" i="95"/>
  <c r="C69" i="95"/>
  <c r="H64" i="136"/>
  <c r="J64" i="136"/>
  <c r="K64" i="136"/>
  <c r="N69" i="95"/>
  <c r="O69" i="95"/>
  <c r="M64" i="136"/>
  <c r="O64" i="136"/>
  <c r="P64" i="136"/>
  <c r="W69" i="95"/>
  <c r="X69" i="95"/>
  <c r="Y69" i="95"/>
  <c r="C70" i="95"/>
  <c r="H65" i="136"/>
  <c r="J65" i="136"/>
  <c r="K65" i="136"/>
  <c r="N70" i="95"/>
  <c r="O70" i="95"/>
  <c r="W70" i="95"/>
  <c r="X70" i="95"/>
  <c r="Y70" i="95"/>
  <c r="C71" i="95"/>
  <c r="P71" i="95"/>
  <c r="N71" i="95"/>
  <c r="O71" i="95"/>
  <c r="M66" i="136"/>
  <c r="O66" i="136"/>
  <c r="W71" i="95"/>
  <c r="X71" i="95"/>
  <c r="Y71" i="95"/>
  <c r="C72" i="95"/>
  <c r="N72" i="95"/>
  <c r="O72" i="95"/>
  <c r="M67" i="136"/>
  <c r="O67" i="136"/>
  <c r="W72" i="95"/>
  <c r="X72" i="95"/>
  <c r="Y72" i="95"/>
  <c r="C73" i="95"/>
  <c r="P73" i="95"/>
  <c r="N73" i="95"/>
  <c r="O73" i="95"/>
  <c r="W73" i="95"/>
  <c r="X73" i="95"/>
  <c r="Y73" i="95"/>
  <c r="C74" i="95"/>
  <c r="H69" i="136"/>
  <c r="J69" i="136"/>
  <c r="N74" i="95"/>
  <c r="O74" i="95"/>
  <c r="W74" i="95"/>
  <c r="X74" i="95"/>
  <c r="Y74" i="95"/>
  <c r="C75" i="95"/>
  <c r="H70" i="136"/>
  <c r="J70" i="136"/>
  <c r="N75" i="95"/>
  <c r="O75" i="95"/>
  <c r="M70" i="136"/>
  <c r="O70" i="136"/>
  <c r="P70" i="136"/>
  <c r="W75" i="95"/>
  <c r="X75" i="95"/>
  <c r="Y75" i="95"/>
  <c r="C76" i="95"/>
  <c r="P76" i="95"/>
  <c r="N76" i="95"/>
  <c r="O76" i="95"/>
  <c r="W76" i="95"/>
  <c r="X76" i="95"/>
  <c r="Y76" i="95"/>
  <c r="C77" i="95"/>
  <c r="P77" i="95"/>
  <c r="N77" i="95"/>
  <c r="O77" i="95"/>
  <c r="M72" i="136"/>
  <c r="O72" i="136"/>
  <c r="W77" i="95"/>
  <c r="X77" i="95"/>
  <c r="Y77" i="95"/>
  <c r="C78" i="95"/>
  <c r="P78" i="95"/>
  <c r="N78" i="95"/>
  <c r="O78" i="95"/>
  <c r="W78" i="95"/>
  <c r="X78" i="95"/>
  <c r="Y78" i="95"/>
  <c r="C79" i="95"/>
  <c r="H74" i="136"/>
  <c r="J74" i="136"/>
  <c r="N79" i="95"/>
  <c r="O79" i="95"/>
  <c r="W79" i="95"/>
  <c r="X79" i="95"/>
  <c r="Y79" i="95"/>
  <c r="C80" i="95"/>
  <c r="H75" i="136"/>
  <c r="N80" i="95"/>
  <c r="O80" i="95"/>
  <c r="M75" i="136"/>
  <c r="O75" i="136"/>
  <c r="W80" i="95"/>
  <c r="X80" i="95"/>
  <c r="Y80" i="95"/>
  <c r="C81" i="95"/>
  <c r="N81" i="95"/>
  <c r="O81" i="95"/>
  <c r="M76" i="136"/>
  <c r="O76" i="136"/>
  <c r="P76" i="136"/>
  <c r="W81" i="95"/>
  <c r="X81" i="95"/>
  <c r="Y81" i="95"/>
  <c r="C82" i="95"/>
  <c r="H77" i="136"/>
  <c r="J77" i="136"/>
  <c r="N82" i="95"/>
  <c r="O82" i="95"/>
  <c r="W82" i="95"/>
  <c r="X82" i="95"/>
  <c r="Y82" i="95"/>
  <c r="C83" i="95"/>
  <c r="P83" i="95"/>
  <c r="Q83" i="95"/>
  <c r="R78" i="136"/>
  <c r="T78" i="136"/>
  <c r="N83" i="95"/>
  <c r="O83" i="95"/>
  <c r="W83" i="95"/>
  <c r="X83" i="95"/>
  <c r="Y83" i="95"/>
  <c r="C84" i="95"/>
  <c r="N84" i="95"/>
  <c r="O84" i="95"/>
  <c r="M79" i="136"/>
  <c r="O79" i="136"/>
  <c r="P79" i="136"/>
  <c r="W84" i="95"/>
  <c r="X84" i="95"/>
  <c r="Y84" i="95"/>
  <c r="C85" i="95"/>
  <c r="P85" i="95"/>
  <c r="N85" i="95"/>
  <c r="O85" i="95"/>
  <c r="M80" i="136"/>
  <c r="O80" i="136"/>
  <c r="P80" i="136"/>
  <c r="W85" i="95"/>
  <c r="X85" i="95"/>
  <c r="Y85" i="95"/>
  <c r="C86" i="95"/>
  <c r="H81" i="136"/>
  <c r="J81" i="136"/>
  <c r="K81" i="136"/>
  <c r="N86" i="95"/>
  <c r="O86" i="95"/>
  <c r="W86" i="95"/>
  <c r="X86" i="95"/>
  <c r="Y86" i="95"/>
  <c r="C87" i="95"/>
  <c r="N87" i="95"/>
  <c r="O87" i="95"/>
  <c r="W87" i="95"/>
  <c r="X87" i="95"/>
  <c r="Y87" i="95"/>
  <c r="C88" i="95"/>
  <c r="P88" i="95"/>
  <c r="Q88" i="95"/>
  <c r="R83" i="136"/>
  <c r="T83" i="136"/>
  <c r="N88" i="95"/>
  <c r="O88" i="95"/>
  <c r="M83" i="136"/>
  <c r="O83" i="136"/>
  <c r="P83" i="136"/>
  <c r="W88" i="95"/>
  <c r="X88" i="95"/>
  <c r="Y88" i="95"/>
  <c r="C89" i="95"/>
  <c r="P89" i="95"/>
  <c r="N89" i="95"/>
  <c r="O89" i="95"/>
  <c r="M84" i="136"/>
  <c r="O84" i="136"/>
  <c r="P84" i="136"/>
  <c r="W89" i="95"/>
  <c r="X89" i="95"/>
  <c r="Y89" i="95"/>
  <c r="C90" i="95"/>
  <c r="N90" i="95"/>
  <c r="O90" i="95"/>
  <c r="W90" i="95"/>
  <c r="X90" i="95"/>
  <c r="Y90" i="95"/>
  <c r="C91" i="95"/>
  <c r="P91" i="95"/>
  <c r="Q91" i="95"/>
  <c r="R86" i="136"/>
  <c r="T86" i="136"/>
  <c r="U86" i="136"/>
  <c r="N91" i="95"/>
  <c r="O91" i="95"/>
  <c r="W91" i="95"/>
  <c r="X91" i="95"/>
  <c r="Y91" i="95"/>
  <c r="N92" i="95"/>
  <c r="O92" i="95"/>
  <c r="M87" i="136"/>
  <c r="O87" i="136"/>
  <c r="P92" i="95"/>
  <c r="W92" i="95"/>
  <c r="X92" i="95"/>
  <c r="Y92" i="95"/>
  <c r="D93" i="95"/>
  <c r="AG27" i="83"/>
  <c r="E93" i="95"/>
  <c r="AG26" i="83"/>
  <c r="AG9" i="83"/>
  <c r="F93" i="95"/>
  <c r="AG25" i="83"/>
  <c r="AG8" i="83"/>
  <c r="AI12" i="115"/>
  <c r="G93" i="95"/>
  <c r="AG32" i="83"/>
  <c r="AG14" i="83"/>
  <c r="H93" i="95"/>
  <c r="AG31" i="83"/>
  <c r="I93" i="95"/>
  <c r="AG33" i="83"/>
  <c r="AG15" i="83"/>
  <c r="J93" i="95"/>
  <c r="AG34" i="83"/>
  <c r="AG16" i="83"/>
  <c r="K93" i="95"/>
  <c r="AG35" i="83"/>
  <c r="AG17" i="83"/>
  <c r="L93" i="95"/>
  <c r="AG36" i="83"/>
  <c r="AG18" i="83"/>
  <c r="M93" i="95"/>
  <c r="AG37" i="83"/>
  <c r="AG19" i="83"/>
  <c r="AI25" i="115"/>
  <c r="B6" i="84"/>
  <c r="C6" i="84"/>
  <c r="D6" i="84"/>
  <c r="D19" i="84"/>
  <c r="F6" i="84"/>
  <c r="H6" i="84"/>
  <c r="J6" i="84"/>
  <c r="K6" i="84"/>
  <c r="L6" i="84"/>
  <c r="N6" i="84"/>
  <c r="P6" i="84"/>
  <c r="S6" i="84"/>
  <c r="R6" i="84"/>
  <c r="T6" i="84"/>
  <c r="Y6" i="84"/>
  <c r="B11" i="84"/>
  <c r="B19" i="84" s="1"/>
  <c r="C11" i="84"/>
  <c r="F11" i="84"/>
  <c r="H11" i="84"/>
  <c r="H19" i="84" s="1"/>
  <c r="J11" i="84"/>
  <c r="L11" i="84"/>
  <c r="N11" i="84"/>
  <c r="P11" i="84"/>
  <c r="Q11" i="84" s="1"/>
  <c r="R11" i="84"/>
  <c r="R19" i="84" s="1"/>
  <c r="T11" i="84"/>
  <c r="W11" i="84" s="1"/>
  <c r="Y11" i="84"/>
  <c r="AA11" i="84"/>
  <c r="AB11" i="84"/>
  <c r="AC11" i="84" s="1"/>
  <c r="J12" i="84"/>
  <c r="L12" i="84"/>
  <c r="L20" i="84"/>
  <c r="N12" i="84"/>
  <c r="O12" i="84" s="1"/>
  <c r="P12" i="84"/>
  <c r="R12" i="84"/>
  <c r="T12" i="84"/>
  <c r="Y12" i="84"/>
  <c r="AA12" i="84"/>
  <c r="AB12" i="84"/>
  <c r="E13" i="84"/>
  <c r="G13" i="84"/>
  <c r="I13" i="84"/>
  <c r="K13" i="84"/>
  <c r="M13" i="84"/>
  <c r="O13" i="84"/>
  <c r="Q13" i="84"/>
  <c r="S13" i="84"/>
  <c r="U13" i="84"/>
  <c r="W13" i="84"/>
  <c r="Y13" i="84"/>
  <c r="AA13" i="84"/>
  <c r="AC13" i="84"/>
  <c r="E14" i="84"/>
  <c r="G14" i="84"/>
  <c r="I14" i="84"/>
  <c r="K14" i="84"/>
  <c r="M14" i="84"/>
  <c r="O14" i="84"/>
  <c r="Q14" i="84"/>
  <c r="S14" i="84"/>
  <c r="U14" i="84"/>
  <c r="W14" i="84"/>
  <c r="Y14" i="84"/>
  <c r="AA14" i="84"/>
  <c r="AC14" i="84"/>
  <c r="E15" i="84"/>
  <c r="G15" i="84"/>
  <c r="I15" i="84"/>
  <c r="K15" i="84"/>
  <c r="M15" i="84"/>
  <c r="O15" i="84"/>
  <c r="Q15" i="84"/>
  <c r="S15" i="84"/>
  <c r="U15" i="84"/>
  <c r="W15" i="84"/>
  <c r="Y15" i="84"/>
  <c r="AA15" i="84"/>
  <c r="AC15" i="84"/>
  <c r="E16" i="84"/>
  <c r="G16" i="84"/>
  <c r="I16" i="84"/>
  <c r="K16" i="84"/>
  <c r="M16" i="84"/>
  <c r="O16" i="84"/>
  <c r="Q16" i="84"/>
  <c r="S16" i="84"/>
  <c r="U16" i="84"/>
  <c r="W16" i="84"/>
  <c r="Y16" i="84"/>
  <c r="AA16" i="84"/>
  <c r="AC16" i="84"/>
  <c r="B17" i="84"/>
  <c r="B12" i="84"/>
  <c r="B20" i="84" s="1"/>
  <c r="C17" i="84"/>
  <c r="C12" i="84"/>
  <c r="D17" i="84"/>
  <c r="G17" i="84" s="1"/>
  <c r="F17" i="84"/>
  <c r="H17" i="84"/>
  <c r="H12" i="84"/>
  <c r="M17" i="84"/>
  <c r="O17" i="84"/>
  <c r="Q17" i="84"/>
  <c r="S17" i="84"/>
  <c r="U17" i="84"/>
  <c r="W17" i="84"/>
  <c r="Y17" i="84"/>
  <c r="AA17" i="84"/>
  <c r="AC17" i="84"/>
  <c r="E18" i="84"/>
  <c r="G18" i="84"/>
  <c r="I18" i="84"/>
  <c r="K18" i="84"/>
  <c r="M18" i="84"/>
  <c r="O18" i="84"/>
  <c r="Q18" i="84"/>
  <c r="S18" i="84"/>
  <c r="U18" i="84"/>
  <c r="W18" i="84"/>
  <c r="Y18" i="84"/>
  <c r="AA18" i="84"/>
  <c r="AC18" i="84"/>
  <c r="V19" i="84"/>
  <c r="Y20" i="84"/>
  <c r="AA20" i="84"/>
  <c r="AC20" i="84"/>
  <c r="B24" i="84"/>
  <c r="C24" i="84"/>
  <c r="F24" i="84"/>
  <c r="G24" i="84" s="1"/>
  <c r="H24" i="84"/>
  <c r="J24" i="84"/>
  <c r="K24" i="84"/>
  <c r="L24" i="84"/>
  <c r="M24" i="84"/>
  <c r="N24" i="84"/>
  <c r="G25" i="84"/>
  <c r="I25" i="84"/>
  <c r="K25" i="84"/>
  <c r="M25" i="84"/>
  <c r="O25" i="84"/>
  <c r="Q25" i="84"/>
  <c r="G26" i="84"/>
  <c r="I26" i="84"/>
  <c r="K26" i="84"/>
  <c r="M26" i="84"/>
  <c r="O26" i="84"/>
  <c r="Q26" i="84"/>
  <c r="G27" i="84"/>
  <c r="I27" i="84"/>
  <c r="K27" i="84"/>
  <c r="M27" i="84"/>
  <c r="O27" i="84"/>
  <c r="Q27" i="84"/>
  <c r="T24" i="84"/>
  <c r="T30" i="84"/>
  <c r="G31" i="84"/>
  <c r="I31" i="84"/>
  <c r="K31" i="84"/>
  <c r="M31" i="84"/>
  <c r="O31" i="84"/>
  <c r="Q31" i="84"/>
  <c r="G32" i="84"/>
  <c r="I32" i="84"/>
  <c r="K32" i="84"/>
  <c r="M32" i="84"/>
  <c r="O32" i="84"/>
  <c r="Q32" i="84"/>
  <c r="G33" i="84"/>
  <c r="I33" i="84"/>
  <c r="K33" i="84"/>
  <c r="M33" i="84"/>
  <c r="O33" i="84"/>
  <c r="Q33" i="84"/>
  <c r="G34" i="84"/>
  <c r="I34" i="84"/>
  <c r="K34" i="84"/>
  <c r="M34" i="84"/>
  <c r="O34" i="84"/>
  <c r="Q34" i="84"/>
  <c r="B35" i="84"/>
  <c r="B30" i="84" s="1"/>
  <c r="C35" i="84"/>
  <c r="C30" i="84" s="1"/>
  <c r="F35" i="84"/>
  <c r="G35" i="84" s="1"/>
  <c r="H35" i="84"/>
  <c r="J35" i="84"/>
  <c r="J30" i="84"/>
  <c r="L35" i="84"/>
  <c r="L30" i="84" s="1"/>
  <c r="N35" i="84"/>
  <c r="N30" i="84"/>
  <c r="G36" i="84"/>
  <c r="I36" i="84"/>
  <c r="K36" i="84"/>
  <c r="M36" i="84"/>
  <c r="O36" i="84"/>
  <c r="Q36" i="84"/>
  <c r="T36" i="84"/>
  <c r="AA4" i="83"/>
  <c r="AB5" i="84" s="1"/>
  <c r="D5" i="83"/>
  <c r="E5" i="83"/>
  <c r="F5" i="83"/>
  <c r="G5" i="83"/>
  <c r="H5" i="83"/>
  <c r="I5" i="83"/>
  <c r="K5" i="83"/>
  <c r="D6" i="83"/>
  <c r="E6" i="83"/>
  <c r="G6" i="83"/>
  <c r="I6" i="83"/>
  <c r="K6" i="83"/>
  <c r="M6" i="83"/>
  <c r="O6" i="83"/>
  <c r="P6" i="83"/>
  <c r="Q6" i="83"/>
  <c r="S6" i="83"/>
  <c r="X6" i="83"/>
  <c r="Z6" i="83"/>
  <c r="AB6" i="83"/>
  <c r="D7" i="83"/>
  <c r="E7" i="83"/>
  <c r="F7" i="83"/>
  <c r="G7" i="83"/>
  <c r="I7" i="83"/>
  <c r="K7" i="83"/>
  <c r="M7" i="83"/>
  <c r="O7" i="83"/>
  <c r="Q7" i="83"/>
  <c r="S7" i="83"/>
  <c r="X7" i="83"/>
  <c r="Z7" i="83"/>
  <c r="AB7" i="83"/>
  <c r="D8" i="83"/>
  <c r="E8" i="83"/>
  <c r="F8" i="83"/>
  <c r="G8" i="83"/>
  <c r="H8" i="83"/>
  <c r="I8" i="83"/>
  <c r="J8" i="83"/>
  <c r="K8" i="83"/>
  <c r="M8" i="83"/>
  <c r="N8" i="83"/>
  <c r="O8" i="83"/>
  <c r="P8" i="83"/>
  <c r="Q8" i="83"/>
  <c r="R8" i="83"/>
  <c r="S8" i="83"/>
  <c r="X8" i="83"/>
  <c r="Z8" i="83"/>
  <c r="AB8" i="83"/>
  <c r="D9" i="83"/>
  <c r="E9" i="83"/>
  <c r="F9" i="83"/>
  <c r="G9" i="83"/>
  <c r="I9" i="83"/>
  <c r="K9" i="83"/>
  <c r="M9" i="83"/>
  <c r="O9" i="83"/>
  <c r="P9" i="83"/>
  <c r="Q9" i="83"/>
  <c r="R9" i="83"/>
  <c r="S9" i="83"/>
  <c r="X9" i="83"/>
  <c r="Z9" i="83"/>
  <c r="AB9" i="83"/>
  <c r="D11" i="83"/>
  <c r="E11" i="83"/>
  <c r="G11" i="83"/>
  <c r="I11" i="83"/>
  <c r="K11" i="83"/>
  <c r="M11" i="83"/>
  <c r="D12" i="83"/>
  <c r="E12" i="83"/>
  <c r="G12" i="83"/>
  <c r="G22" i="83"/>
  <c r="H12" i="83"/>
  <c r="I12" i="83"/>
  <c r="J12" i="83"/>
  <c r="M12" i="83"/>
  <c r="D13" i="83"/>
  <c r="E13" i="83"/>
  <c r="G13" i="83"/>
  <c r="H13" i="83"/>
  <c r="I13" i="83"/>
  <c r="K13" i="83"/>
  <c r="L13" i="83"/>
  <c r="M13" i="83"/>
  <c r="O13" i="83"/>
  <c r="R13" i="83"/>
  <c r="Q13" i="83"/>
  <c r="S13" i="83"/>
  <c r="T13" i="83"/>
  <c r="U13" i="83"/>
  <c r="W13" i="83"/>
  <c r="Y13" i="83"/>
  <c r="AA13" i="83"/>
  <c r="D14" i="83"/>
  <c r="E14" i="83"/>
  <c r="F14" i="83"/>
  <c r="G14" i="83"/>
  <c r="H14" i="83"/>
  <c r="I14" i="83"/>
  <c r="K14" i="83"/>
  <c r="M14" i="83"/>
  <c r="O14" i="83"/>
  <c r="P14" i="83"/>
  <c r="Q14" i="83"/>
  <c r="S14" i="83"/>
  <c r="U14" i="83"/>
  <c r="W14" i="83"/>
  <c r="Y14" i="83"/>
  <c r="Z14" i="83"/>
  <c r="AA14" i="83"/>
  <c r="AD14" i="83"/>
  <c r="D15" i="83"/>
  <c r="E15" i="83"/>
  <c r="G15" i="83"/>
  <c r="I15" i="83"/>
  <c r="J15" i="83"/>
  <c r="K15" i="83"/>
  <c r="N15" i="83"/>
  <c r="M15" i="83"/>
  <c r="O15" i="83"/>
  <c r="Q15" i="83"/>
  <c r="S15" i="83"/>
  <c r="U15" i="83"/>
  <c r="W15" i="83"/>
  <c r="X15" i="83"/>
  <c r="Y15" i="83"/>
  <c r="AA15" i="83"/>
  <c r="D16" i="83"/>
  <c r="E16" i="83"/>
  <c r="G16" i="83"/>
  <c r="I16" i="83"/>
  <c r="J16" i="83"/>
  <c r="K16" i="83"/>
  <c r="L16" i="83"/>
  <c r="M16" i="83"/>
  <c r="O16" i="83"/>
  <c r="Q22" i="115"/>
  <c r="R22" i="115" s="1"/>
  <c r="Q16" i="83"/>
  <c r="R16" i="83"/>
  <c r="S16" i="83"/>
  <c r="U22" i="115"/>
  <c r="V22" i="115" s="1"/>
  <c r="U16" i="83"/>
  <c r="W16" i="83"/>
  <c r="Y16" i="83"/>
  <c r="AA16" i="83"/>
  <c r="O17" i="83"/>
  <c r="Q23" i="115"/>
  <c r="R23" i="115"/>
  <c r="Q17" i="83"/>
  <c r="S23" i="115"/>
  <c r="T23" i="115" s="1"/>
  <c r="S17" i="83"/>
  <c r="U17" i="83"/>
  <c r="W23" i="115"/>
  <c r="Z23" i="115" s="1"/>
  <c r="W17" i="83"/>
  <c r="Y23" i="115"/>
  <c r="Y17" i="83"/>
  <c r="AA17" i="83"/>
  <c r="O18" i="83"/>
  <c r="Q24" i="115"/>
  <c r="Q18" i="83"/>
  <c r="S24" i="115"/>
  <c r="T24" i="115" s="1"/>
  <c r="S18" i="83"/>
  <c r="U18" i="83"/>
  <c r="W18" i="83"/>
  <c r="Y18" i="83"/>
  <c r="AA24" i="115"/>
  <c r="AD24" i="115" s="1"/>
  <c r="AA18" i="83"/>
  <c r="O19" i="83"/>
  <c r="Q25" i="115"/>
  <c r="Q19" i="83"/>
  <c r="S19" i="83"/>
  <c r="U19" i="83"/>
  <c r="W19" i="83"/>
  <c r="Y25" i="115"/>
  <c r="Y19" i="83"/>
  <c r="AA19" i="83"/>
  <c r="AC25" i="115"/>
  <c r="D20" i="83"/>
  <c r="F20" i="83"/>
  <c r="H20" i="83"/>
  <c r="J20" i="83"/>
  <c r="L20" i="83"/>
  <c r="N20" i="83"/>
  <c r="O20" i="83"/>
  <c r="Q20" i="83"/>
  <c r="S20" i="83"/>
  <c r="U20" i="83"/>
  <c r="X20" i="83"/>
  <c r="W20" i="83"/>
  <c r="Y20" i="83"/>
  <c r="Y21" i="83"/>
  <c r="D22" i="83"/>
  <c r="D24" i="83"/>
  <c r="F24" i="83"/>
  <c r="H24" i="83"/>
  <c r="J24" i="83"/>
  <c r="L24" i="83"/>
  <c r="M24" i="83"/>
  <c r="O24" i="83"/>
  <c r="Q24" i="83"/>
  <c r="T24" i="83"/>
  <c r="S24" i="83"/>
  <c r="U24" i="83"/>
  <c r="U39" i="83"/>
  <c r="W24" i="83"/>
  <c r="AA24" i="83"/>
  <c r="D25" i="83"/>
  <c r="F25" i="83"/>
  <c r="H25" i="83"/>
  <c r="J25" i="83"/>
  <c r="L25" i="83"/>
  <c r="N25" i="83"/>
  <c r="P25" i="83"/>
  <c r="R25" i="83"/>
  <c r="T25" i="83"/>
  <c r="V25" i="83"/>
  <c r="X25" i="83"/>
  <c r="Z25" i="83"/>
  <c r="AB25" i="83"/>
  <c r="D26" i="83"/>
  <c r="F26" i="83"/>
  <c r="H26" i="83"/>
  <c r="J26" i="83"/>
  <c r="L26" i="83"/>
  <c r="N26" i="83"/>
  <c r="P26" i="83"/>
  <c r="R26" i="83"/>
  <c r="T26" i="83"/>
  <c r="V26" i="83"/>
  <c r="X26" i="83"/>
  <c r="Z26" i="83"/>
  <c r="AB26" i="83"/>
  <c r="D27" i="83"/>
  <c r="F27" i="83"/>
  <c r="H27" i="83"/>
  <c r="J27" i="83"/>
  <c r="L27" i="83"/>
  <c r="N27" i="83"/>
  <c r="P27" i="83"/>
  <c r="R27" i="83"/>
  <c r="T27" i="83"/>
  <c r="V27" i="83"/>
  <c r="X27" i="83"/>
  <c r="Z27" i="83"/>
  <c r="AB27" i="83"/>
  <c r="D29" i="83"/>
  <c r="F29" i="83"/>
  <c r="H29" i="83"/>
  <c r="J29" i="83"/>
  <c r="L29" i="83"/>
  <c r="N29" i="83"/>
  <c r="O29" i="83"/>
  <c r="Q29" i="83"/>
  <c r="S29" i="83"/>
  <c r="S39" i="83"/>
  <c r="U29" i="83"/>
  <c r="V29" i="83"/>
  <c r="W29" i="83"/>
  <c r="Y29" i="83"/>
  <c r="AA29" i="83"/>
  <c r="D30" i="83"/>
  <c r="F30" i="83"/>
  <c r="H30" i="83"/>
  <c r="J30" i="83"/>
  <c r="K30" i="83"/>
  <c r="N30" i="83"/>
  <c r="O30" i="83"/>
  <c r="Q30" i="83"/>
  <c r="S30" i="83"/>
  <c r="U30" i="83"/>
  <c r="U40" i="83"/>
  <c r="W30" i="83"/>
  <c r="Y30" i="83"/>
  <c r="Z30" i="83"/>
  <c r="AA30" i="83"/>
  <c r="D31" i="83"/>
  <c r="F31" i="83"/>
  <c r="H31" i="83"/>
  <c r="J31" i="83"/>
  <c r="L31" i="83"/>
  <c r="N31" i="83"/>
  <c r="P31" i="83"/>
  <c r="R31" i="83"/>
  <c r="T31" i="83"/>
  <c r="V31" i="83"/>
  <c r="X31" i="83"/>
  <c r="Z31" i="83"/>
  <c r="AB31" i="83"/>
  <c r="D32" i="83"/>
  <c r="F32" i="83"/>
  <c r="H32" i="83"/>
  <c r="J32" i="83"/>
  <c r="L32" i="83"/>
  <c r="N32" i="83"/>
  <c r="P32" i="83"/>
  <c r="R32" i="83"/>
  <c r="T32" i="83"/>
  <c r="V32" i="83"/>
  <c r="X32" i="83"/>
  <c r="Z32" i="83"/>
  <c r="AB32" i="83"/>
  <c r="D33" i="83"/>
  <c r="F33" i="83"/>
  <c r="H33" i="83"/>
  <c r="J33" i="83"/>
  <c r="L33" i="83"/>
  <c r="N33" i="83"/>
  <c r="P33" i="83"/>
  <c r="R33" i="83"/>
  <c r="T33" i="83"/>
  <c r="V33" i="83"/>
  <c r="X33" i="83"/>
  <c r="Z33" i="83"/>
  <c r="AB33" i="83"/>
  <c r="D34" i="83"/>
  <c r="F34" i="83"/>
  <c r="H34" i="83"/>
  <c r="J34" i="83"/>
  <c r="L34" i="83"/>
  <c r="N34" i="83"/>
  <c r="P34" i="83"/>
  <c r="R34" i="83"/>
  <c r="T34" i="83"/>
  <c r="V34" i="83"/>
  <c r="X34" i="83"/>
  <c r="Z34" i="83"/>
  <c r="AB34" i="83"/>
  <c r="D38" i="83"/>
  <c r="E39" i="83"/>
  <c r="G39" i="83"/>
  <c r="I39" i="83"/>
  <c r="K39" i="83"/>
  <c r="D40" i="83"/>
  <c r="E40" i="83"/>
  <c r="F40" i="83"/>
  <c r="G40" i="83"/>
  <c r="I40" i="83"/>
  <c r="K40" i="83"/>
  <c r="S40" i="83"/>
  <c r="Y40" i="83"/>
  <c r="D42" i="83"/>
  <c r="F42" i="83"/>
  <c r="H42" i="83"/>
  <c r="J42" i="83"/>
  <c r="L42" i="83"/>
  <c r="N42" i="83"/>
  <c r="P42" i="83"/>
  <c r="R42" i="83"/>
  <c r="S42" i="83"/>
  <c r="T42" i="83"/>
  <c r="X42" i="83"/>
  <c r="Z42" i="83"/>
  <c r="AA42" i="83"/>
  <c r="D43" i="83"/>
  <c r="F43" i="83"/>
  <c r="H43" i="83"/>
  <c r="J43" i="83"/>
  <c r="L43" i="83"/>
  <c r="N43" i="83"/>
  <c r="P43" i="83"/>
  <c r="R43" i="83"/>
  <c r="D44" i="83"/>
  <c r="F44" i="83"/>
  <c r="H44" i="83"/>
  <c r="J44" i="83"/>
  <c r="L44" i="83"/>
  <c r="N44" i="83"/>
  <c r="P44" i="83"/>
  <c r="R44" i="83"/>
  <c r="T44" i="83"/>
  <c r="V44" i="83"/>
  <c r="X44" i="83"/>
  <c r="Z44" i="83"/>
  <c r="AB44" i="83"/>
  <c r="D46" i="83"/>
  <c r="F46" i="83"/>
  <c r="H46" i="83"/>
  <c r="J46" i="83"/>
  <c r="L46" i="83"/>
  <c r="N46" i="83"/>
  <c r="P46" i="83"/>
  <c r="Q46" i="83"/>
  <c r="Q56" i="83"/>
  <c r="S46" i="83"/>
  <c r="T46" i="83"/>
  <c r="U46" i="83"/>
  <c r="W46" i="83"/>
  <c r="X46" i="83"/>
  <c r="Y46" i="83"/>
  <c r="AA46" i="83"/>
  <c r="AD46" i="83"/>
  <c r="D47" i="83"/>
  <c r="F47" i="83"/>
  <c r="H47" i="83"/>
  <c r="J47" i="83"/>
  <c r="K47" i="83"/>
  <c r="K12" i="83"/>
  <c r="N12" i="83"/>
  <c r="P47" i="83"/>
  <c r="Q47" i="83"/>
  <c r="S47" i="83"/>
  <c r="T47" i="83"/>
  <c r="U47" i="83"/>
  <c r="W47" i="83"/>
  <c r="W57" i="83"/>
  <c r="X57" i="83"/>
  <c r="Y47" i="83"/>
  <c r="Y57" i="83"/>
  <c r="AA47" i="83"/>
  <c r="AD47" i="83"/>
  <c r="D48" i="83"/>
  <c r="F48" i="83"/>
  <c r="H48" i="83"/>
  <c r="J48" i="83"/>
  <c r="L48" i="83"/>
  <c r="N48" i="83"/>
  <c r="P48" i="83"/>
  <c r="R48" i="83"/>
  <c r="T48" i="83"/>
  <c r="V48" i="83"/>
  <c r="X48" i="83"/>
  <c r="Z48" i="83"/>
  <c r="AB48" i="83"/>
  <c r="D49" i="83"/>
  <c r="F49" i="83"/>
  <c r="H49" i="83"/>
  <c r="J49" i="83"/>
  <c r="L49" i="83"/>
  <c r="N49" i="83"/>
  <c r="P49" i="83"/>
  <c r="R49" i="83"/>
  <c r="T49" i="83"/>
  <c r="V49" i="83"/>
  <c r="X49" i="83"/>
  <c r="Z49" i="83"/>
  <c r="AB49" i="83"/>
  <c r="D50" i="83"/>
  <c r="F50" i="83"/>
  <c r="H50" i="83"/>
  <c r="J50" i="83"/>
  <c r="L50" i="83"/>
  <c r="N50" i="83"/>
  <c r="P50" i="83"/>
  <c r="R50" i="83"/>
  <c r="T50" i="83"/>
  <c r="V50" i="83"/>
  <c r="X50" i="83"/>
  <c r="Z50" i="83"/>
  <c r="AB50" i="83"/>
  <c r="D51" i="83"/>
  <c r="F51" i="83"/>
  <c r="H51" i="83"/>
  <c r="J51" i="83"/>
  <c r="L51" i="83"/>
  <c r="N51" i="83"/>
  <c r="P51" i="83"/>
  <c r="R51" i="83"/>
  <c r="T51" i="83"/>
  <c r="V51" i="83"/>
  <c r="X51" i="83"/>
  <c r="Z51" i="83"/>
  <c r="AB51" i="83"/>
  <c r="D55" i="83"/>
  <c r="E56" i="83"/>
  <c r="G56" i="83"/>
  <c r="I56" i="83"/>
  <c r="K56" i="83"/>
  <c r="M56" i="83"/>
  <c r="O56" i="83"/>
  <c r="D57" i="83"/>
  <c r="E57" i="83"/>
  <c r="F57" i="83"/>
  <c r="G57" i="83"/>
  <c r="I57" i="83"/>
  <c r="K57" i="83"/>
  <c r="L57" i="83"/>
  <c r="M57" i="83"/>
  <c r="O57" i="83"/>
  <c r="P57" i="83"/>
  <c r="D8" i="82"/>
  <c r="F8" i="82"/>
  <c r="G8" i="82" s="1"/>
  <c r="H8" i="82"/>
  <c r="J8" i="82"/>
  <c r="J27" i="82" s="1"/>
  <c r="L8" i="82"/>
  <c r="N8" i="82"/>
  <c r="P8" i="82"/>
  <c r="R8" i="82"/>
  <c r="T8" i="82"/>
  <c r="W8" i="82" s="1"/>
  <c r="Y8" i="82"/>
  <c r="AA8" i="82"/>
  <c r="AC8" i="82"/>
  <c r="C9" i="82"/>
  <c r="C8" i="82"/>
  <c r="G9" i="82"/>
  <c r="I9" i="82"/>
  <c r="K9" i="82"/>
  <c r="M9" i="82"/>
  <c r="O9" i="82"/>
  <c r="Q9" i="82"/>
  <c r="S9" i="82"/>
  <c r="U9" i="82"/>
  <c r="W9" i="82"/>
  <c r="Y9" i="82"/>
  <c r="AA9" i="82"/>
  <c r="AC9" i="82"/>
  <c r="AE9" i="82"/>
  <c r="E10" i="82"/>
  <c r="G10" i="82"/>
  <c r="I10" i="82"/>
  <c r="K10" i="82"/>
  <c r="M10" i="82"/>
  <c r="O10" i="82"/>
  <c r="Q10" i="82"/>
  <c r="S10" i="82"/>
  <c r="U10" i="82"/>
  <c r="W10" i="82"/>
  <c r="Y10" i="82"/>
  <c r="AA10" i="82"/>
  <c r="AC10" i="82"/>
  <c r="AE10" i="82"/>
  <c r="E11" i="82"/>
  <c r="G11" i="82"/>
  <c r="I11" i="82"/>
  <c r="K11" i="82"/>
  <c r="M11" i="82"/>
  <c r="O11" i="82"/>
  <c r="Q11" i="82"/>
  <c r="S11" i="82"/>
  <c r="U11" i="82"/>
  <c r="W11" i="82"/>
  <c r="Y11" i="82"/>
  <c r="AA11" i="82"/>
  <c r="AC11" i="82"/>
  <c r="AE11" i="82"/>
  <c r="E12" i="82"/>
  <c r="G12" i="82"/>
  <c r="I12" i="82"/>
  <c r="K12" i="82"/>
  <c r="M12" i="82"/>
  <c r="O12" i="82"/>
  <c r="Q12" i="82"/>
  <c r="S12" i="82"/>
  <c r="U12" i="82"/>
  <c r="W12" i="82"/>
  <c r="Y12" i="82"/>
  <c r="AA12" i="82"/>
  <c r="AC12" i="82"/>
  <c r="AE12" i="82"/>
  <c r="E13" i="82"/>
  <c r="G13" i="82"/>
  <c r="I13" i="82"/>
  <c r="K13" i="82"/>
  <c r="M13" i="82"/>
  <c r="O13" i="82"/>
  <c r="Q13" i="82"/>
  <c r="S13" i="82"/>
  <c r="U13" i="82"/>
  <c r="W13" i="82"/>
  <c r="Y13" i="82"/>
  <c r="AA13" i="82"/>
  <c r="AC13" i="82"/>
  <c r="AE13" i="82"/>
  <c r="D16" i="82"/>
  <c r="F16" i="82"/>
  <c r="G16" i="82"/>
  <c r="H16" i="82"/>
  <c r="H26" i="82" s="1"/>
  <c r="J16" i="82"/>
  <c r="K16" i="82" s="1"/>
  <c r="L16" i="82"/>
  <c r="O16" i="82" s="1"/>
  <c r="N16" i="82"/>
  <c r="R16" i="82"/>
  <c r="S16" i="82"/>
  <c r="T16" i="82"/>
  <c r="W16" i="82" s="1"/>
  <c r="Y16" i="82"/>
  <c r="AA16" i="82"/>
  <c r="AC16" i="82"/>
  <c r="AD16" i="82"/>
  <c r="AG16" i="82"/>
  <c r="C17" i="82"/>
  <c r="D17" i="82"/>
  <c r="F17" i="82"/>
  <c r="H17" i="82"/>
  <c r="I17" i="82" s="1"/>
  <c r="J17" i="82"/>
  <c r="K17" i="82" s="1"/>
  <c r="L17" i="82"/>
  <c r="N17" i="82"/>
  <c r="Q17" i="82" s="1"/>
  <c r="R17" i="82"/>
  <c r="T17" i="82"/>
  <c r="Y17" i="82"/>
  <c r="AA17" i="82"/>
  <c r="AC17" i="82"/>
  <c r="AD17" i="82"/>
  <c r="E18" i="82"/>
  <c r="G18" i="82"/>
  <c r="I18" i="82"/>
  <c r="K18" i="82"/>
  <c r="M18" i="82"/>
  <c r="O18" i="82"/>
  <c r="Q18" i="82"/>
  <c r="S18" i="82"/>
  <c r="U18" i="82"/>
  <c r="W18" i="82"/>
  <c r="Y18" i="82"/>
  <c r="AA18" i="82"/>
  <c r="AC18" i="82"/>
  <c r="AE18" i="82"/>
  <c r="E19" i="82"/>
  <c r="G19" i="82"/>
  <c r="I19" i="82"/>
  <c r="K19" i="82"/>
  <c r="M19" i="82"/>
  <c r="O19" i="82"/>
  <c r="Q19" i="82"/>
  <c r="S19" i="82"/>
  <c r="U19" i="82"/>
  <c r="W19" i="82"/>
  <c r="Y19" i="82"/>
  <c r="AA19" i="82"/>
  <c r="AC19" i="82"/>
  <c r="AE19" i="82"/>
  <c r="E20" i="82"/>
  <c r="G20" i="82"/>
  <c r="I20" i="82"/>
  <c r="K20" i="82"/>
  <c r="M20" i="82"/>
  <c r="O20" i="82"/>
  <c r="Q20" i="82"/>
  <c r="S20" i="82"/>
  <c r="U20" i="82"/>
  <c r="W20" i="82"/>
  <c r="Y20" i="82"/>
  <c r="AA20" i="82"/>
  <c r="AC20" i="82"/>
  <c r="AE20" i="82"/>
  <c r="E21" i="82"/>
  <c r="G21" i="82"/>
  <c r="I21" i="82"/>
  <c r="K21" i="82"/>
  <c r="M21" i="82"/>
  <c r="O21" i="82"/>
  <c r="Q21" i="82"/>
  <c r="S21" i="82"/>
  <c r="U21" i="82"/>
  <c r="W21" i="82"/>
  <c r="Y21" i="82"/>
  <c r="AA21" i="82"/>
  <c r="AC21" i="82"/>
  <c r="AE21" i="82"/>
  <c r="E22" i="82"/>
  <c r="G22" i="82"/>
  <c r="I22" i="82"/>
  <c r="K22" i="82"/>
  <c r="M22" i="82"/>
  <c r="O22" i="82"/>
  <c r="Q22" i="82"/>
  <c r="S22" i="82"/>
  <c r="U22" i="82"/>
  <c r="W22" i="82"/>
  <c r="Y22" i="82"/>
  <c r="AA22" i="82"/>
  <c r="AC22" i="82"/>
  <c r="AE22" i="82"/>
  <c r="C23" i="82"/>
  <c r="E23" i="82"/>
  <c r="G23" i="82"/>
  <c r="I23" i="82"/>
  <c r="K23" i="82"/>
  <c r="M23" i="82"/>
  <c r="O23" i="82"/>
  <c r="Q23" i="82"/>
  <c r="S23" i="82"/>
  <c r="U23" i="82"/>
  <c r="W23" i="82"/>
  <c r="Y23" i="82"/>
  <c r="AA23" i="82"/>
  <c r="AC23" i="82"/>
  <c r="AE23" i="82"/>
  <c r="E24" i="82"/>
  <c r="G24" i="82"/>
  <c r="I24" i="82"/>
  <c r="K24" i="82"/>
  <c r="M24" i="82"/>
  <c r="O24" i="82"/>
  <c r="Q24" i="82"/>
  <c r="S24" i="82"/>
  <c r="U24" i="82"/>
  <c r="W24" i="82"/>
  <c r="Y24" i="82"/>
  <c r="AA24" i="82"/>
  <c r="AC24" i="82"/>
  <c r="AE24" i="82"/>
  <c r="E25" i="82"/>
  <c r="G25" i="82"/>
  <c r="I25" i="82"/>
  <c r="K25" i="82"/>
  <c r="M25" i="82"/>
  <c r="O25" i="82"/>
  <c r="Q25" i="82"/>
  <c r="S25" i="82"/>
  <c r="U25" i="82"/>
  <c r="W25" i="82"/>
  <c r="Y25" i="82"/>
  <c r="AA25" i="82"/>
  <c r="AC25" i="82"/>
  <c r="AE25" i="82"/>
  <c r="AD26" i="82"/>
  <c r="D27" i="82"/>
  <c r="V27" i="82"/>
  <c r="W27" i="82"/>
  <c r="AA27" i="82"/>
  <c r="AB27" i="82"/>
  <c r="AC27" i="82"/>
  <c r="F6" i="115"/>
  <c r="G6" i="115"/>
  <c r="I6" i="115"/>
  <c r="J6" i="115" s="1"/>
  <c r="K6" i="115"/>
  <c r="M6" i="115"/>
  <c r="O6" i="115"/>
  <c r="P6" i="115" s="1"/>
  <c r="Q6" i="115"/>
  <c r="S6" i="115"/>
  <c r="T6" i="115" s="1"/>
  <c r="Z6" i="115"/>
  <c r="AB6" i="115"/>
  <c r="F7" i="115"/>
  <c r="H7" i="115"/>
  <c r="J7" i="115"/>
  <c r="L7" i="115"/>
  <c r="N7" i="115"/>
  <c r="P7" i="115"/>
  <c r="R7" i="115"/>
  <c r="T7" i="115"/>
  <c r="Z7" i="115"/>
  <c r="AB7" i="115"/>
  <c r="AD7" i="115"/>
  <c r="F8" i="115"/>
  <c r="H8" i="115"/>
  <c r="J8" i="115"/>
  <c r="L8" i="115"/>
  <c r="N8" i="115"/>
  <c r="P8" i="115"/>
  <c r="R8" i="115"/>
  <c r="T8" i="115"/>
  <c r="U8" i="115"/>
  <c r="V8" i="115" s="1"/>
  <c r="AB8" i="115"/>
  <c r="AD8" i="115"/>
  <c r="F9" i="115"/>
  <c r="H9" i="115"/>
  <c r="J9" i="115"/>
  <c r="L9" i="115"/>
  <c r="N9" i="115"/>
  <c r="P9" i="115"/>
  <c r="R9" i="115"/>
  <c r="T9" i="115"/>
  <c r="U9" i="115"/>
  <c r="X9" i="115"/>
  <c r="AB9" i="115"/>
  <c r="AD9" i="115"/>
  <c r="F10" i="115"/>
  <c r="H10" i="115"/>
  <c r="J10" i="115"/>
  <c r="L10" i="115"/>
  <c r="N10" i="115"/>
  <c r="P10" i="115"/>
  <c r="R10" i="115"/>
  <c r="T10" i="115"/>
  <c r="U10" i="115"/>
  <c r="V10" i="115" s="1"/>
  <c r="AB10" i="115"/>
  <c r="AD10" i="115"/>
  <c r="F11" i="115"/>
  <c r="H11" i="115"/>
  <c r="J11" i="115"/>
  <c r="L11" i="115"/>
  <c r="N11" i="115"/>
  <c r="P11" i="115"/>
  <c r="R11" i="115"/>
  <c r="T11" i="115"/>
  <c r="AB11" i="115"/>
  <c r="AD11" i="115"/>
  <c r="F12" i="115"/>
  <c r="H12" i="115"/>
  <c r="J12" i="115"/>
  <c r="L12" i="115"/>
  <c r="N12" i="115"/>
  <c r="P12" i="115"/>
  <c r="R12" i="115"/>
  <c r="T12" i="115"/>
  <c r="U12" i="115"/>
  <c r="V12" i="115" s="1"/>
  <c r="AB12" i="115"/>
  <c r="AD12" i="115"/>
  <c r="F13" i="115"/>
  <c r="H13" i="115"/>
  <c r="J13" i="115"/>
  <c r="L13" i="115"/>
  <c r="N13" i="115"/>
  <c r="P13" i="115"/>
  <c r="R13" i="115"/>
  <c r="T13" i="115"/>
  <c r="AB13" i="115"/>
  <c r="AD13" i="115"/>
  <c r="F16" i="115"/>
  <c r="G16" i="115"/>
  <c r="H16" i="115" s="1"/>
  <c r="I16" i="115"/>
  <c r="J16" i="115" s="1"/>
  <c r="K16" i="115"/>
  <c r="M16" i="115"/>
  <c r="O16" i="115"/>
  <c r="O27" i="115"/>
  <c r="F17" i="115"/>
  <c r="G17" i="115"/>
  <c r="I17" i="115"/>
  <c r="J17" i="115"/>
  <c r="K17" i="115"/>
  <c r="M17" i="115"/>
  <c r="O17" i="115"/>
  <c r="P17" i="115"/>
  <c r="F18" i="115"/>
  <c r="H18" i="115"/>
  <c r="J18" i="115"/>
  <c r="L18" i="115"/>
  <c r="N18" i="115"/>
  <c r="P18" i="115"/>
  <c r="S18" i="115"/>
  <c r="T18" i="115" s="1"/>
  <c r="U18" i="115"/>
  <c r="X18" i="115" s="1"/>
  <c r="W18" i="115"/>
  <c r="AA18" i="115"/>
  <c r="F19" i="115"/>
  <c r="H19" i="115"/>
  <c r="J19" i="115"/>
  <c r="L19" i="115"/>
  <c r="N19" i="115"/>
  <c r="P19" i="115"/>
  <c r="Q19" i="115"/>
  <c r="Y19" i="115"/>
  <c r="AA19" i="115"/>
  <c r="AC19" i="115"/>
  <c r="AD19" i="115" s="1"/>
  <c r="C16" i="115"/>
  <c r="F20" i="115"/>
  <c r="H20" i="115"/>
  <c r="J20" i="115"/>
  <c r="L20" i="115"/>
  <c r="N20" i="115"/>
  <c r="P20" i="115"/>
  <c r="Q20" i="115"/>
  <c r="S20" i="115"/>
  <c r="U20" i="115"/>
  <c r="V20" i="115" s="1"/>
  <c r="W20" i="115"/>
  <c r="Y20" i="115"/>
  <c r="AA20" i="115"/>
  <c r="AB20" i="115" s="1"/>
  <c r="AC20" i="115"/>
  <c r="AF20" i="115"/>
  <c r="F21" i="115"/>
  <c r="H21" i="115"/>
  <c r="J21" i="115"/>
  <c r="L21" i="115"/>
  <c r="N21" i="115"/>
  <c r="P21" i="115"/>
  <c r="U21" i="115"/>
  <c r="W21" i="115"/>
  <c r="Y21" i="115"/>
  <c r="AA21" i="115"/>
  <c r="F22" i="115"/>
  <c r="H22" i="115"/>
  <c r="J22" i="115"/>
  <c r="L22" i="115"/>
  <c r="N22" i="115"/>
  <c r="P22" i="115"/>
  <c r="S22" i="115"/>
  <c r="T22" i="115" s="1"/>
  <c r="W22" i="115"/>
  <c r="X22" i="115" s="1"/>
  <c r="AA22" i="115"/>
  <c r="F23" i="115"/>
  <c r="H23" i="115"/>
  <c r="J23" i="115"/>
  <c r="L23" i="115"/>
  <c r="N23" i="115"/>
  <c r="P23" i="115"/>
  <c r="U23" i="115"/>
  <c r="AA23" i="115"/>
  <c r="AB23" i="115" s="1"/>
  <c r="AC23" i="115"/>
  <c r="AD23" i="115" s="1"/>
  <c r="F24" i="115"/>
  <c r="H24" i="115"/>
  <c r="J24" i="115"/>
  <c r="L24" i="115"/>
  <c r="N24" i="115"/>
  <c r="P24" i="115"/>
  <c r="U24" i="115"/>
  <c r="V24" i="115" s="1"/>
  <c r="W24" i="115"/>
  <c r="Y24" i="115"/>
  <c r="AC24" i="115"/>
  <c r="AF24" i="115" s="1"/>
  <c r="F25" i="115"/>
  <c r="H25" i="115"/>
  <c r="J25" i="115"/>
  <c r="L25" i="115"/>
  <c r="N25" i="115"/>
  <c r="P25" i="115"/>
  <c r="S25" i="115"/>
  <c r="U25" i="115"/>
  <c r="W25" i="115"/>
  <c r="X25" i="115" s="1"/>
  <c r="AA25" i="115"/>
  <c r="AD25" i="115"/>
  <c r="H26" i="115"/>
  <c r="J26" i="115"/>
  <c r="L26" i="115"/>
  <c r="N26" i="115"/>
  <c r="P26" i="115"/>
  <c r="W26" i="115"/>
  <c r="Y26" i="115"/>
  <c r="C28" i="115"/>
  <c r="F28" i="115"/>
  <c r="G28" i="115"/>
  <c r="I28" i="115"/>
  <c r="J28" i="115" s="1"/>
  <c r="K28" i="115"/>
  <c r="N28" i="115" s="1"/>
  <c r="M28" i="115"/>
  <c r="O28" i="115"/>
  <c r="P28" i="115"/>
  <c r="Q28" i="115"/>
  <c r="R28" i="115"/>
  <c r="S28" i="115"/>
  <c r="T28" i="115"/>
  <c r="U28" i="115"/>
  <c r="AB28" i="115"/>
  <c r="AC28" i="115"/>
  <c r="AF28" i="115"/>
  <c r="F29" i="115"/>
  <c r="H29" i="115"/>
  <c r="J29" i="115"/>
  <c r="L29" i="115"/>
  <c r="N29" i="115"/>
  <c r="P29" i="115"/>
  <c r="R29" i="115"/>
  <c r="T29" i="115"/>
  <c r="V29" i="115"/>
  <c r="X29" i="115"/>
  <c r="AB29" i="115"/>
  <c r="AD29" i="115"/>
  <c r="F30" i="115"/>
  <c r="H30" i="115"/>
  <c r="J30" i="115"/>
  <c r="L30" i="115"/>
  <c r="N30" i="115"/>
  <c r="P30" i="115"/>
  <c r="R30" i="115"/>
  <c r="T30" i="115"/>
  <c r="V30" i="115"/>
  <c r="X30" i="115"/>
  <c r="AB30" i="115"/>
  <c r="AD30" i="115"/>
  <c r="F31" i="115"/>
  <c r="H31" i="115"/>
  <c r="J31" i="115"/>
  <c r="L31" i="115"/>
  <c r="N31" i="115"/>
  <c r="P31" i="115"/>
  <c r="R31" i="115"/>
  <c r="T31" i="115"/>
  <c r="V31" i="115"/>
  <c r="X31" i="115"/>
  <c r="AB31" i="115"/>
  <c r="AD31" i="115"/>
  <c r="C32" i="115"/>
  <c r="G32" i="115"/>
  <c r="I32" i="115"/>
  <c r="K32" i="115"/>
  <c r="M32" i="115"/>
  <c r="O32" i="115"/>
  <c r="Q32" i="115"/>
  <c r="S32" i="115"/>
  <c r="U32" i="115"/>
  <c r="W32" i="115"/>
  <c r="Z32" i="115" s="1"/>
  <c r="AC32" i="115"/>
  <c r="F34" i="115"/>
  <c r="H34" i="115"/>
  <c r="J34" i="115"/>
  <c r="L34" i="115"/>
  <c r="N34" i="115"/>
  <c r="E35" i="115"/>
  <c r="E36" i="115" s="1"/>
  <c r="G35" i="115"/>
  <c r="G36" i="115" s="1"/>
  <c r="I35" i="115"/>
  <c r="I36" i="115" s="1"/>
  <c r="K35" i="115"/>
  <c r="K36" i="115" s="1"/>
  <c r="M35" i="115"/>
  <c r="M36" i="115" s="1"/>
  <c r="F38" i="115"/>
  <c r="G38" i="115"/>
  <c r="H38" i="115"/>
  <c r="I38" i="115"/>
  <c r="K38" i="115"/>
  <c r="L38" i="115" s="1"/>
  <c r="M38" i="115"/>
  <c r="O38" i="115"/>
  <c r="Q38" i="115"/>
  <c r="S38" i="115"/>
  <c r="T38" i="115" s="1"/>
  <c r="U38" i="115"/>
  <c r="V38" i="115" s="1"/>
  <c r="F39" i="115"/>
  <c r="H39" i="115"/>
  <c r="J39" i="115"/>
  <c r="L39" i="115"/>
  <c r="N39" i="115"/>
  <c r="P39" i="115"/>
  <c r="R39" i="115"/>
  <c r="T39" i="115"/>
  <c r="V39" i="115"/>
  <c r="X39" i="115"/>
  <c r="F40" i="115"/>
  <c r="H40" i="115"/>
  <c r="J40" i="115"/>
  <c r="L40" i="115"/>
  <c r="N40" i="115"/>
  <c r="P40" i="115"/>
  <c r="R40" i="115"/>
  <c r="T40" i="115"/>
  <c r="V40" i="115"/>
  <c r="X40" i="115"/>
  <c r="F41" i="115"/>
  <c r="H41" i="115"/>
  <c r="J41" i="115"/>
  <c r="L41" i="115"/>
  <c r="N41" i="115"/>
  <c r="P41" i="115"/>
  <c r="R41" i="115"/>
  <c r="T41" i="115"/>
  <c r="V41" i="115"/>
  <c r="X41" i="115"/>
  <c r="T42" i="115"/>
  <c r="V42" i="115"/>
  <c r="X42" i="115"/>
  <c r="F44" i="115"/>
  <c r="G44" i="115"/>
  <c r="H44" i="115" s="1"/>
  <c r="I44" i="115"/>
  <c r="J44" i="115" s="1"/>
  <c r="K44" i="115"/>
  <c r="L44" i="115" s="1"/>
  <c r="M44" i="115"/>
  <c r="N44" i="115"/>
  <c r="O44" i="115"/>
  <c r="Q44" i="115"/>
  <c r="S44" i="115"/>
  <c r="U44" i="115"/>
  <c r="V44" i="115" s="1"/>
  <c r="W44" i="115"/>
  <c r="X44" i="115" s="1"/>
  <c r="Y44" i="115"/>
  <c r="Z44" i="115"/>
  <c r="AC44" i="115"/>
  <c r="F45" i="115"/>
  <c r="H45" i="115"/>
  <c r="J45" i="115"/>
  <c r="L45" i="115"/>
  <c r="N45" i="115"/>
  <c r="P45" i="115"/>
  <c r="R45" i="115"/>
  <c r="F46" i="115"/>
  <c r="H46" i="115"/>
  <c r="J46" i="115"/>
  <c r="L46" i="115"/>
  <c r="N46" i="115"/>
  <c r="P46" i="115"/>
  <c r="R46" i="115"/>
  <c r="T46" i="115"/>
  <c r="V46" i="115"/>
  <c r="X46" i="115"/>
  <c r="AB46" i="115"/>
  <c r="AD46" i="115"/>
  <c r="F47" i="115"/>
  <c r="H47" i="115"/>
  <c r="J47" i="115"/>
  <c r="L47" i="115"/>
  <c r="N47" i="115"/>
  <c r="P47" i="115"/>
  <c r="R47" i="115"/>
  <c r="T47" i="115"/>
  <c r="V47" i="115"/>
  <c r="X47" i="115"/>
  <c r="AB47" i="115"/>
  <c r="AD47" i="115"/>
  <c r="F48" i="115"/>
  <c r="H48" i="115"/>
  <c r="J48" i="115"/>
  <c r="L48" i="115"/>
  <c r="N48" i="115"/>
  <c r="P48" i="115"/>
  <c r="R48" i="115"/>
  <c r="T48" i="115"/>
  <c r="V48" i="115"/>
  <c r="X48" i="115"/>
  <c r="AB48" i="115"/>
  <c r="AD48" i="115"/>
  <c r="F49" i="115"/>
  <c r="H49" i="115"/>
  <c r="J49" i="115"/>
  <c r="L49" i="115"/>
  <c r="N49" i="115"/>
  <c r="P49" i="115"/>
  <c r="R49" i="115"/>
  <c r="T49" i="115"/>
  <c r="V49" i="115"/>
  <c r="X49" i="115"/>
  <c r="AB49" i="115"/>
  <c r="AD49" i="115"/>
  <c r="F50" i="115"/>
  <c r="H50" i="115"/>
  <c r="J50" i="115"/>
  <c r="L50" i="115"/>
  <c r="N50" i="115"/>
  <c r="P50" i="115"/>
  <c r="R50" i="115"/>
  <c r="T50" i="115"/>
  <c r="V50" i="115"/>
  <c r="X50" i="115"/>
  <c r="AB50" i="115"/>
  <c r="AD50" i="115"/>
  <c r="AC52" i="115"/>
  <c r="E5" i="141"/>
  <c r="G5" i="141"/>
  <c r="I5" i="141"/>
  <c r="C6" i="141"/>
  <c r="E6" i="141"/>
  <c r="G6" i="141"/>
  <c r="I6" i="141"/>
  <c r="K6" i="141"/>
  <c r="C7" i="141"/>
  <c r="E7" i="141"/>
  <c r="G7" i="141"/>
  <c r="I7" i="141"/>
  <c r="K7" i="141"/>
  <c r="C8" i="141"/>
  <c r="E8" i="141"/>
  <c r="G8" i="141"/>
  <c r="I8" i="141"/>
  <c r="K8" i="141"/>
  <c r="C9" i="141"/>
  <c r="E9" i="141"/>
  <c r="G9" i="141"/>
  <c r="I9" i="141"/>
  <c r="K9" i="141"/>
  <c r="C10" i="141"/>
  <c r="E10" i="141"/>
  <c r="G10" i="141"/>
  <c r="I10" i="141"/>
  <c r="K10" i="141"/>
  <c r="C11" i="141"/>
  <c r="E11" i="141"/>
  <c r="G11" i="141"/>
  <c r="I11" i="141"/>
  <c r="K11" i="141"/>
  <c r="C12" i="141"/>
  <c r="E12" i="141"/>
  <c r="G12" i="141"/>
  <c r="I12" i="141"/>
  <c r="K12" i="141"/>
  <c r="C13" i="141"/>
  <c r="E13" i="141"/>
  <c r="G13" i="141"/>
  <c r="I13" i="141"/>
  <c r="K13" i="141"/>
  <c r="C14" i="141"/>
  <c r="E14" i="141"/>
  <c r="G14" i="141"/>
  <c r="I14" i="141"/>
  <c r="K14" i="141"/>
  <c r="C15" i="141"/>
  <c r="E15" i="141"/>
  <c r="G15" i="141"/>
  <c r="I15" i="141"/>
  <c r="C16" i="141"/>
  <c r="E16" i="141"/>
  <c r="G16" i="141"/>
  <c r="I16" i="141"/>
  <c r="E20" i="141"/>
  <c r="G20" i="141"/>
  <c r="I20" i="141"/>
  <c r="C21" i="141"/>
  <c r="E21" i="141"/>
  <c r="G21" i="141"/>
  <c r="I21" i="141"/>
  <c r="K21" i="141"/>
  <c r="C22" i="141"/>
  <c r="E22" i="141"/>
  <c r="G22" i="141"/>
  <c r="I22" i="141"/>
  <c r="K22" i="141"/>
  <c r="C23" i="141"/>
  <c r="E23" i="141"/>
  <c r="G23" i="141"/>
  <c r="I23" i="141"/>
  <c r="K23" i="141"/>
  <c r="C24" i="141"/>
  <c r="E24" i="141"/>
  <c r="G24" i="141"/>
  <c r="I24" i="141"/>
  <c r="K24" i="141"/>
  <c r="C25" i="141"/>
  <c r="E25" i="141"/>
  <c r="G25" i="141"/>
  <c r="I25" i="141"/>
  <c r="K25" i="141"/>
  <c r="C26" i="141"/>
  <c r="E26" i="141"/>
  <c r="G26" i="141"/>
  <c r="I26" i="141"/>
  <c r="K26" i="141"/>
  <c r="C27" i="141"/>
  <c r="E27" i="141"/>
  <c r="G27" i="141"/>
  <c r="I27" i="141"/>
  <c r="K27" i="141"/>
  <c r="C28" i="141"/>
  <c r="E28" i="141"/>
  <c r="G28" i="141"/>
  <c r="I28" i="141"/>
  <c r="K28" i="141"/>
  <c r="C29" i="141"/>
  <c r="E29" i="141"/>
  <c r="G29" i="141"/>
  <c r="I29" i="141"/>
  <c r="K29" i="141"/>
  <c r="C30" i="141"/>
  <c r="E30" i="141"/>
  <c r="G30" i="141"/>
  <c r="I30" i="141"/>
  <c r="C31" i="141"/>
  <c r="E31" i="141"/>
  <c r="G31" i="141"/>
  <c r="E35" i="141"/>
  <c r="G35" i="141"/>
  <c r="C36" i="141"/>
  <c r="E36" i="141"/>
  <c r="G36" i="141"/>
  <c r="I36" i="141"/>
  <c r="K36" i="141"/>
  <c r="C37" i="141"/>
  <c r="E37" i="141"/>
  <c r="G37" i="141"/>
  <c r="I37" i="141"/>
  <c r="K37" i="141"/>
  <c r="C38" i="141"/>
  <c r="E38" i="141"/>
  <c r="G38" i="141"/>
  <c r="I38" i="141"/>
  <c r="K38" i="141"/>
  <c r="C39" i="141"/>
  <c r="E39" i="141"/>
  <c r="G39" i="141"/>
  <c r="I39" i="141"/>
  <c r="K39" i="141"/>
  <c r="C40" i="141"/>
  <c r="E40" i="141"/>
  <c r="G40" i="141"/>
  <c r="I40" i="141"/>
  <c r="K40" i="141"/>
  <c r="C41" i="141"/>
  <c r="E41" i="141"/>
  <c r="G41" i="141"/>
  <c r="I41" i="141"/>
  <c r="K41" i="141"/>
  <c r="C42" i="141"/>
  <c r="E42" i="141"/>
  <c r="G42" i="141"/>
  <c r="I42" i="141"/>
  <c r="K42" i="141"/>
  <c r="C43" i="141"/>
  <c r="E43" i="141"/>
  <c r="G43" i="141"/>
  <c r="I43" i="141"/>
  <c r="K43" i="141"/>
  <c r="C44" i="141"/>
  <c r="E44" i="141"/>
  <c r="G44" i="141"/>
  <c r="I44" i="141"/>
  <c r="K44" i="141"/>
  <c r="C45" i="141"/>
  <c r="E45" i="141"/>
  <c r="G45" i="141"/>
  <c r="I45" i="141"/>
  <c r="C46" i="141"/>
  <c r="E46" i="141"/>
  <c r="H46" i="141"/>
  <c r="I46" i="141"/>
  <c r="AV90" i="91"/>
  <c r="K45" i="141"/>
  <c r="O47" i="95"/>
  <c r="K15" i="141"/>
  <c r="K30" i="141"/>
  <c r="Q35" i="84"/>
  <c r="W12" i="84"/>
  <c r="O11" i="84"/>
  <c r="O35" i="84"/>
  <c r="L19" i="84"/>
  <c r="Z15" i="83"/>
  <c r="M20" i="141"/>
  <c r="M36" i="141"/>
  <c r="K35" i="84"/>
  <c r="Q24" i="84"/>
  <c r="U56" i="83"/>
  <c r="N47" i="83"/>
  <c r="T30" i="83"/>
  <c r="AB24" i="83"/>
  <c r="S11" i="83"/>
  <c r="O11" i="83"/>
  <c r="P11" i="83"/>
  <c r="V8" i="83"/>
  <c r="U57" i="83"/>
  <c r="Q57" i="83"/>
  <c r="R57" i="83"/>
  <c r="V47" i="83"/>
  <c r="R47" i="83"/>
  <c r="V46" i="83"/>
  <c r="R46" i="83"/>
  <c r="P29" i="83"/>
  <c r="V24" i="83"/>
  <c r="AB16" i="83"/>
  <c r="T16" i="83"/>
  <c r="P15" i="83"/>
  <c r="L15" i="83"/>
  <c r="V13" i="83"/>
  <c r="N13" i="83"/>
  <c r="J13" i="83"/>
  <c r="F13" i="83"/>
  <c r="AA11" i="83"/>
  <c r="AD11" i="83"/>
  <c r="J11" i="83"/>
  <c r="L8" i="83"/>
  <c r="R6" i="83"/>
  <c r="J6" i="83"/>
  <c r="F6" i="83"/>
  <c r="AA5" i="83"/>
  <c r="T26" i="82"/>
  <c r="D26" i="82"/>
  <c r="E17" i="82"/>
  <c r="I16" i="82"/>
  <c r="E9" i="82"/>
  <c r="U8" i="82"/>
  <c r="M6" i="141"/>
  <c r="M21" i="141"/>
  <c r="M7" i="141"/>
  <c r="M37" i="141"/>
  <c r="M22" i="141"/>
  <c r="BN78" i="91"/>
  <c r="BO78" i="91"/>
  <c r="M38" i="141"/>
  <c r="M8" i="141"/>
  <c r="M23" i="141"/>
  <c r="H37" i="136"/>
  <c r="M9" i="141"/>
  <c r="P9" i="141"/>
  <c r="M39" i="141"/>
  <c r="P39" i="141"/>
  <c r="M24" i="141"/>
  <c r="P24" i="141"/>
  <c r="M10" i="141"/>
  <c r="P10" i="141"/>
  <c r="M25" i="141"/>
  <c r="P25" i="141"/>
  <c r="AV82" i="91"/>
  <c r="AV95" i="91"/>
  <c r="AI12" i="82"/>
  <c r="AH10" i="115"/>
  <c r="M11" i="141"/>
  <c r="P11" i="141"/>
  <c r="M41" i="141"/>
  <c r="P41" i="141"/>
  <c r="M26" i="141"/>
  <c r="P26" i="141"/>
  <c r="M42" i="141"/>
  <c r="P42" i="141"/>
  <c r="M13" i="141"/>
  <c r="P13" i="141"/>
  <c r="M28" i="141"/>
  <c r="P28" i="141"/>
  <c r="AC21" i="83"/>
  <c r="AA20" i="83"/>
  <c r="AB20" i="83"/>
  <c r="M14" i="141"/>
  <c r="P14" i="141"/>
  <c r="M44" i="141"/>
  <c r="P44" i="141"/>
  <c r="X28" i="115"/>
  <c r="N17" i="115"/>
  <c r="H27" i="82"/>
  <c r="O17" i="82"/>
  <c r="S56" i="83"/>
  <c r="L11" i="83"/>
  <c r="L9" i="83"/>
  <c r="H30" i="84"/>
  <c r="Y27" i="82"/>
  <c r="C16" i="82"/>
  <c r="C26" i="82"/>
  <c r="S57" i="83"/>
  <c r="T57" i="83"/>
  <c r="V42" i="83"/>
  <c r="M39" i="83"/>
  <c r="V30" i="83"/>
  <c r="F26" i="82"/>
  <c r="U12" i="83"/>
  <c r="I8" i="82"/>
  <c r="T8" i="83"/>
  <c r="AD28" i="115"/>
  <c r="S5" i="83"/>
  <c r="AB14" i="83"/>
  <c r="N9" i="83"/>
  <c r="H6" i="83"/>
  <c r="I6" i="84"/>
  <c r="Z7" i="159"/>
  <c r="X7" i="159"/>
  <c r="R10" i="159"/>
  <c r="P10" i="159"/>
  <c r="Q32" i="159"/>
  <c r="R25" i="159"/>
  <c r="T28" i="159"/>
  <c r="R28" i="159"/>
  <c r="N39" i="159"/>
  <c r="L39" i="159"/>
  <c r="N17" i="159"/>
  <c r="P17" i="159"/>
  <c r="AV23" i="91"/>
  <c r="P5" i="159"/>
  <c r="O12" i="159"/>
  <c r="P12" i="159"/>
  <c r="T26" i="159"/>
  <c r="R26" i="159"/>
  <c r="R5" i="159"/>
  <c r="P15" i="159"/>
  <c r="R15" i="159"/>
  <c r="N32" i="159"/>
  <c r="W12" i="159"/>
  <c r="Z12" i="159"/>
  <c r="X5" i="159"/>
  <c r="Z5" i="159"/>
  <c r="V6" i="159"/>
  <c r="T6" i="159"/>
  <c r="S32" i="159"/>
  <c r="V32" i="159"/>
  <c r="T32" i="159"/>
  <c r="V29" i="159"/>
  <c r="O41" i="159"/>
  <c r="R35" i="159"/>
  <c r="Z39" i="159"/>
  <c r="X39" i="159"/>
  <c r="T39" i="159"/>
  <c r="X22" i="159"/>
  <c r="T25" i="159"/>
  <c r="K41" i="159"/>
  <c r="L41" i="159"/>
  <c r="AC40" i="83"/>
  <c r="AC22" i="83"/>
  <c r="T5" i="159"/>
  <c r="T15" i="159"/>
  <c r="O32" i="159"/>
  <c r="P32" i="159"/>
  <c r="S12" i="159"/>
  <c r="V12" i="159"/>
  <c r="L5" i="159"/>
  <c r="T8" i="159"/>
  <c r="V19" i="159"/>
  <c r="N28" i="159"/>
  <c r="R12" i="159"/>
  <c r="E16" i="82"/>
  <c r="V5" i="83"/>
  <c r="U22" i="83"/>
  <c r="V22" i="83"/>
  <c r="M29" i="141"/>
  <c r="P29" i="141"/>
  <c r="AV59" i="91"/>
  <c r="U97" i="91"/>
  <c r="AJ20" i="82"/>
  <c r="AV61" i="91"/>
  <c r="AV45" i="91"/>
  <c r="Q8" i="94"/>
  <c r="F12" i="84"/>
  <c r="U6" i="84"/>
  <c r="K17" i="84"/>
  <c r="W6" i="84"/>
  <c r="I17" i="84"/>
  <c r="G97" i="91"/>
  <c r="AJ10" i="82"/>
  <c r="AI8" i="115" s="1"/>
  <c r="G46" i="141"/>
  <c r="X47" i="83"/>
  <c r="AA26" i="115"/>
  <c r="AB26" i="115" s="1"/>
  <c r="W12" i="83"/>
  <c r="Z12" i="83"/>
  <c r="V20" i="83"/>
  <c r="S12" i="83"/>
  <c r="S22" i="83"/>
  <c r="AC12" i="83"/>
  <c r="X30" i="83"/>
  <c r="Q12" i="83"/>
  <c r="W40" i="83"/>
  <c r="X12" i="83"/>
  <c r="AA12" i="159"/>
  <c r="AB12" i="159"/>
  <c r="H28" i="136"/>
  <c r="J28" i="136"/>
  <c r="K28" i="136"/>
  <c r="M15" i="141"/>
  <c r="P15" i="141"/>
  <c r="V12" i="83"/>
  <c r="F20" i="84"/>
  <c r="T12" i="159"/>
  <c r="V57" i="83"/>
  <c r="R44" i="115"/>
  <c r="N6" i="115"/>
  <c r="L27" i="82"/>
  <c r="N57" i="83"/>
  <c r="O39" i="83"/>
  <c r="T20" i="83"/>
  <c r="U26" i="115"/>
  <c r="V6" i="83"/>
  <c r="T6" i="83"/>
  <c r="U7" i="115"/>
  <c r="T12" i="83"/>
  <c r="AD20" i="83"/>
  <c r="AC26" i="115"/>
  <c r="AF26" i="115" s="1"/>
  <c r="AB11" i="83"/>
  <c r="L16" i="115"/>
  <c r="S17" i="82"/>
  <c r="R27" i="82"/>
  <c r="S27" i="82"/>
  <c r="R14" i="83"/>
  <c r="S19" i="115"/>
  <c r="H7" i="83"/>
  <c r="J7" i="83"/>
  <c r="AG17" i="82"/>
  <c r="AD27" i="82"/>
  <c r="AE27" i="82" s="1"/>
  <c r="AE17" i="82"/>
  <c r="P26" i="82"/>
  <c r="S8" i="82"/>
  <c r="P27" i="82"/>
  <c r="H40" i="83"/>
  <c r="J40" i="83"/>
  <c r="P20" i="83"/>
  <c r="Q26" i="115"/>
  <c r="R26" i="115" s="1"/>
  <c r="P13" i="83"/>
  <c r="Q18" i="115"/>
  <c r="R18" i="115" s="1"/>
  <c r="J9" i="83"/>
  <c r="T20" i="84"/>
  <c r="U34" i="115" s="1"/>
  <c r="U12" i="84"/>
  <c r="N16" i="115"/>
  <c r="M27" i="115"/>
  <c r="P16" i="115"/>
  <c r="H57" i="83"/>
  <c r="J57" i="83"/>
  <c r="V16" i="83"/>
  <c r="V7" i="83"/>
  <c r="U11" i="115"/>
  <c r="V11" i="115" s="1"/>
  <c r="L7" i="83"/>
  <c r="N7" i="83"/>
  <c r="M11" i="84"/>
  <c r="O40" i="83"/>
  <c r="V15" i="83"/>
  <c r="J14" i="83"/>
  <c r="X14" i="83"/>
  <c r="AV21" i="91"/>
  <c r="AV84" i="91"/>
  <c r="N16" i="159"/>
  <c r="N25" i="159"/>
  <c r="V9" i="159"/>
  <c r="N5" i="159"/>
  <c r="Z6" i="159"/>
  <c r="Z8" i="159"/>
  <c r="L9" i="159"/>
  <c r="R9" i="159"/>
  <c r="T10" i="159"/>
  <c r="L11" i="159"/>
  <c r="T19" i="159"/>
  <c r="V35" i="159"/>
  <c r="Z35" i="159"/>
  <c r="V36" i="159"/>
  <c r="V37" i="159"/>
  <c r="T38" i="159"/>
  <c r="W41" i="159"/>
  <c r="Z41" i="159"/>
  <c r="H41" i="159"/>
  <c r="U27" i="82"/>
  <c r="M30" i="141"/>
  <c r="P30" i="141"/>
  <c r="J26" i="82"/>
  <c r="R30" i="83"/>
  <c r="Q40" i="83"/>
  <c r="P51" i="95"/>
  <c r="Q51" i="95"/>
  <c r="R46" i="136"/>
  <c r="T46" i="136"/>
  <c r="Z57" i="83"/>
  <c r="N38" i="115"/>
  <c r="AB46" i="83"/>
  <c r="Z46" i="83"/>
  <c r="AA12" i="83"/>
  <c r="AB12" i="83"/>
  <c r="AA40" i="83"/>
  <c r="AB30" i="83"/>
  <c r="AD30" i="83"/>
  <c r="W11" i="83"/>
  <c r="X11" i="83"/>
  <c r="X29" i="83"/>
  <c r="Z29" i="83"/>
  <c r="R20" i="84"/>
  <c r="U20" i="84" s="1"/>
  <c r="S12" i="84"/>
  <c r="L12" i="83"/>
  <c r="K22" i="83"/>
  <c r="H11" i="83"/>
  <c r="F11" i="83"/>
  <c r="H17" i="115"/>
  <c r="P24" i="83"/>
  <c r="O5" i="83"/>
  <c r="O21" i="83"/>
  <c r="R24" i="83"/>
  <c r="R25" i="115"/>
  <c r="O6" i="84"/>
  <c r="H28" i="115"/>
  <c r="C27" i="82"/>
  <c r="E27" i="82"/>
  <c r="E8" i="82"/>
  <c r="P16" i="83"/>
  <c r="N16" i="83"/>
  <c r="AB13" i="83"/>
  <c r="AC18" i="115"/>
  <c r="AD13" i="83"/>
  <c r="F12" i="83"/>
  <c r="E22" i="83"/>
  <c r="F22" i="83"/>
  <c r="P7" i="83"/>
  <c r="N6" i="83"/>
  <c r="L6" i="83"/>
  <c r="C19" i="84"/>
  <c r="E11" i="84"/>
  <c r="AD12" i="83"/>
  <c r="Z16" i="83"/>
  <c r="D12" i="84"/>
  <c r="E12" i="84" s="1"/>
  <c r="N19" i="84"/>
  <c r="P61" i="95"/>
  <c r="X16" i="83"/>
  <c r="Y22" i="115"/>
  <c r="AB22" i="115" s="1"/>
  <c r="L14" i="83"/>
  <c r="N14" i="83"/>
  <c r="R32" i="159"/>
  <c r="U16" i="82"/>
  <c r="Z47" i="83"/>
  <c r="L30" i="83"/>
  <c r="Q22" i="159"/>
  <c r="R22" i="159"/>
  <c r="L22" i="159"/>
  <c r="S21" i="83"/>
  <c r="S22" i="159"/>
  <c r="T22" i="159"/>
  <c r="V15" i="159"/>
  <c r="T27" i="159"/>
  <c r="R27" i="159"/>
  <c r="AB44" i="115"/>
  <c r="U11" i="83"/>
  <c r="V11" i="83"/>
  <c r="E21" i="83"/>
  <c r="N26" i="82"/>
  <c r="Q16" i="82"/>
  <c r="AV46" i="91"/>
  <c r="BH97" i="91"/>
  <c r="T37" i="159"/>
  <c r="Q41" i="159"/>
  <c r="R41" i="159"/>
  <c r="R37" i="159"/>
  <c r="V17" i="159"/>
  <c r="N18" i="159"/>
  <c r="P7" i="159"/>
  <c r="H12" i="159"/>
  <c r="T16" i="159"/>
  <c r="T18" i="159"/>
  <c r="X32" i="159"/>
  <c r="V22" i="159"/>
  <c r="Z11" i="83"/>
  <c r="M45" i="141"/>
  <c r="P45" i="141"/>
  <c r="AH44" i="115"/>
  <c r="AF25" i="115"/>
  <c r="AC6" i="84"/>
  <c r="M6" i="84"/>
  <c r="J19" i="84"/>
  <c r="AE6" i="84"/>
  <c r="M12" i="84"/>
  <c r="P19" i="84"/>
  <c r="O24" i="84"/>
  <c r="J20" i="84"/>
  <c r="M20" i="84" s="1"/>
  <c r="K20" i="84"/>
  <c r="AD19" i="84"/>
  <c r="T20" i="115"/>
  <c r="I12" i="84"/>
  <c r="K12" i="84"/>
  <c r="E6" i="84"/>
  <c r="Q30" i="84"/>
  <c r="C20" i="84"/>
  <c r="N20" i="84"/>
  <c r="O20" i="84" s="1"/>
  <c r="G6" i="84"/>
  <c r="AA6" i="84"/>
  <c r="M35" i="141"/>
  <c r="R20" i="115"/>
  <c r="X11" i="115"/>
  <c r="X12" i="115"/>
  <c r="K5" i="141"/>
  <c r="M5" i="141"/>
  <c r="AI20" i="82"/>
  <c r="AI24" i="82"/>
  <c r="AI22" i="82"/>
  <c r="AI18" i="82"/>
  <c r="AG11" i="84"/>
  <c r="AG13" i="84"/>
  <c r="AG12" i="84"/>
  <c r="AG16" i="84"/>
  <c r="AF48" i="83"/>
  <c r="AH11" i="115"/>
  <c r="O7" i="94"/>
  <c r="P7" i="94"/>
  <c r="H11" i="136"/>
  <c r="AF27" i="83"/>
  <c r="AF6" i="83"/>
  <c r="P82" i="95"/>
  <c r="P57" i="95"/>
  <c r="Q57" i="95"/>
  <c r="R52" i="136"/>
  <c r="T52" i="136"/>
  <c r="U52" i="136"/>
  <c r="AF26" i="83"/>
  <c r="AF9" i="83"/>
  <c r="AI19" i="82"/>
  <c r="AI10" i="82"/>
  <c r="AH8" i="115"/>
  <c r="AH9" i="115"/>
  <c r="AI11" i="82"/>
  <c r="AI27" i="82"/>
  <c r="AI16" i="82"/>
  <c r="M46" i="141"/>
  <c r="AH18" i="115"/>
  <c r="AF31" i="83"/>
  <c r="AF25" i="83"/>
  <c r="AF24" i="83"/>
  <c r="AI21" i="82"/>
  <c r="AI17" i="82"/>
  <c r="AI23" i="82"/>
  <c r="M16" i="141"/>
  <c r="AI25" i="82"/>
  <c r="AI13" i="82"/>
  <c r="AH13" i="115"/>
  <c r="AH7" i="115"/>
  <c r="AG20" i="84"/>
  <c r="AG6" i="84"/>
  <c r="AF8" i="83"/>
  <c r="AH12" i="115"/>
  <c r="AG18" i="84"/>
  <c r="AH6" i="115"/>
  <c r="AH23" i="115"/>
  <c r="AH24" i="115"/>
  <c r="AH25" i="115"/>
  <c r="AF42" i="83"/>
  <c r="AF50" i="83"/>
  <c r="AF49" i="83"/>
  <c r="AF13" i="83"/>
  <c r="AF32" i="83"/>
  <c r="AF47" i="83"/>
  <c r="M31" i="141"/>
  <c r="AF5" i="83"/>
  <c r="AF46" i="83"/>
  <c r="AF33" i="83"/>
  <c r="AF34" i="83"/>
  <c r="AF30" i="83"/>
  <c r="AF14" i="83"/>
  <c r="AF11" i="83"/>
  <c r="AF57" i="83"/>
  <c r="AF12" i="83"/>
  <c r="AF20" i="83"/>
  <c r="AF29" i="83"/>
  <c r="AH21" i="115"/>
  <c r="AF15" i="83"/>
  <c r="AF16" i="83"/>
  <c r="AH22" i="115"/>
  <c r="AH19" i="115"/>
  <c r="AF22" i="83"/>
  <c r="AH17" i="115"/>
  <c r="AH16" i="115"/>
  <c r="L6" i="136"/>
  <c r="AH26" i="115"/>
  <c r="AH34" i="115"/>
  <c r="H31" i="136"/>
  <c r="Q31" i="94"/>
  <c r="Q53" i="94"/>
  <c r="Q37" i="94"/>
  <c r="O83" i="94"/>
  <c r="P83" i="94"/>
  <c r="O59" i="94"/>
  <c r="P59" i="94"/>
  <c r="O51" i="94"/>
  <c r="P51" i="94"/>
  <c r="O43" i="94"/>
  <c r="P43" i="94"/>
  <c r="O11" i="94"/>
  <c r="P11" i="94"/>
  <c r="O72" i="94"/>
  <c r="P72" i="94"/>
  <c r="O64" i="94"/>
  <c r="P64" i="94"/>
  <c r="O56" i="94"/>
  <c r="P56" i="94"/>
  <c r="O40" i="94"/>
  <c r="P40" i="94"/>
  <c r="O32" i="94"/>
  <c r="P32" i="94"/>
  <c r="Q74" i="94"/>
  <c r="Q58" i="94"/>
  <c r="Q82" i="94"/>
  <c r="H40" i="136"/>
  <c r="J40" i="136"/>
  <c r="K40" i="136"/>
  <c r="P90" i="95"/>
  <c r="H33" i="136"/>
  <c r="J33" i="136"/>
  <c r="K33" i="136"/>
  <c r="P9" i="95"/>
  <c r="Q9" i="95"/>
  <c r="R9" i="136"/>
  <c r="T9" i="136"/>
  <c r="U9" i="136"/>
  <c r="BN32" i="91"/>
  <c r="BO32" i="91"/>
  <c r="C61" i="96"/>
  <c r="O79" i="94"/>
  <c r="P79" i="94"/>
  <c r="O22" i="94"/>
  <c r="P22" i="94"/>
  <c r="O65" i="94"/>
  <c r="P65" i="94"/>
  <c r="Q55" i="94"/>
  <c r="Q6" i="94"/>
  <c r="H52" i="136"/>
  <c r="O6" i="94"/>
  <c r="P6" i="94"/>
  <c r="H87" i="136"/>
  <c r="J87" i="136"/>
  <c r="D87" i="136"/>
  <c r="C87" i="136"/>
  <c r="Q26" i="94"/>
  <c r="Q77" i="94"/>
  <c r="O49" i="94"/>
  <c r="P49" i="94"/>
  <c r="Q34" i="94"/>
  <c r="O52" i="94"/>
  <c r="P52" i="94"/>
  <c r="H55" i="136"/>
  <c r="J55" i="136"/>
  <c r="K55" i="136"/>
  <c r="P87" i="95"/>
  <c r="Q87" i="95"/>
  <c r="R82" i="136"/>
  <c r="T82" i="136"/>
  <c r="U82" i="136"/>
  <c r="AJ23" i="82"/>
  <c r="AI24" i="115"/>
  <c r="P35" i="141"/>
  <c r="O35" i="141"/>
  <c r="P20" i="141"/>
  <c r="O20" i="141"/>
  <c r="O5" i="141"/>
  <c r="P5" i="141"/>
  <c r="O36" i="94"/>
  <c r="P36" i="94"/>
  <c r="O33" i="94"/>
  <c r="P33" i="94"/>
  <c r="O30" i="94"/>
  <c r="P30" i="94"/>
  <c r="Q27" i="94"/>
  <c r="Q24" i="94"/>
  <c r="O21" i="94"/>
  <c r="P21" i="94"/>
  <c r="O27" i="94"/>
  <c r="P27" i="94"/>
  <c r="H42" i="136"/>
  <c r="O48" i="94"/>
  <c r="P48" i="94"/>
  <c r="Q85" i="94"/>
  <c r="O84" i="94"/>
  <c r="P84" i="94"/>
  <c r="Q46" i="94"/>
  <c r="O86" i="94"/>
  <c r="P86" i="94"/>
  <c r="Q30" i="94"/>
  <c r="O14" i="94"/>
  <c r="P14" i="94"/>
  <c r="O75" i="94"/>
  <c r="P75" i="94"/>
  <c r="H66" i="136"/>
  <c r="J66" i="136"/>
  <c r="K66" i="136"/>
  <c r="H85" i="136"/>
  <c r="J85" i="136"/>
  <c r="K85" i="136"/>
  <c r="P80" i="95"/>
  <c r="P68" i="95"/>
  <c r="P67" i="95"/>
  <c r="Q67" i="95"/>
  <c r="R62" i="136"/>
  <c r="T62" i="136"/>
  <c r="U62" i="136"/>
  <c r="H24" i="136"/>
  <c r="AV94" i="91"/>
  <c r="AV87" i="91"/>
  <c r="BK97" i="91"/>
  <c r="AV81" i="91"/>
  <c r="O37" i="141"/>
  <c r="AD5" i="83"/>
  <c r="H31" i="141"/>
  <c r="AA21" i="83"/>
  <c r="AB5" i="83"/>
  <c r="I21" i="83"/>
  <c r="L5" i="83"/>
  <c r="J5" i="83"/>
  <c r="I22" i="83"/>
  <c r="K30" i="84"/>
  <c r="P59" i="95"/>
  <c r="Q59" i="95"/>
  <c r="R54" i="136"/>
  <c r="T54" i="136"/>
  <c r="U54" i="136"/>
  <c r="P20" i="95"/>
  <c r="P44" i="115"/>
  <c r="L17" i="115"/>
  <c r="T29" i="83"/>
  <c r="R29" i="83"/>
  <c r="Q11" i="83"/>
  <c r="H15" i="83"/>
  <c r="F15" i="83"/>
  <c r="P20" i="84"/>
  <c r="Q6" i="84"/>
  <c r="AE8" i="82"/>
  <c r="O8" i="82"/>
  <c r="Q8" i="82"/>
  <c r="N27" i="82"/>
  <c r="Q27" i="82"/>
  <c r="Z20" i="83"/>
  <c r="Y22" i="83"/>
  <c r="R15" i="83"/>
  <c r="Q21" i="115"/>
  <c r="R21" i="115" s="1"/>
  <c r="K21" i="83"/>
  <c r="N11" i="83"/>
  <c r="U13" i="115"/>
  <c r="V13" i="115"/>
  <c r="V9" i="83"/>
  <c r="T9" i="83"/>
  <c r="G11" i="84"/>
  <c r="F19" i="84"/>
  <c r="U17" i="82"/>
  <c r="W17" i="82"/>
  <c r="AB29" i="83"/>
  <c r="AD29" i="83"/>
  <c r="BN36" i="91"/>
  <c r="BO36" i="91"/>
  <c r="BN34" i="91"/>
  <c r="BO34" i="91"/>
  <c r="BN33" i="91"/>
  <c r="BO33" i="91"/>
  <c r="BN82" i="91"/>
  <c r="BO82" i="91"/>
  <c r="BN37" i="91"/>
  <c r="BO37" i="91"/>
  <c r="BN29" i="91"/>
  <c r="BO29" i="91"/>
  <c r="BN85" i="91"/>
  <c r="BO85" i="91"/>
  <c r="BN21" i="91"/>
  <c r="BO21" i="91"/>
  <c r="BN75" i="91"/>
  <c r="BO75" i="91"/>
  <c r="BN11" i="91"/>
  <c r="BO11" i="91"/>
  <c r="BN61" i="91"/>
  <c r="BO61" i="91"/>
  <c r="BN9" i="91"/>
  <c r="BO9" i="91"/>
  <c r="BN95" i="91"/>
  <c r="BO95" i="91"/>
  <c r="BN68" i="91"/>
  <c r="BO68" i="91"/>
  <c r="BN17" i="91"/>
  <c r="BO17" i="91"/>
  <c r="BN64" i="91"/>
  <c r="BO64" i="91"/>
  <c r="AC21" i="115"/>
  <c r="AD21" i="115" s="1"/>
  <c r="AB15" i="83"/>
  <c r="AD15" i="83"/>
  <c r="Z13" i="83"/>
  <c r="X13" i="83"/>
  <c r="Y18" i="115"/>
  <c r="Z18" i="115"/>
  <c r="R7" i="83"/>
  <c r="T7" i="83"/>
  <c r="AV37" i="91"/>
  <c r="T35" i="159"/>
  <c r="S41" i="159"/>
  <c r="P38" i="115"/>
  <c r="P30" i="83"/>
  <c r="O12" i="83"/>
  <c r="Q5" i="83"/>
  <c r="Q21" i="83"/>
  <c r="Q39" i="83"/>
  <c r="W19" i="115"/>
  <c r="V14" i="83"/>
  <c r="L40" i="83"/>
  <c r="AE12" i="84"/>
  <c r="AC12" i="84"/>
  <c r="H6" i="115"/>
  <c r="G27" i="115"/>
  <c r="AB42" i="83"/>
  <c r="AA56" i="83"/>
  <c r="AD42" i="83"/>
  <c r="AA57" i="83"/>
  <c r="AA22" i="83"/>
  <c r="AA39" i="83"/>
  <c r="AD24" i="83"/>
  <c r="AB47" i="83"/>
  <c r="R19" i="159"/>
  <c r="P18" i="159"/>
  <c r="P30" i="95"/>
  <c r="M41" i="159"/>
  <c r="P41" i="159"/>
  <c r="N37" i="159"/>
  <c r="AE16" i="82"/>
  <c r="P70" i="95"/>
  <c r="Q70" i="95"/>
  <c r="R65" i="136"/>
  <c r="T65" i="136"/>
  <c r="U65" i="136"/>
  <c r="AV75" i="91"/>
  <c r="AV71" i="91"/>
  <c r="AV68" i="91"/>
  <c r="H22" i="159"/>
  <c r="T7" i="159"/>
  <c r="P39" i="159"/>
  <c r="L10" i="159"/>
  <c r="M22" i="159"/>
  <c r="N22" i="159"/>
  <c r="L6" i="159"/>
  <c r="J41" i="159"/>
  <c r="AC56" i="83"/>
  <c r="X37" i="159"/>
  <c r="R12" i="83"/>
  <c r="P12" i="83"/>
  <c r="O22" i="83"/>
  <c r="AD57" i="83"/>
  <c r="S20" i="84"/>
  <c r="P21" i="141"/>
  <c r="O22" i="141"/>
  <c r="O21" i="141"/>
  <c r="K20" i="141"/>
  <c r="I31" i="141"/>
  <c r="T11" i="83"/>
  <c r="R11" i="83"/>
  <c r="J22" i="83"/>
  <c r="L22" i="83"/>
  <c r="T5" i="83"/>
  <c r="V41" i="159"/>
  <c r="T41" i="159"/>
  <c r="Q34" i="115"/>
  <c r="Q35" i="115" s="1"/>
  <c r="Q36" i="115" s="1"/>
  <c r="P6" i="141"/>
  <c r="O6" i="141"/>
  <c r="O7" i="141"/>
  <c r="C55" i="96"/>
  <c r="W55" i="96"/>
  <c r="Z55" i="96"/>
  <c r="S55" i="136"/>
  <c r="C26" i="96"/>
  <c r="I26" i="136"/>
  <c r="C30" i="96"/>
  <c r="W30" i="96"/>
  <c r="Z30" i="96"/>
  <c r="S30" i="136"/>
  <c r="C77" i="96"/>
  <c r="I77" i="136"/>
  <c r="H57" i="136"/>
  <c r="Q41" i="94"/>
  <c r="O68" i="94"/>
  <c r="P68" i="94"/>
  <c r="Q47" i="94"/>
  <c r="H67" i="136"/>
  <c r="Q86" i="94"/>
  <c r="Q67" i="94"/>
  <c r="Q35" i="94"/>
  <c r="O25" i="94"/>
  <c r="P25" i="94"/>
  <c r="Q22" i="94"/>
  <c r="Q19" i="94"/>
  <c r="Q16" i="94"/>
  <c r="Q9" i="94"/>
  <c r="Q39" i="94"/>
  <c r="H20" i="136"/>
  <c r="Q70" i="94"/>
  <c r="Q23" i="94"/>
  <c r="Q25" i="94"/>
  <c r="Q29" i="94"/>
  <c r="H71" i="136"/>
  <c r="J71" i="136"/>
  <c r="K71" i="136"/>
  <c r="Q45" i="94"/>
  <c r="Q81" i="94"/>
  <c r="Q20" i="94"/>
  <c r="H29" i="136"/>
  <c r="J29" i="136"/>
  <c r="Q42" i="94"/>
  <c r="O87" i="94"/>
  <c r="P87" i="94"/>
  <c r="O71" i="94"/>
  <c r="P71" i="94"/>
  <c r="Q38" i="94"/>
  <c r="O78" i="94"/>
  <c r="P78" i="94"/>
  <c r="Q61" i="94"/>
  <c r="P72" i="95"/>
  <c r="Q72" i="95"/>
  <c r="R67" i="136"/>
  <c r="T67" i="136"/>
  <c r="U67" i="136"/>
  <c r="P79" i="95"/>
  <c r="Q79" i="95"/>
  <c r="R74" i="136"/>
  <c r="T74" i="136"/>
  <c r="U74" i="136"/>
  <c r="H68" i="136"/>
  <c r="H44" i="136"/>
  <c r="AV65" i="91"/>
  <c r="AH82" i="91"/>
  <c r="AJ82" i="91"/>
  <c r="Q73" i="136"/>
  <c r="AH92" i="91"/>
  <c r="AJ92" i="91"/>
  <c r="Q83" i="136"/>
  <c r="G83" i="136"/>
  <c r="AH89" i="91"/>
  <c r="AJ89" i="91"/>
  <c r="Q80" i="136"/>
  <c r="M57" i="136"/>
  <c r="O57" i="136"/>
  <c r="L9" i="136"/>
  <c r="N15" i="136"/>
  <c r="N88" i="136"/>
  <c r="H63" i="136"/>
  <c r="J63" i="136"/>
  <c r="K63" i="136"/>
  <c r="O50" i="94"/>
  <c r="P50" i="94"/>
  <c r="O63" i="94"/>
  <c r="P63" i="94"/>
  <c r="O44" i="94"/>
  <c r="P44" i="94"/>
  <c r="O54" i="94"/>
  <c r="P54" i="94"/>
  <c r="H45" i="136"/>
  <c r="O80" i="94"/>
  <c r="P80" i="94"/>
  <c r="H54" i="136"/>
  <c r="J54" i="136"/>
  <c r="K54" i="136"/>
  <c r="H36" i="136"/>
  <c r="H8" i="136"/>
  <c r="H47" i="136"/>
  <c r="H49" i="136"/>
  <c r="H25" i="136"/>
  <c r="J25" i="136"/>
  <c r="K25" i="136"/>
  <c r="P34" i="95"/>
  <c r="Q34" i="95"/>
  <c r="R34" i="136"/>
  <c r="T34" i="136"/>
  <c r="U34" i="136"/>
  <c r="H83" i="136"/>
  <c r="P81" i="95"/>
  <c r="H58" i="136"/>
  <c r="H35" i="136"/>
  <c r="P26" i="95"/>
  <c r="Q26" i="95"/>
  <c r="R26" i="136"/>
  <c r="T26" i="136"/>
  <c r="AV85" i="91"/>
  <c r="G66" i="136"/>
  <c r="G74" i="136"/>
  <c r="AV57" i="91"/>
  <c r="G73" i="136"/>
  <c r="AV26" i="91"/>
  <c r="G16" i="136"/>
  <c r="AV11" i="91"/>
  <c r="G27" i="136"/>
  <c r="G35" i="136"/>
  <c r="G42" i="136"/>
  <c r="J42" i="136"/>
  <c r="G18" i="136"/>
  <c r="G26" i="136"/>
  <c r="AH75" i="91"/>
  <c r="Q66" i="136"/>
  <c r="G11" i="136"/>
  <c r="J11" i="136"/>
  <c r="K11" i="136"/>
  <c r="AH29" i="91"/>
  <c r="Q27" i="136"/>
  <c r="G19" i="136"/>
  <c r="AV79" i="91"/>
  <c r="G70" i="136"/>
  <c r="AV73" i="91"/>
  <c r="AV27" i="91"/>
  <c r="G25" i="136"/>
  <c r="C67" i="96"/>
  <c r="I67" i="136"/>
  <c r="C82" i="96"/>
  <c r="I82" i="136"/>
  <c r="I86" i="136"/>
  <c r="C45" i="96"/>
  <c r="W45" i="96"/>
  <c r="Z45" i="96"/>
  <c r="S45" i="136"/>
  <c r="G61" i="136"/>
  <c r="AV92" i="91"/>
  <c r="AV93" i="91"/>
  <c r="AV91" i="91"/>
  <c r="AV56" i="91"/>
  <c r="AV44" i="91"/>
  <c r="AV31" i="91"/>
  <c r="AT97" i="91"/>
  <c r="AV18" i="91"/>
  <c r="AS97" i="91"/>
  <c r="AV29" i="91"/>
  <c r="AV19" i="91"/>
  <c r="AU97" i="91"/>
  <c r="G45" i="136"/>
  <c r="AV47" i="91"/>
  <c r="AV36" i="91"/>
  <c r="AV77" i="91"/>
  <c r="AV83" i="91"/>
  <c r="G86" i="136"/>
  <c r="G80" i="136"/>
  <c r="G78" i="136"/>
  <c r="AV74" i="91"/>
  <c r="AV34" i="91"/>
  <c r="AV10" i="91"/>
  <c r="AH85" i="91"/>
  <c r="AJ85" i="91"/>
  <c r="Q76" i="136"/>
  <c r="G76" i="136"/>
  <c r="AH71" i="91"/>
  <c r="Q62" i="136"/>
  <c r="G62" i="136"/>
  <c r="AH65" i="91"/>
  <c r="Q56" i="136"/>
  <c r="G56" i="136"/>
  <c r="AH63" i="91"/>
  <c r="AJ63" i="91"/>
  <c r="Q54" i="136"/>
  <c r="AD22" i="83"/>
  <c r="AB22" i="83"/>
  <c r="N41" i="159"/>
  <c r="K27" i="115"/>
  <c r="T15" i="83"/>
  <c r="S21" i="115"/>
  <c r="V21" i="115" s="1"/>
  <c r="I30" i="136"/>
  <c r="AB57" i="83"/>
  <c r="AF18" i="115"/>
  <c r="H22" i="83"/>
  <c r="I20" i="84"/>
  <c r="T44" i="115"/>
  <c r="F16" i="83"/>
  <c r="H16" i="83"/>
  <c r="M40" i="83"/>
  <c r="M5" i="83"/>
  <c r="N24" i="83"/>
  <c r="Q22" i="83"/>
  <c r="W20" i="84"/>
  <c r="G17" i="82"/>
  <c r="F27" i="82"/>
  <c r="G27" i="82"/>
  <c r="R5" i="83"/>
  <c r="AF44" i="115"/>
  <c r="AD44" i="115"/>
  <c r="W5" i="83"/>
  <c r="Z24" i="83"/>
  <c r="X24" i="83"/>
  <c r="X41" i="159"/>
  <c r="R38" i="115"/>
  <c r="R20" i="83"/>
  <c r="S26" i="115"/>
  <c r="T26" i="115" s="1"/>
  <c r="AD16" i="83"/>
  <c r="AC22" i="115"/>
  <c r="AF22" i="115" s="1"/>
  <c r="U19" i="115"/>
  <c r="T14" i="83"/>
  <c r="P22" i="159"/>
  <c r="J7" i="159"/>
  <c r="L7" i="159"/>
  <c r="D32" i="159"/>
  <c r="F32" i="159"/>
  <c r="G21" i="83"/>
  <c r="K35" i="141"/>
  <c r="W34" i="115"/>
  <c r="W35" i="115" s="1"/>
  <c r="R26" i="82"/>
  <c r="P11" i="159"/>
  <c r="R11" i="159"/>
  <c r="H16" i="136"/>
  <c r="L8" i="159"/>
  <c r="N8" i="159"/>
  <c r="L47" i="83"/>
  <c r="H9" i="83"/>
  <c r="Q92" i="95"/>
  <c r="R87" i="136"/>
  <c r="T87" i="136"/>
  <c r="X12" i="159"/>
  <c r="N27" i="159"/>
  <c r="P27" i="159"/>
  <c r="AV38" i="91"/>
  <c r="K12" i="159"/>
  <c r="L16" i="159"/>
  <c r="H32" i="159"/>
  <c r="N40" i="83"/>
  <c r="P40" i="83"/>
  <c r="Z5" i="83"/>
  <c r="W21" i="83"/>
  <c r="X5" i="83"/>
  <c r="W22" i="83"/>
  <c r="M22" i="83"/>
  <c r="M21" i="83"/>
  <c r="N5" i="83"/>
  <c r="R22" i="83"/>
  <c r="T22" i="83"/>
  <c r="L12" i="159"/>
  <c r="N12" i="159"/>
  <c r="P5" i="83"/>
  <c r="N22" i="83"/>
  <c r="P22" i="83"/>
  <c r="X22" i="83"/>
  <c r="Y34" i="115"/>
  <c r="Z34" i="115" s="1"/>
  <c r="Z22" i="83"/>
  <c r="AH66" i="91"/>
  <c r="Q57" i="136"/>
  <c r="G52" i="136"/>
  <c r="J52" i="136"/>
  <c r="K52" i="136"/>
  <c r="AH90" i="91"/>
  <c r="Q81" i="136"/>
  <c r="G46" i="136"/>
  <c r="AH26" i="91"/>
  <c r="AJ26" i="91"/>
  <c r="Q24" i="136"/>
  <c r="AH39" i="91"/>
  <c r="AJ39" i="91"/>
  <c r="Q37" i="136"/>
  <c r="G22" i="136"/>
  <c r="G44" i="136"/>
  <c r="I27" i="82"/>
  <c r="Z20" i="115"/>
  <c r="M17" i="82"/>
  <c r="K8" i="82"/>
  <c r="O27" i="82"/>
  <c r="T25" i="115"/>
  <c r="AA34" i="115"/>
  <c r="AB34" i="115" s="1"/>
  <c r="M8" i="82"/>
  <c r="G47" i="136"/>
  <c r="AH80" i="91"/>
  <c r="AJ80" i="91"/>
  <c r="Q71" i="136"/>
  <c r="G85" i="136"/>
  <c r="G69" i="136"/>
  <c r="G77" i="136"/>
  <c r="G48" i="136"/>
  <c r="G53" i="136"/>
  <c r="G60" i="136"/>
  <c r="AH91" i="91"/>
  <c r="Q82" i="136"/>
  <c r="O101" i="91"/>
  <c r="G58" i="136"/>
  <c r="AV60" i="91"/>
  <c r="AV78" i="91"/>
  <c r="BN73" i="91"/>
  <c r="BO73" i="91"/>
  <c r="BN14" i="91"/>
  <c r="BO14" i="91"/>
  <c r="BN41" i="91"/>
  <c r="BO41" i="91"/>
  <c r="BN90" i="91"/>
  <c r="BO90" i="91"/>
  <c r="G28" i="136"/>
  <c r="AJ12" i="82"/>
  <c r="AI10" i="115" s="1"/>
  <c r="BN63" i="91"/>
  <c r="BO63" i="91"/>
  <c r="BN22" i="91"/>
  <c r="BO22" i="91"/>
  <c r="BN23" i="91"/>
  <c r="BO23" i="91"/>
  <c r="BN45" i="91"/>
  <c r="BO45" i="91"/>
  <c r="AV35" i="91"/>
  <c r="BN39" i="91"/>
  <c r="BO39" i="91"/>
  <c r="BN66" i="91"/>
  <c r="BO66" i="91"/>
  <c r="BN13" i="91"/>
  <c r="BO13" i="91"/>
  <c r="BN91" i="91"/>
  <c r="BO91" i="91"/>
  <c r="BN8" i="91"/>
  <c r="BO8" i="91"/>
  <c r="BN65" i="91"/>
  <c r="BO65" i="91"/>
  <c r="BN79" i="91"/>
  <c r="BO79" i="91"/>
  <c r="BN25" i="91"/>
  <c r="BO25" i="91"/>
  <c r="BN57" i="91"/>
  <c r="BO57" i="91"/>
  <c r="BN56" i="91"/>
  <c r="BO56" i="91"/>
  <c r="BN58" i="91"/>
  <c r="BO58" i="91"/>
  <c r="BN43" i="91"/>
  <c r="BO43" i="91"/>
  <c r="BN71" i="91"/>
  <c r="BO71" i="91"/>
  <c r="BN42" i="91"/>
  <c r="BO42" i="91"/>
  <c r="BN26" i="91"/>
  <c r="BO26" i="91"/>
  <c r="BN77" i="91"/>
  <c r="BO77" i="91"/>
  <c r="G34" i="136"/>
  <c r="AV8" i="91"/>
  <c r="BN87" i="91"/>
  <c r="BO87" i="91"/>
  <c r="BN86" i="91"/>
  <c r="BO86" i="91"/>
  <c r="BN18" i="91"/>
  <c r="BO18" i="91"/>
  <c r="BN62" i="91"/>
  <c r="BO62" i="91"/>
  <c r="Q35" i="136"/>
  <c r="AV42" i="91"/>
  <c r="BN47" i="91"/>
  <c r="BO47" i="91"/>
  <c r="BN72" i="91"/>
  <c r="BO72" i="91"/>
  <c r="BN30" i="91"/>
  <c r="BO30" i="91"/>
  <c r="BN10" i="91"/>
  <c r="BO10" i="91"/>
  <c r="BN16" i="91"/>
  <c r="BO16" i="91"/>
  <c r="BN19" i="91"/>
  <c r="BO19" i="91"/>
  <c r="BN76" i="91"/>
  <c r="BO76" i="91"/>
  <c r="BN70" i="91"/>
  <c r="BO70" i="91"/>
  <c r="BN60" i="91"/>
  <c r="BO60" i="91"/>
  <c r="BN44" i="91"/>
  <c r="BO44" i="91"/>
  <c r="BN92" i="91"/>
  <c r="BO92" i="91"/>
  <c r="BN96" i="91"/>
  <c r="BO96" i="91"/>
  <c r="BN55" i="91"/>
  <c r="BO55" i="91"/>
  <c r="BN28" i="91"/>
  <c r="BO28" i="91"/>
  <c r="BN93" i="91"/>
  <c r="BO93" i="91"/>
  <c r="BN69" i="91"/>
  <c r="BO69" i="91"/>
  <c r="BN94" i="91"/>
  <c r="BO94" i="91"/>
  <c r="BN89" i="91"/>
  <c r="BO89" i="91"/>
  <c r="BN81" i="91"/>
  <c r="BO81" i="91"/>
  <c r="BN15" i="91"/>
  <c r="BO15" i="91"/>
  <c r="Q20" i="136"/>
  <c r="BN24" i="91"/>
  <c r="BO24" i="91"/>
  <c r="BN80" i="91"/>
  <c r="BO80" i="91"/>
  <c r="BN12" i="91"/>
  <c r="BO12" i="91"/>
  <c r="BN20" i="91"/>
  <c r="BO20" i="91"/>
  <c r="BN40" i="91"/>
  <c r="BO40" i="91"/>
  <c r="BN67" i="91"/>
  <c r="BO67" i="91"/>
  <c r="BN27" i="91"/>
  <c r="BO27" i="91"/>
  <c r="BN35" i="91"/>
  <c r="BO35" i="91"/>
  <c r="BN46" i="91"/>
  <c r="BO46" i="91"/>
  <c r="BN38" i="91"/>
  <c r="BO38" i="91"/>
  <c r="BN59" i="91"/>
  <c r="BO59" i="91"/>
  <c r="BN31" i="91"/>
  <c r="BO31" i="91"/>
  <c r="BN74" i="91"/>
  <c r="BO74" i="91"/>
  <c r="BN88" i="91"/>
  <c r="BO88" i="91"/>
  <c r="BN83" i="91"/>
  <c r="BO83" i="91"/>
  <c r="AV9" i="91"/>
  <c r="G20" i="136"/>
  <c r="J20" i="136"/>
  <c r="K20" i="136"/>
  <c r="AH36" i="91"/>
  <c r="Q34" i="136"/>
  <c r="AJ21" i="82"/>
  <c r="AI22" i="115" s="1"/>
  <c r="L13" i="136"/>
  <c r="L7" i="136"/>
  <c r="C18" i="96"/>
  <c r="I18" i="136"/>
  <c r="W18" i="96"/>
  <c r="Z18" i="96"/>
  <c r="S18" i="136"/>
  <c r="W77" i="96"/>
  <c r="Z77" i="96"/>
  <c r="S77" i="136"/>
  <c r="C50" i="96"/>
  <c r="W50" i="96"/>
  <c r="Z50" i="96"/>
  <c r="S50" i="136"/>
  <c r="C73" i="96"/>
  <c r="I73" i="136"/>
  <c r="M31" i="136"/>
  <c r="M71" i="136"/>
  <c r="O71" i="136"/>
  <c r="P71" i="136"/>
  <c r="Q18" i="94"/>
  <c r="H86" i="136"/>
  <c r="H18" i="136"/>
  <c r="O12" i="94"/>
  <c r="P12" i="94"/>
  <c r="O15" i="94"/>
  <c r="P15" i="94"/>
  <c r="O13" i="94"/>
  <c r="P13" i="94"/>
  <c r="O70" i="94"/>
  <c r="P70" i="94"/>
  <c r="O60" i="94"/>
  <c r="P60" i="94"/>
  <c r="Q57" i="94"/>
  <c r="H82" i="136"/>
  <c r="H84" i="136"/>
  <c r="J84" i="136"/>
  <c r="K84" i="136"/>
  <c r="H72" i="136"/>
  <c r="J72" i="136"/>
  <c r="K72" i="136"/>
  <c r="P84" i="95"/>
  <c r="P23" i="95"/>
  <c r="Q23" i="95"/>
  <c r="R23" i="136"/>
  <c r="T23" i="136"/>
  <c r="U23" i="136"/>
  <c r="H13" i="136"/>
  <c r="H12" i="136"/>
  <c r="M88" i="94"/>
  <c r="M86" i="136"/>
  <c r="O86" i="136"/>
  <c r="P86" i="136"/>
  <c r="M81" i="136"/>
  <c r="M77" i="136"/>
  <c r="O77" i="136"/>
  <c r="P77" i="136"/>
  <c r="M37" i="136"/>
  <c r="O37" i="136"/>
  <c r="M9" i="136"/>
  <c r="O9" i="136"/>
  <c r="P9" i="136"/>
  <c r="AG47" i="83"/>
  <c r="AG46" i="83"/>
  <c r="M73" i="136"/>
  <c r="O73" i="136"/>
  <c r="P73" i="136"/>
  <c r="M17" i="136"/>
  <c r="O17" i="136"/>
  <c r="M53" i="136"/>
  <c r="O53" i="136"/>
  <c r="P53" i="136"/>
  <c r="M69" i="136"/>
  <c r="M54" i="136"/>
  <c r="O54" i="136"/>
  <c r="P54" i="136"/>
  <c r="M49" i="136"/>
  <c r="O49" i="136"/>
  <c r="P49" i="136"/>
  <c r="M13" i="136"/>
  <c r="M85" i="136"/>
  <c r="O85" i="136"/>
  <c r="P85" i="136"/>
  <c r="M21" i="136"/>
  <c r="O21" i="136"/>
  <c r="P21" i="136"/>
  <c r="M65" i="136"/>
  <c r="O65" i="136"/>
  <c r="P65" i="136"/>
  <c r="M78" i="136"/>
  <c r="O78" i="136"/>
  <c r="P78" i="136"/>
  <c r="M58" i="136"/>
  <c r="O58" i="136"/>
  <c r="P58" i="136"/>
  <c r="M38" i="136"/>
  <c r="O38" i="136"/>
  <c r="P38" i="136"/>
  <c r="N88" i="94"/>
  <c r="M46" i="136"/>
  <c r="M82" i="136"/>
  <c r="O82" i="136"/>
  <c r="M74" i="136"/>
  <c r="O74" i="136"/>
  <c r="P74" i="136"/>
  <c r="M62" i="136"/>
  <c r="O62" i="136"/>
  <c r="M34" i="136"/>
  <c r="O34" i="136"/>
  <c r="M18" i="136"/>
  <c r="O18" i="136"/>
  <c r="P18" i="136"/>
  <c r="Q81" i="95"/>
  <c r="R76" i="136"/>
  <c r="T76" i="136"/>
  <c r="Q82" i="95"/>
  <c r="R77" i="136"/>
  <c r="T77" i="136"/>
  <c r="U77" i="136"/>
  <c r="Q90" i="95"/>
  <c r="Q68" i="95"/>
  <c r="R63" i="136"/>
  <c r="T63" i="136"/>
  <c r="U63" i="136"/>
  <c r="M29" i="136"/>
  <c r="O29" i="136"/>
  <c r="P29" i="136"/>
  <c r="M51" i="136"/>
  <c r="M68" i="136"/>
  <c r="Q44" i="95"/>
  <c r="R44" i="136"/>
  <c r="T44" i="136"/>
  <c r="M33" i="136"/>
  <c r="O33" i="136"/>
  <c r="P33" i="136"/>
  <c r="M15" i="136"/>
  <c r="O15" i="136"/>
  <c r="P15" i="136"/>
  <c r="AG97" i="91"/>
  <c r="L15" i="136"/>
  <c r="AF97" i="91"/>
  <c r="W24" i="96"/>
  <c r="Z24" i="96"/>
  <c r="S24" i="136"/>
  <c r="C16" i="96"/>
  <c r="I16" i="136"/>
  <c r="J16" i="136"/>
  <c r="K16" i="136"/>
  <c r="C20" i="96"/>
  <c r="I20" i="136"/>
  <c r="C32" i="96"/>
  <c r="C36" i="96"/>
  <c r="W48" i="96"/>
  <c r="Z48" i="96"/>
  <c r="S48" i="136"/>
  <c r="C59" i="96"/>
  <c r="C75" i="96"/>
  <c r="I75" i="136"/>
  <c r="W75" i="96"/>
  <c r="Z75" i="96"/>
  <c r="S75" i="136"/>
  <c r="C65" i="96"/>
  <c r="W65" i="96"/>
  <c r="Z65" i="96"/>
  <c r="S65" i="136"/>
  <c r="C66" i="96"/>
  <c r="I66" i="136"/>
  <c r="C35" i="96"/>
  <c r="W35" i="96"/>
  <c r="Z35" i="96"/>
  <c r="S35" i="136"/>
  <c r="C39" i="96"/>
  <c r="I39" i="136"/>
  <c r="C43" i="96"/>
  <c r="I43" i="136"/>
  <c r="C74" i="96"/>
  <c r="I74" i="136"/>
  <c r="I62" i="136"/>
  <c r="I23" i="136"/>
  <c r="I27" i="136"/>
  <c r="I50" i="136"/>
  <c r="W67" i="96"/>
  <c r="Z67" i="96"/>
  <c r="S67" i="136"/>
  <c r="W26" i="96"/>
  <c r="Z26" i="96"/>
  <c r="S26" i="136"/>
  <c r="C11" i="96"/>
  <c r="W11" i="96"/>
  <c r="Z11" i="96"/>
  <c r="S11" i="136"/>
  <c r="C15" i="96"/>
  <c r="I15" i="136"/>
  <c r="I19" i="136"/>
  <c r="C79" i="96"/>
  <c r="I79" i="136"/>
  <c r="I45" i="136"/>
  <c r="C17" i="96"/>
  <c r="I17" i="136"/>
  <c r="W73" i="96"/>
  <c r="Z73" i="96"/>
  <c r="S73" i="136"/>
  <c r="W39" i="96"/>
  <c r="Z39" i="96"/>
  <c r="S39" i="136"/>
  <c r="W36" i="96"/>
  <c r="Z36" i="96"/>
  <c r="S36" i="136"/>
  <c r="I36" i="136"/>
  <c r="W13" i="96"/>
  <c r="Z13" i="96"/>
  <c r="S13" i="136"/>
  <c r="I59" i="136"/>
  <c r="W59" i="96"/>
  <c r="Z59" i="96"/>
  <c r="S59" i="136"/>
  <c r="W81" i="96"/>
  <c r="Z81" i="96"/>
  <c r="S81" i="136"/>
  <c r="I81" i="136"/>
  <c r="W85" i="96"/>
  <c r="Z85" i="96"/>
  <c r="S85" i="136"/>
  <c r="I37" i="136"/>
  <c r="W37" i="96"/>
  <c r="Z37" i="96"/>
  <c r="S37" i="136"/>
  <c r="W52" i="96"/>
  <c r="Z52" i="96"/>
  <c r="S52" i="136"/>
  <c r="I56" i="136"/>
  <c r="Z56" i="96"/>
  <c r="S56" i="136"/>
  <c r="S60" i="136"/>
  <c r="I60" i="136"/>
  <c r="I14" i="136"/>
  <c r="W14" i="96"/>
  <c r="Z14" i="96"/>
  <c r="S14" i="136"/>
  <c r="W49" i="96"/>
  <c r="Z49" i="96"/>
  <c r="S49" i="136"/>
  <c r="W38" i="96"/>
  <c r="Z38" i="96"/>
  <c r="S38" i="136"/>
  <c r="W42" i="96"/>
  <c r="Z42" i="96"/>
  <c r="S42" i="136"/>
  <c r="I46" i="136"/>
  <c r="Z46" i="96"/>
  <c r="S46" i="136"/>
  <c r="S53" i="136"/>
  <c r="I53" i="136"/>
  <c r="W57" i="96"/>
  <c r="Z57" i="96"/>
  <c r="S57" i="136"/>
  <c r="W78" i="96"/>
  <c r="Z78" i="96"/>
  <c r="S78" i="136"/>
  <c r="I78" i="136"/>
  <c r="W82" i="96"/>
  <c r="Z82" i="96"/>
  <c r="S82" i="136"/>
  <c r="C10" i="96"/>
  <c r="I48" i="136"/>
  <c r="I51" i="136"/>
  <c r="C7" i="96"/>
  <c r="W7" i="96"/>
  <c r="Z7" i="96"/>
  <c r="S7" i="136"/>
  <c r="W31" i="96"/>
  <c r="Z31" i="96"/>
  <c r="S31" i="136"/>
  <c r="W66" i="96"/>
  <c r="Z66" i="96"/>
  <c r="S66" i="136"/>
  <c r="W63" i="96"/>
  <c r="Z63" i="96"/>
  <c r="S63" i="136"/>
  <c r="C9" i="160"/>
  <c r="C91" i="160"/>
  <c r="C15" i="160"/>
  <c r="AG42" i="83"/>
  <c r="AG56" i="83"/>
  <c r="P8" i="94"/>
  <c r="Q17" i="94"/>
  <c r="O62" i="94"/>
  <c r="P62" i="94"/>
  <c r="H76" i="136"/>
  <c r="H17" i="136"/>
  <c r="Q73" i="94"/>
  <c r="H62" i="136"/>
  <c r="H73" i="136"/>
  <c r="J73" i="136"/>
  <c r="K73" i="136"/>
  <c r="Q28" i="94"/>
  <c r="Q69" i="94"/>
  <c r="H79" i="136"/>
  <c r="J79" i="136"/>
  <c r="K79" i="136"/>
  <c r="C88" i="94"/>
  <c r="Q88" i="94"/>
  <c r="Q10" i="94"/>
  <c r="Q66" i="94"/>
  <c r="R85" i="136"/>
  <c r="Q76" i="94"/>
  <c r="P66" i="95"/>
  <c r="P86" i="95"/>
  <c r="Q86" i="95"/>
  <c r="R81" i="136"/>
  <c r="T81" i="136"/>
  <c r="H80" i="136"/>
  <c r="P64" i="95"/>
  <c r="Q64" i="95"/>
  <c r="R59" i="136"/>
  <c r="T59" i="136"/>
  <c r="U59" i="136"/>
  <c r="P75" i="95"/>
  <c r="P56" i="95"/>
  <c r="Q56" i="95"/>
  <c r="R51" i="136"/>
  <c r="T51" i="136"/>
  <c r="U51" i="136"/>
  <c r="P6" i="95"/>
  <c r="H38" i="136"/>
  <c r="P21" i="95"/>
  <c r="Q21" i="95"/>
  <c r="R21" i="136"/>
  <c r="T21" i="136"/>
  <c r="H6" i="136"/>
  <c r="P7" i="95"/>
  <c r="P39" i="95"/>
  <c r="Q39" i="95"/>
  <c r="R39" i="136"/>
  <c r="G65" i="136"/>
  <c r="G75" i="136"/>
  <c r="G50" i="136"/>
  <c r="G36" i="136"/>
  <c r="J36" i="136"/>
  <c r="I97" i="91"/>
  <c r="AJ13" i="82" s="1"/>
  <c r="AJ8" i="82" s="1"/>
  <c r="AH10" i="91"/>
  <c r="AJ10" i="91"/>
  <c r="Q8" i="136"/>
  <c r="G43" i="136"/>
  <c r="Q17" i="136"/>
  <c r="G49" i="136"/>
  <c r="G54" i="136"/>
  <c r="AV63" i="91"/>
  <c r="AV39" i="91"/>
  <c r="G37" i="136"/>
  <c r="J37" i="136"/>
  <c r="G41" i="136"/>
  <c r="AV43" i="91"/>
  <c r="G10" i="136"/>
  <c r="G6" i="136"/>
  <c r="D29" i="154"/>
  <c r="D24" i="154"/>
  <c r="B25" i="153"/>
  <c r="C25" i="153"/>
  <c r="D25" i="153"/>
  <c r="E25" i="153"/>
  <c r="A31" i="153"/>
  <c r="B31" i="153"/>
  <c r="F6" i="153"/>
  <c r="W20" i="96"/>
  <c r="Z20" i="96"/>
  <c r="S20" i="136"/>
  <c r="I35" i="136"/>
  <c r="I65" i="136"/>
  <c r="I11" i="136"/>
  <c r="W19" i="96"/>
  <c r="Z19" i="96"/>
  <c r="S19" i="136"/>
  <c r="W15" i="96"/>
  <c r="Z15" i="96"/>
  <c r="S15" i="136"/>
  <c r="I10" i="136"/>
  <c r="W10" i="96"/>
  <c r="Z10" i="96"/>
  <c r="S10" i="136"/>
  <c r="O88" i="94"/>
  <c r="P88" i="94"/>
  <c r="AG55" i="83"/>
  <c r="AG57" i="83"/>
  <c r="Q6" i="95"/>
  <c r="R6" i="136"/>
  <c r="T6" i="136"/>
  <c r="U6" i="136"/>
  <c r="B12" i="153"/>
  <c r="D12" i="153"/>
  <c r="C12" i="153"/>
  <c r="F8" i="153"/>
  <c r="AZ96" i="91"/>
  <c r="J86" i="136"/>
  <c r="K86" i="136"/>
  <c r="V88" i="136"/>
  <c r="D26" i="154"/>
  <c r="D28" i="154"/>
  <c r="D25" i="154"/>
  <c r="D27" i="154"/>
  <c r="D7" i="154"/>
  <c r="D6" i="154"/>
  <c r="D8" i="154"/>
  <c r="W47" i="96"/>
  <c r="Z47" i="96"/>
  <c r="S47" i="136"/>
  <c r="I47" i="136"/>
  <c r="J47" i="136"/>
  <c r="K47" i="136"/>
  <c r="I68" i="136"/>
  <c r="W68" i="96"/>
  <c r="Z68" i="96"/>
  <c r="S68" i="136"/>
  <c r="W79" i="96"/>
  <c r="Z79" i="96"/>
  <c r="S79" i="136"/>
  <c r="I88" i="96"/>
  <c r="AH8" i="84"/>
  <c r="C22" i="96"/>
  <c r="I29" i="136"/>
  <c r="W29" i="96"/>
  <c r="Z29" i="96"/>
  <c r="S29" i="136"/>
  <c r="C40" i="96"/>
  <c r="C44" i="96"/>
  <c r="C58" i="96"/>
  <c r="W61" i="96"/>
  <c r="Z61" i="96"/>
  <c r="S61" i="136"/>
  <c r="I61" i="136"/>
  <c r="I28" i="136"/>
  <c r="W28" i="96"/>
  <c r="Z28" i="96"/>
  <c r="S28" i="136"/>
  <c r="I84" i="136"/>
  <c r="W84" i="96"/>
  <c r="Z84" i="96"/>
  <c r="S84" i="136"/>
  <c r="U88" i="96"/>
  <c r="I32" i="136"/>
  <c r="W32" i="96"/>
  <c r="Z32" i="96"/>
  <c r="S32" i="136"/>
  <c r="I8" i="136"/>
  <c r="W8" i="96"/>
  <c r="Z8" i="96"/>
  <c r="S8" i="136"/>
  <c r="I70" i="136"/>
  <c r="W70" i="96"/>
  <c r="Z70" i="96"/>
  <c r="S70" i="136"/>
  <c r="I7" i="136"/>
  <c r="W17" i="96"/>
  <c r="Z17" i="96"/>
  <c r="S17" i="136"/>
  <c r="W54" i="96"/>
  <c r="Z54" i="96"/>
  <c r="S54" i="136"/>
  <c r="V88" i="96"/>
  <c r="C6" i="96"/>
  <c r="D88" i="96"/>
  <c r="W41" i="96"/>
  <c r="Z41" i="96"/>
  <c r="S41" i="136"/>
  <c r="I41" i="136"/>
  <c r="E88" i="96"/>
  <c r="I9" i="136"/>
  <c r="W9" i="96"/>
  <c r="Z9" i="96"/>
  <c r="S9" i="136"/>
  <c r="I12" i="136"/>
  <c r="W12" i="96"/>
  <c r="Z12" i="96"/>
  <c r="S12" i="136"/>
  <c r="W71" i="96"/>
  <c r="Z71" i="96"/>
  <c r="S71" i="136"/>
  <c r="I71" i="136"/>
  <c r="W43" i="96"/>
  <c r="Z43" i="96"/>
  <c r="S43" i="136"/>
  <c r="AH11" i="84"/>
  <c r="C64" i="96"/>
  <c r="C83" i="96"/>
  <c r="I25" i="136"/>
  <c r="W25" i="96"/>
  <c r="Z25" i="96"/>
  <c r="S25" i="136"/>
  <c r="I55" i="136"/>
  <c r="I69" i="136"/>
  <c r="W21" i="96"/>
  <c r="Z21" i="96"/>
  <c r="S21" i="136"/>
  <c r="C72" i="96"/>
  <c r="C76" i="96"/>
  <c r="W80" i="96"/>
  <c r="Z80" i="96"/>
  <c r="S80" i="136"/>
  <c r="I80" i="136"/>
  <c r="W16" i="96"/>
  <c r="Z16" i="96"/>
  <c r="S16" i="136"/>
  <c r="O81" i="136"/>
  <c r="P81" i="136"/>
  <c r="F88" i="96"/>
  <c r="AH7" i="84"/>
  <c r="AH6" i="84" s="1"/>
  <c r="AH19" i="84" s="1"/>
  <c r="O69" i="136"/>
  <c r="P69" i="136"/>
  <c r="W74" i="96"/>
  <c r="Z74" i="96"/>
  <c r="S74" i="136"/>
  <c r="J75" i="136"/>
  <c r="K75" i="136"/>
  <c r="O31" i="136"/>
  <c r="P31" i="136"/>
  <c r="O68" i="136"/>
  <c r="P68" i="136"/>
  <c r="O9" i="160"/>
  <c r="O91" i="160"/>
  <c r="O13" i="136"/>
  <c r="P13" i="136"/>
  <c r="C33" i="96"/>
  <c r="W33" i="96"/>
  <c r="Z33" i="96"/>
  <c r="S33" i="136"/>
  <c r="I33" i="136"/>
  <c r="C34" i="96"/>
  <c r="W34" i="96"/>
  <c r="AV12" i="91"/>
  <c r="D31" i="154"/>
  <c r="D17" i="154"/>
  <c r="W76" i="96"/>
  <c r="Z76" i="96"/>
  <c r="S76" i="136"/>
  <c r="I76" i="136"/>
  <c r="J76" i="136"/>
  <c r="K76" i="136"/>
  <c r="I40" i="136"/>
  <c r="W40" i="96"/>
  <c r="Z40" i="96"/>
  <c r="S40" i="136"/>
  <c r="I72" i="136"/>
  <c r="W72" i="96"/>
  <c r="Z72" i="96"/>
  <c r="S72" i="136"/>
  <c r="I22" i="136"/>
  <c r="W22" i="96"/>
  <c r="Z22" i="96"/>
  <c r="S22" i="136"/>
  <c r="C88" i="96"/>
  <c r="I83" i="136"/>
  <c r="J83" i="136"/>
  <c r="K83" i="136"/>
  <c r="W83" i="96"/>
  <c r="Z83" i="96"/>
  <c r="S83" i="136"/>
  <c r="I34" i="136"/>
  <c r="I64" i="136"/>
  <c r="W64" i="96"/>
  <c r="Z64" i="96"/>
  <c r="S64" i="136"/>
  <c r="N38" i="141"/>
  <c r="O38" i="141"/>
  <c r="W6" i="96"/>
  <c r="Z6" i="96"/>
  <c r="S6" i="136"/>
  <c r="S88" i="136"/>
  <c r="AH18" i="84"/>
  <c r="I6" i="136"/>
  <c r="I58" i="136"/>
  <c r="W58" i="96"/>
  <c r="Z58" i="96"/>
  <c r="S58" i="136"/>
  <c r="W44" i="96"/>
  <c r="Z44" i="96"/>
  <c r="S44" i="136"/>
  <c r="I44" i="136"/>
  <c r="Z34" i="96"/>
  <c r="W88" i="96"/>
  <c r="AH20" i="84"/>
  <c r="P38" i="141"/>
  <c r="O39" i="141"/>
  <c r="Z89" i="96"/>
  <c r="S34" i="136"/>
  <c r="AJ70" i="91"/>
  <c r="Q61" i="136"/>
  <c r="AJ69" i="91"/>
  <c r="Q60" i="136"/>
  <c r="Q52" i="136"/>
  <c r="AJ60" i="91"/>
  <c r="Q51" i="136"/>
  <c r="Q79" i="136"/>
  <c r="Q63" i="136"/>
  <c r="V26" i="115"/>
  <c r="Z19" i="115"/>
  <c r="AV40" i="91"/>
  <c r="AV13" i="91"/>
  <c r="J49" i="136"/>
  <c r="K49" i="136"/>
  <c r="O51" i="136"/>
  <c r="P51" i="136"/>
  <c r="O46" i="136"/>
  <c r="P46" i="136"/>
  <c r="O23" i="136"/>
  <c r="P23" i="136"/>
  <c r="J67" i="136"/>
  <c r="K67" i="136"/>
  <c r="J17" i="136"/>
  <c r="K17" i="136"/>
  <c r="J82" i="136"/>
  <c r="K82" i="136"/>
  <c r="J35" i="136"/>
  <c r="K35" i="136"/>
  <c r="J24" i="136"/>
  <c r="J57" i="136"/>
  <c r="K57" i="136"/>
  <c r="J44" i="136"/>
  <c r="K44" i="136"/>
  <c r="J62" i="136"/>
  <c r="J45" i="136"/>
  <c r="J12" i="136"/>
  <c r="K12" i="136"/>
  <c r="J8" i="136"/>
  <c r="K8" i="136"/>
  <c r="X19" i="115"/>
  <c r="R24" i="115"/>
  <c r="V19" i="115"/>
  <c r="AF23" i="115"/>
  <c r="K62" i="136"/>
  <c r="AV64" i="91"/>
  <c r="Q87" i="136"/>
  <c r="AV80" i="91"/>
  <c r="AV72" i="91"/>
  <c r="AV88" i="91"/>
  <c r="D97" i="91"/>
  <c r="AJ9" i="82"/>
  <c r="AV25" i="91"/>
  <c r="K24" i="136"/>
  <c r="AV41" i="91"/>
  <c r="G13" i="136"/>
  <c r="J13" i="136"/>
  <c r="AV17" i="91"/>
  <c r="Q30" i="136"/>
  <c r="G30" i="136"/>
  <c r="G15" i="136"/>
  <c r="G38" i="136"/>
  <c r="J38" i="136"/>
  <c r="K38" i="136"/>
  <c r="K13" i="136"/>
  <c r="K29" i="136"/>
  <c r="K37" i="136"/>
  <c r="J58" i="136"/>
  <c r="K58" i="136"/>
  <c r="T85" i="136"/>
  <c r="U85" i="136"/>
  <c r="L88" i="136"/>
  <c r="J80" i="136"/>
  <c r="K80" i="136"/>
  <c r="J18" i="136"/>
  <c r="D18" i="136"/>
  <c r="J68" i="136"/>
  <c r="T39" i="136"/>
  <c r="U39" i="136"/>
  <c r="U26" i="136"/>
  <c r="J31" i="136"/>
  <c r="K31" i="136"/>
  <c r="AQ97" i="91"/>
  <c r="U21" i="136"/>
  <c r="I88" i="136"/>
  <c r="C97" i="91"/>
  <c r="K45" i="136"/>
  <c r="K36" i="136"/>
  <c r="K18" i="136"/>
  <c r="K42" i="136"/>
  <c r="G88" i="136"/>
  <c r="AH97" i="91"/>
  <c r="AJ27" i="82"/>
  <c r="AJ78" i="91"/>
  <c r="Q69" i="136"/>
  <c r="AV97" i="91"/>
  <c r="Q64" i="136"/>
  <c r="P10" i="136"/>
  <c r="AJ97" i="91"/>
  <c r="AJ25" i="82"/>
  <c r="Q88" i="136"/>
  <c r="AB21" i="115"/>
  <c r="AB19" i="115"/>
  <c r="AD22" i="115"/>
  <c r="AD20" i="115"/>
  <c r="S34" i="115"/>
  <c r="S35" i="115" s="1"/>
  <c r="S36" i="115" s="1"/>
  <c r="V25" i="115"/>
  <c r="X13" i="115"/>
  <c r="I27" i="115"/>
  <c r="J38" i="115"/>
  <c r="V28" i="115"/>
  <c r="X24" i="115"/>
  <c r="P87" i="109"/>
  <c r="K94" i="111"/>
  <c r="P59" i="136"/>
  <c r="D59" i="136"/>
  <c r="C59" i="136"/>
  <c r="F59" i="136"/>
  <c r="AX68" i="91"/>
  <c r="AZ68" i="91"/>
  <c r="U81" i="136"/>
  <c r="D81" i="136"/>
  <c r="C81" i="136"/>
  <c r="F81" i="136"/>
  <c r="AX90" i="91"/>
  <c r="AZ90" i="91"/>
  <c r="O93" i="95"/>
  <c r="H32" i="136"/>
  <c r="J32" i="136"/>
  <c r="K32" i="136"/>
  <c r="Q61" i="95"/>
  <c r="R56" i="136"/>
  <c r="T56" i="136"/>
  <c r="D56" i="136"/>
  <c r="Q7" i="95"/>
  <c r="R7" i="136"/>
  <c r="T7" i="136"/>
  <c r="U7" i="136"/>
  <c r="Q80" i="95"/>
  <c r="R75" i="136"/>
  <c r="T75" i="136"/>
  <c r="U75" i="136"/>
  <c r="P41" i="95"/>
  <c r="Q41" i="95"/>
  <c r="R41" i="136"/>
  <c r="T41" i="136"/>
  <c r="U41" i="136"/>
  <c r="P74" i="95"/>
  <c r="Q74" i="95"/>
  <c r="R69" i="136"/>
  <c r="T69" i="136"/>
  <c r="U69" i="136"/>
  <c r="Q52" i="95"/>
  <c r="R47" i="136"/>
  <c r="T47" i="136"/>
  <c r="U47" i="136"/>
  <c r="P55" i="95"/>
  <c r="Q62" i="95"/>
  <c r="R57" i="136"/>
  <c r="T57" i="136"/>
  <c r="U57" i="136"/>
  <c r="P27" i="95"/>
  <c r="Q27" i="95"/>
  <c r="R27" i="136"/>
  <c r="T27" i="136"/>
  <c r="U27" i="136"/>
  <c r="Q53" i="95"/>
  <c r="R48" i="136"/>
  <c r="T48" i="136"/>
  <c r="U48" i="136"/>
  <c r="Q25" i="95"/>
  <c r="R25" i="136"/>
  <c r="T25" i="136"/>
  <c r="D25" i="136"/>
  <c r="C25" i="136"/>
  <c r="F25" i="136"/>
  <c r="AX27" i="91"/>
  <c r="AZ27" i="91"/>
  <c r="Q66" i="95"/>
  <c r="R61" i="136"/>
  <c r="T61" i="136"/>
  <c r="U61" i="136"/>
  <c r="M7" i="136"/>
  <c r="O7" i="136"/>
  <c r="P7" i="136"/>
  <c r="H60" i="136"/>
  <c r="J60" i="136"/>
  <c r="K60" i="136"/>
  <c r="Q54" i="95"/>
  <c r="R49" i="136"/>
  <c r="T49" i="136"/>
  <c r="N93" i="95"/>
  <c r="P69" i="95"/>
  <c r="Q69" i="95"/>
  <c r="R64" i="136"/>
  <c r="T64" i="136"/>
  <c r="D64" i="136"/>
  <c r="U83" i="136"/>
  <c r="D83" i="136"/>
  <c r="K69" i="136"/>
  <c r="Q75" i="95"/>
  <c r="R70" i="136"/>
  <c r="T70" i="136"/>
  <c r="U70" i="136"/>
  <c r="E81" i="136"/>
  <c r="D54" i="136"/>
  <c r="E54" i="136"/>
  <c r="H15" i="136"/>
  <c r="J15" i="136"/>
  <c r="K15" i="136"/>
  <c r="H78" i="136"/>
  <c r="J78" i="136"/>
  <c r="K78" i="136"/>
  <c r="Q30" i="95"/>
  <c r="R30" i="136"/>
  <c r="T30" i="136"/>
  <c r="U30" i="136"/>
  <c r="Q89" i="95"/>
  <c r="R84" i="136"/>
  <c r="T84" i="136"/>
  <c r="Q40" i="95"/>
  <c r="R40" i="136"/>
  <c r="T40" i="136"/>
  <c r="Q35" i="95"/>
  <c r="R35" i="136"/>
  <c r="T35" i="136"/>
  <c r="U35" i="136"/>
  <c r="Q11" i="95"/>
  <c r="R11" i="136"/>
  <c r="T11" i="136"/>
  <c r="U11" i="136"/>
  <c r="Q45" i="95"/>
  <c r="R45" i="136"/>
  <c r="T45" i="136"/>
  <c r="Q85" i="95"/>
  <c r="R80" i="136"/>
  <c r="T80" i="136"/>
  <c r="U80" i="136"/>
  <c r="Q60" i="95"/>
  <c r="R55" i="136"/>
  <c r="T55" i="136"/>
  <c r="D55" i="136"/>
  <c r="Q31" i="95"/>
  <c r="R31" i="136"/>
  <c r="T31" i="136"/>
  <c r="U31" i="136"/>
  <c r="H19" i="136"/>
  <c r="J19" i="136"/>
  <c r="K19" i="136"/>
  <c r="Q76" i="95"/>
  <c r="R71" i="136"/>
  <c r="T71" i="136"/>
  <c r="H22" i="136"/>
  <c r="J22" i="136"/>
  <c r="K22" i="136"/>
  <c r="P43" i="95"/>
  <c r="Q43" i="95"/>
  <c r="R43" i="136"/>
  <c r="T43" i="136"/>
  <c r="D43" i="136"/>
  <c r="H10" i="136"/>
  <c r="J10" i="136"/>
  <c r="K10" i="136"/>
  <c r="Q84" i="95"/>
  <c r="R79" i="136"/>
  <c r="T79" i="136"/>
  <c r="U79" i="136"/>
  <c r="Q55" i="95"/>
  <c r="R50" i="136"/>
  <c r="T50" i="136"/>
  <c r="U50" i="136"/>
  <c r="C93" i="95"/>
  <c r="H14" i="136"/>
  <c r="J14" i="136"/>
  <c r="D14" i="136"/>
  <c r="H48" i="136"/>
  <c r="J48" i="136"/>
  <c r="K48" i="136"/>
  <c r="Q20" i="95"/>
  <c r="R20" i="136"/>
  <c r="T20" i="136"/>
  <c r="U20" i="136"/>
  <c r="P58" i="95"/>
  <c r="Q58" i="95"/>
  <c r="R53" i="136"/>
  <c r="T53" i="136"/>
  <c r="D53" i="136"/>
  <c r="Q73" i="95"/>
  <c r="R68" i="136"/>
  <c r="T68" i="136"/>
  <c r="U68" i="136"/>
  <c r="Q33" i="95"/>
  <c r="R33" i="136"/>
  <c r="T33" i="136"/>
  <c r="U33" i="136"/>
  <c r="Q28" i="95"/>
  <c r="R28" i="136"/>
  <c r="T28" i="136"/>
  <c r="U28" i="136"/>
  <c r="AG24" i="83"/>
  <c r="AG5" i="83"/>
  <c r="AG6" i="83"/>
  <c r="C18" i="136"/>
  <c r="F18" i="136"/>
  <c r="AX20" i="91"/>
  <c r="AZ20" i="91"/>
  <c r="E18" i="136"/>
  <c r="U84" i="136"/>
  <c r="D84" i="136"/>
  <c r="C84" i="136"/>
  <c r="F84" i="136"/>
  <c r="AX93" i="91"/>
  <c r="AZ93" i="91"/>
  <c r="P72" i="136"/>
  <c r="P67" i="136"/>
  <c r="D67" i="136"/>
  <c r="K26" i="136"/>
  <c r="D26" i="136"/>
  <c r="K21" i="136"/>
  <c r="D21" i="136"/>
  <c r="U55" i="136"/>
  <c r="P28" i="136"/>
  <c r="U71" i="136"/>
  <c r="D71" i="136"/>
  <c r="E71" i="136"/>
  <c r="D32" i="136"/>
  <c r="C32" i="136"/>
  <c r="F32" i="136"/>
  <c r="AX34" i="91"/>
  <c r="AZ34" i="91"/>
  <c r="U32" i="136"/>
  <c r="K23" i="136"/>
  <c r="D23" i="136"/>
  <c r="E23" i="136"/>
  <c r="D41" i="136"/>
  <c r="C41" i="136"/>
  <c r="F41" i="136"/>
  <c r="AX43" i="91"/>
  <c r="AZ43" i="91"/>
  <c r="Q10" i="95"/>
  <c r="R10" i="136"/>
  <c r="T10" i="136"/>
  <c r="U10" i="136"/>
  <c r="Q16" i="95"/>
  <c r="R16" i="136"/>
  <c r="T16" i="136"/>
  <c r="U16" i="136"/>
  <c r="D31" i="136"/>
  <c r="Q42" i="95"/>
  <c r="R42" i="136"/>
  <c r="T42" i="136"/>
  <c r="U42" i="136"/>
  <c r="Q38" i="95"/>
  <c r="R38" i="136"/>
  <c r="T38" i="136"/>
  <c r="U38" i="136"/>
  <c r="Q36" i="95"/>
  <c r="R36" i="136"/>
  <c r="T36" i="136"/>
  <c r="U36" i="136"/>
  <c r="K68" i="136"/>
  <c r="Q63" i="95"/>
  <c r="R58" i="136"/>
  <c r="T58" i="136"/>
  <c r="Q22" i="95"/>
  <c r="R22" i="136"/>
  <c r="T22" i="136"/>
  <c r="U22" i="136"/>
  <c r="Q17" i="95"/>
  <c r="R17" i="136"/>
  <c r="T17" i="136"/>
  <c r="U17" i="136"/>
  <c r="Q77" i="95"/>
  <c r="R72" i="136"/>
  <c r="T72" i="136"/>
  <c r="U72" i="136"/>
  <c r="Q71" i="95"/>
  <c r="R66" i="136"/>
  <c r="T66" i="136"/>
  <c r="U66" i="136"/>
  <c r="Q12" i="95"/>
  <c r="R12" i="136"/>
  <c r="T12" i="136"/>
  <c r="U12" i="136"/>
  <c r="Q8" i="95"/>
  <c r="R8" i="136"/>
  <c r="T8" i="136"/>
  <c r="Q78" i="95"/>
  <c r="R73" i="136"/>
  <c r="T73" i="136"/>
  <c r="D50" i="136"/>
  <c r="C50" i="136"/>
  <c r="F50" i="136"/>
  <c r="AX59" i="91"/>
  <c r="AZ59" i="91"/>
  <c r="E59" i="136"/>
  <c r="D65" i="136"/>
  <c r="J6" i="136"/>
  <c r="K6" i="136"/>
  <c r="Q19" i="95"/>
  <c r="R19" i="136"/>
  <c r="T19" i="136"/>
  <c r="U19" i="136"/>
  <c r="Q15" i="95"/>
  <c r="R15" i="136"/>
  <c r="T15" i="136"/>
  <c r="E41" i="136"/>
  <c r="E32" i="136"/>
  <c r="U76" i="136"/>
  <c r="D76" i="136"/>
  <c r="U78" i="136"/>
  <c r="U46" i="136"/>
  <c r="D46" i="136"/>
  <c r="C65" i="136"/>
  <c r="F65" i="136"/>
  <c r="AX74" i="91"/>
  <c r="AZ74" i="91"/>
  <c r="E65" i="136"/>
  <c r="P11" i="136"/>
  <c r="U64" i="136"/>
  <c r="D85" i="136"/>
  <c r="D44" i="136"/>
  <c r="U44" i="136"/>
  <c r="D82" i="136"/>
  <c r="P82" i="136"/>
  <c r="D49" i="136"/>
  <c r="U49" i="136"/>
  <c r="P24" i="136"/>
  <c r="D79" i="136"/>
  <c r="D29" i="136"/>
  <c r="K70" i="136"/>
  <c r="D70" i="136"/>
  <c r="D30" i="136"/>
  <c r="K30" i="136"/>
  <c r="K7" i="136"/>
  <c r="K14" i="136"/>
  <c r="K77" i="136"/>
  <c r="D77" i="136"/>
  <c r="P52" i="136"/>
  <c r="D52" i="136"/>
  <c r="D39" i="136"/>
  <c r="D35" i="136"/>
  <c r="D66" i="136"/>
  <c r="P66" i="136"/>
  <c r="P61" i="136"/>
  <c r="D61" i="136"/>
  <c r="D57" i="136"/>
  <c r="P57" i="136"/>
  <c r="U56" i="136"/>
  <c r="AG29" i="83"/>
  <c r="AG11" i="83"/>
  <c r="AG21" i="83"/>
  <c r="AG13" i="83"/>
  <c r="AI18" i="115"/>
  <c r="AG30" i="83"/>
  <c r="AG12" i="83"/>
  <c r="C54" i="136"/>
  <c r="F54" i="136"/>
  <c r="AX63" i="91"/>
  <c r="AZ63" i="91"/>
  <c r="P17" i="136"/>
  <c r="P37" i="136"/>
  <c r="D37" i="136"/>
  <c r="D47" i="136"/>
  <c r="P47" i="136"/>
  <c r="U13" i="136"/>
  <c r="D13" i="136"/>
  <c r="D63" i="136"/>
  <c r="D51" i="136"/>
  <c r="D86" i="136"/>
  <c r="P34" i="136"/>
  <c r="D34" i="136"/>
  <c r="D75" i="136"/>
  <c r="P75" i="136"/>
  <c r="K9" i="136"/>
  <c r="D9" i="136"/>
  <c r="D45" i="136"/>
  <c r="U45" i="136"/>
  <c r="P62" i="136"/>
  <c r="D62" i="136"/>
  <c r="D74" i="136"/>
  <c r="K74" i="136"/>
  <c r="K27" i="136"/>
  <c r="O6" i="136"/>
  <c r="M88" i="136"/>
  <c r="Q65" i="95"/>
  <c r="R60" i="136"/>
  <c r="T60" i="136"/>
  <c r="Q24" i="95"/>
  <c r="R24" i="136"/>
  <c r="T24" i="136"/>
  <c r="C55" i="136"/>
  <c r="F55" i="136"/>
  <c r="AX64" i="91"/>
  <c r="AZ64" i="91"/>
  <c r="E55" i="136"/>
  <c r="C64" i="136"/>
  <c r="F64" i="136"/>
  <c r="AX73" i="91"/>
  <c r="AZ73" i="91"/>
  <c r="E64" i="136"/>
  <c r="D27" i="136"/>
  <c r="D20" i="136"/>
  <c r="E20" i="136"/>
  <c r="D12" i="136"/>
  <c r="E84" i="136"/>
  <c r="D22" i="136"/>
  <c r="C22" i="136"/>
  <c r="F22" i="136"/>
  <c r="AX24" i="91"/>
  <c r="AZ24" i="91"/>
  <c r="D48" i="136"/>
  <c r="E48" i="136"/>
  <c r="D33" i="136"/>
  <c r="U25" i="136"/>
  <c r="D7" i="136"/>
  <c r="D80" i="136"/>
  <c r="C80" i="136"/>
  <c r="F80" i="136"/>
  <c r="AX89" i="91"/>
  <c r="AZ89" i="91"/>
  <c r="D78" i="136"/>
  <c r="D28" i="136"/>
  <c r="C28" i="136"/>
  <c r="F28" i="136"/>
  <c r="AX30" i="91"/>
  <c r="AZ30" i="91"/>
  <c r="D72" i="136"/>
  <c r="E72" i="136"/>
  <c r="D69" i="136"/>
  <c r="E43" i="136"/>
  <c r="C43" i="136"/>
  <c r="F43" i="136"/>
  <c r="AX45" i="91"/>
  <c r="AZ45" i="91"/>
  <c r="C20" i="136"/>
  <c r="F20" i="136"/>
  <c r="AX22" i="91"/>
  <c r="AZ22" i="91"/>
  <c r="D11" i="136"/>
  <c r="C11" i="136"/>
  <c r="F11" i="136"/>
  <c r="AX13" i="91"/>
  <c r="AZ13" i="91"/>
  <c r="U43" i="136"/>
  <c r="U40" i="136"/>
  <c r="D40" i="136"/>
  <c r="D10" i="136"/>
  <c r="C10" i="136"/>
  <c r="F10" i="136"/>
  <c r="AX12" i="91"/>
  <c r="AZ12" i="91"/>
  <c r="D16" i="136"/>
  <c r="D68" i="136"/>
  <c r="H88" i="136"/>
  <c r="U53" i="136"/>
  <c r="C23" i="136"/>
  <c r="F23" i="136"/>
  <c r="AX25" i="91"/>
  <c r="AZ25" i="91"/>
  <c r="E25" i="136"/>
  <c r="E50" i="136"/>
  <c r="C83" i="136"/>
  <c r="F83" i="136"/>
  <c r="AX92" i="91"/>
  <c r="AZ92" i="91"/>
  <c r="E83" i="136"/>
  <c r="P93" i="95"/>
  <c r="AG40" i="83"/>
  <c r="C33" i="136"/>
  <c r="F33" i="136"/>
  <c r="AX35" i="91"/>
  <c r="AZ35" i="91"/>
  <c r="E33" i="136"/>
  <c r="C26" i="136"/>
  <c r="F26" i="136"/>
  <c r="AX28" i="91"/>
  <c r="AZ28" i="91"/>
  <c r="E26" i="136"/>
  <c r="D17" i="136"/>
  <c r="C17" i="136"/>
  <c r="F17" i="136"/>
  <c r="AX19" i="91"/>
  <c r="AZ19" i="91"/>
  <c r="C71" i="136"/>
  <c r="F71" i="136"/>
  <c r="AX80" i="91"/>
  <c r="AZ80" i="91"/>
  <c r="D19" i="136"/>
  <c r="C19" i="136"/>
  <c r="F19" i="136"/>
  <c r="AX21" i="91"/>
  <c r="AZ21" i="91"/>
  <c r="E31" i="136"/>
  <c r="C31" i="136"/>
  <c r="F31" i="136"/>
  <c r="AX33" i="91"/>
  <c r="AZ33" i="91"/>
  <c r="J88" i="136"/>
  <c r="E53" i="136"/>
  <c r="C53" i="136"/>
  <c r="F53" i="136"/>
  <c r="AX62" i="91"/>
  <c r="AZ62" i="91"/>
  <c r="Q93" i="95"/>
  <c r="D42" i="136"/>
  <c r="E42" i="136"/>
  <c r="E28" i="136"/>
  <c r="D38" i="136"/>
  <c r="E38" i="136"/>
  <c r="R88" i="136"/>
  <c r="U58" i="136"/>
  <c r="D58" i="136"/>
  <c r="C72" i="136"/>
  <c r="F72" i="136"/>
  <c r="AX81" i="91"/>
  <c r="AZ81" i="91"/>
  <c r="E67" i="136"/>
  <c r="C67" i="136"/>
  <c r="F67" i="136"/>
  <c r="AX76" i="91"/>
  <c r="AZ76" i="91"/>
  <c r="D36" i="136"/>
  <c r="E36" i="136"/>
  <c r="D73" i="136"/>
  <c r="U73" i="136"/>
  <c r="D15" i="136"/>
  <c r="U15" i="136"/>
  <c r="U8" i="136"/>
  <c r="D8" i="136"/>
  <c r="C21" i="136"/>
  <c r="F21" i="136"/>
  <c r="AX23" i="91"/>
  <c r="AZ23" i="91"/>
  <c r="E21" i="136"/>
  <c r="E34" i="136"/>
  <c r="C34" i="136"/>
  <c r="F34" i="136"/>
  <c r="AX36" i="91"/>
  <c r="AZ36" i="91"/>
  <c r="C42" i="136"/>
  <c r="F42" i="136"/>
  <c r="AX44" i="91"/>
  <c r="AZ44" i="91"/>
  <c r="E35" i="136"/>
  <c r="C35" i="136"/>
  <c r="F35" i="136"/>
  <c r="AX37" i="91"/>
  <c r="AZ37" i="91"/>
  <c r="E29" i="136"/>
  <c r="C29" i="136"/>
  <c r="F29" i="136"/>
  <c r="AX31" i="91"/>
  <c r="AZ31" i="91"/>
  <c r="C85" i="136"/>
  <c r="F85" i="136"/>
  <c r="AX94" i="91"/>
  <c r="AZ94" i="91"/>
  <c r="E85" i="136"/>
  <c r="E27" i="136"/>
  <c r="C27" i="136"/>
  <c r="F27" i="136"/>
  <c r="AX29" i="91"/>
  <c r="AZ29" i="91"/>
  <c r="C79" i="136"/>
  <c r="F79" i="136"/>
  <c r="AX88" i="91"/>
  <c r="AZ88" i="91"/>
  <c r="E79" i="136"/>
  <c r="C82" i="136"/>
  <c r="F82" i="136"/>
  <c r="AX91" i="91"/>
  <c r="AZ91" i="91"/>
  <c r="E82" i="136"/>
  <c r="E12" i="136"/>
  <c r="C12" i="136"/>
  <c r="F12" i="136"/>
  <c r="AX14" i="91"/>
  <c r="AZ14" i="91"/>
  <c r="E86" i="136"/>
  <c r="C86" i="136"/>
  <c r="F86" i="136"/>
  <c r="AX95" i="91"/>
  <c r="AZ95" i="91"/>
  <c r="C37" i="136"/>
  <c r="F37" i="136"/>
  <c r="AX39" i="91"/>
  <c r="AZ39" i="91"/>
  <c r="E37" i="136"/>
  <c r="E57" i="136"/>
  <c r="C57" i="136"/>
  <c r="F57" i="136"/>
  <c r="AX66" i="91"/>
  <c r="AZ66" i="91"/>
  <c r="C30" i="136"/>
  <c r="F30" i="136"/>
  <c r="AX32" i="91"/>
  <c r="AZ32" i="91"/>
  <c r="E30" i="136"/>
  <c r="C77" i="136"/>
  <c r="F77" i="136"/>
  <c r="AX86" i="91"/>
  <c r="AZ86" i="91"/>
  <c r="E77" i="136"/>
  <c r="E14" i="136"/>
  <c r="C14" i="136"/>
  <c r="F14" i="136"/>
  <c r="AX16" i="91"/>
  <c r="AZ16" i="91"/>
  <c r="E46" i="136"/>
  <c r="C46" i="136"/>
  <c r="F46" i="136"/>
  <c r="AX55" i="91"/>
  <c r="AZ55" i="91"/>
  <c r="U24" i="136"/>
  <c r="T88" i="136"/>
  <c r="AI26" i="115"/>
  <c r="E74" i="136"/>
  <c r="C74" i="136"/>
  <c r="F74" i="136"/>
  <c r="AX83" i="91"/>
  <c r="AZ83" i="91"/>
  <c r="E22" i="136"/>
  <c r="E11" i="136"/>
  <c r="C13" i="136"/>
  <c r="F13" i="136"/>
  <c r="AX15" i="91"/>
  <c r="AZ15" i="91"/>
  <c r="E13" i="136"/>
  <c r="E66" i="136"/>
  <c r="C66" i="136"/>
  <c r="F66" i="136"/>
  <c r="AX75" i="91"/>
  <c r="AZ75" i="91"/>
  <c r="E49" i="136"/>
  <c r="C49" i="136"/>
  <c r="F49" i="136"/>
  <c r="AX58" i="91"/>
  <c r="AZ58" i="91"/>
  <c r="P6" i="136"/>
  <c r="D6" i="136"/>
  <c r="O88" i="136"/>
  <c r="E45" i="136"/>
  <c r="C45" i="136"/>
  <c r="F45" i="136"/>
  <c r="AX47" i="91"/>
  <c r="AZ47" i="91"/>
  <c r="E10" i="136"/>
  <c r="C56" i="136"/>
  <c r="F56" i="136"/>
  <c r="AX65" i="91"/>
  <c r="AZ65" i="91"/>
  <c r="E56" i="136"/>
  <c r="E39" i="136"/>
  <c r="C39" i="136"/>
  <c r="F39" i="136"/>
  <c r="AX41" i="91"/>
  <c r="AZ41" i="91"/>
  <c r="AG38" i="83"/>
  <c r="AG20" i="83"/>
  <c r="AG22" i="83"/>
  <c r="E47" i="136"/>
  <c r="C47" i="136"/>
  <c r="F47" i="136"/>
  <c r="AX56" i="91"/>
  <c r="AZ56" i="91"/>
  <c r="E52" i="136"/>
  <c r="C52" i="136"/>
  <c r="F52" i="136"/>
  <c r="AX61" i="91"/>
  <c r="AZ61" i="91"/>
  <c r="E76" i="136"/>
  <c r="C76" i="136"/>
  <c r="F76" i="136"/>
  <c r="AX85" i="91"/>
  <c r="AZ85" i="91"/>
  <c r="AG39" i="83"/>
  <c r="C9" i="136"/>
  <c r="F9" i="136"/>
  <c r="AX11" i="91"/>
  <c r="AZ11" i="91"/>
  <c r="E9" i="136"/>
  <c r="E51" i="136"/>
  <c r="C51" i="136"/>
  <c r="F51" i="136"/>
  <c r="AX60" i="91"/>
  <c r="AZ60" i="91"/>
  <c r="E61" i="136"/>
  <c r="C61" i="136"/>
  <c r="F61" i="136"/>
  <c r="AX70" i="91"/>
  <c r="AZ70" i="91"/>
  <c r="E70" i="136"/>
  <c r="C70" i="136"/>
  <c r="F70" i="136"/>
  <c r="AX79" i="91"/>
  <c r="AZ79" i="91"/>
  <c r="C44" i="136"/>
  <c r="F44" i="136"/>
  <c r="AX46" i="91"/>
  <c r="AZ46" i="91"/>
  <c r="E44" i="136"/>
  <c r="U60" i="136"/>
  <c r="D60" i="136"/>
  <c r="E62" i="136"/>
  <c r="C62" i="136"/>
  <c r="F62" i="136"/>
  <c r="AX71" i="91"/>
  <c r="AZ71" i="91"/>
  <c r="E63" i="136"/>
  <c r="C63" i="136"/>
  <c r="F63" i="136"/>
  <c r="AX72" i="91"/>
  <c r="AZ72" i="91"/>
  <c r="E17" i="136"/>
  <c r="E19" i="136"/>
  <c r="D24" i="136"/>
  <c r="E16" i="136"/>
  <c r="C16" i="136"/>
  <c r="F16" i="136"/>
  <c r="AX18" i="91"/>
  <c r="AZ18" i="91"/>
  <c r="E75" i="136"/>
  <c r="C75" i="136"/>
  <c r="F75" i="136"/>
  <c r="AX84" i="91"/>
  <c r="AZ84" i="91"/>
  <c r="E78" i="136"/>
  <c r="C78" i="136"/>
  <c r="F78" i="136"/>
  <c r="AX87" i="91"/>
  <c r="AZ87" i="91"/>
  <c r="E7" i="136"/>
  <c r="C7" i="136"/>
  <c r="F7" i="136"/>
  <c r="AX9" i="91"/>
  <c r="AZ9" i="91"/>
  <c r="C48" i="136"/>
  <c r="F48" i="136"/>
  <c r="AX57" i="91"/>
  <c r="AZ57" i="91"/>
  <c r="E80" i="136"/>
  <c r="E69" i="136"/>
  <c r="C69" i="136"/>
  <c r="F69" i="136"/>
  <c r="AX78" i="91"/>
  <c r="AZ78" i="91"/>
  <c r="C40" i="136"/>
  <c r="F40" i="136"/>
  <c r="AX42" i="91"/>
  <c r="AZ42" i="91"/>
  <c r="E40" i="136"/>
  <c r="C38" i="136"/>
  <c r="F38" i="136"/>
  <c r="AX40" i="91"/>
  <c r="AZ40" i="91"/>
  <c r="C36" i="136"/>
  <c r="F36" i="136"/>
  <c r="AX38" i="91"/>
  <c r="AZ38" i="91"/>
  <c r="C68" i="136"/>
  <c r="F68" i="136"/>
  <c r="AX77" i="91"/>
  <c r="AZ77" i="91"/>
  <c r="E68" i="136"/>
  <c r="D88" i="136"/>
  <c r="C73" i="136"/>
  <c r="F73" i="136"/>
  <c r="AX82" i="91"/>
  <c r="AZ82" i="91"/>
  <c r="E73" i="136"/>
  <c r="E8" i="136"/>
  <c r="C8" i="136"/>
  <c r="F8" i="136"/>
  <c r="AX10" i="91"/>
  <c r="AZ10" i="91"/>
  <c r="E15" i="136"/>
  <c r="C15" i="136"/>
  <c r="F15" i="136"/>
  <c r="AX17" i="91"/>
  <c r="AZ17" i="91"/>
  <c r="C58" i="136"/>
  <c r="F58" i="136"/>
  <c r="AX67" i="91"/>
  <c r="AZ67" i="91"/>
  <c r="E58" i="136"/>
  <c r="C6" i="136"/>
  <c r="F6" i="136"/>
  <c r="E6" i="136"/>
  <c r="C88" i="136"/>
  <c r="AI34" i="115"/>
  <c r="AI35" i="115" s="1"/>
  <c r="AI36" i="115" s="1"/>
  <c r="E60" i="136"/>
  <c r="C60" i="136"/>
  <c r="F60" i="136"/>
  <c r="AX69" i="91"/>
  <c r="AZ69" i="91"/>
  <c r="C24" i="136"/>
  <c r="F24" i="136"/>
  <c r="AX26" i="91"/>
  <c r="AZ26" i="91"/>
  <c r="E24" i="136"/>
  <c r="AX8" i="91"/>
  <c r="AZ8" i="91"/>
  <c r="F88" i="136"/>
  <c r="AX97" i="91"/>
  <c r="AZ97" i="91"/>
  <c r="AW99" i="91"/>
  <c r="AI23" i="115"/>
  <c r="AI21" i="115"/>
  <c r="N8" i="141"/>
  <c r="O9" i="141"/>
  <c r="O8" i="141"/>
  <c r="P8" i="141"/>
  <c r="AG8" i="82"/>
  <c r="AI8" i="82"/>
  <c r="AC34" i="115"/>
  <c r="AF34" i="115" s="1"/>
  <c r="AG27" i="82"/>
  <c r="AF6" i="115"/>
  <c r="AD6" i="115"/>
  <c r="Y16" i="115"/>
  <c r="AA17" i="115"/>
  <c r="T34" i="115"/>
  <c r="AB18" i="115"/>
  <c r="Z26" i="115"/>
  <c r="Z24" i="115"/>
  <c r="R19" i="115"/>
  <c r="V9" i="115"/>
  <c r="T19" i="115"/>
  <c r="AD18" i="115"/>
  <c r="AC35" i="115"/>
  <c r="AC36" i="115" s="1"/>
  <c r="AJ14" i="82"/>
  <c r="C6" i="115"/>
  <c r="C17" i="115"/>
  <c r="P87" i="110" l="1"/>
  <c r="G94" i="104"/>
  <c r="N94" i="104"/>
  <c r="AI13" i="115"/>
  <c r="AJ26" i="82"/>
  <c r="AB17" i="115"/>
  <c r="M27" i="82"/>
  <c r="K27" i="82"/>
  <c r="U6" i="115"/>
  <c r="Q16" i="115"/>
  <c r="R16" i="115" s="1"/>
  <c r="Z22" i="115"/>
  <c r="X8" i="115"/>
  <c r="AD34" i="115"/>
  <c r="X10" i="115"/>
  <c r="AB24" i="115"/>
  <c r="Z21" i="115"/>
  <c r="AI19" i="115"/>
  <c r="Z25" i="115"/>
  <c r="AJ16" i="82"/>
  <c r="U16" i="115"/>
  <c r="U27" i="115" s="1"/>
  <c r="Q17" i="115"/>
  <c r="R17" i="115" s="1"/>
  <c r="AB25" i="115"/>
  <c r="M16" i="82"/>
  <c r="Y17" i="115"/>
  <c r="W17" i="115"/>
  <c r="X17" i="115" s="1"/>
  <c r="L26" i="82"/>
  <c r="S17" i="115"/>
  <c r="X26" i="115"/>
  <c r="V23" i="115"/>
  <c r="AI17" i="115"/>
  <c r="U35" i="115"/>
  <c r="U36" i="115" s="1"/>
  <c r="V34" i="115"/>
  <c r="X34" i="115"/>
  <c r="V6" i="115"/>
  <c r="X6" i="115"/>
  <c r="M30" i="84"/>
  <c r="O30" i="84"/>
  <c r="AA16" i="115"/>
  <c r="AB16" i="115" s="1"/>
  <c r="X7" i="115"/>
  <c r="Z17" i="115"/>
  <c r="V18" i="115"/>
  <c r="X20" i="115"/>
  <c r="T21" i="115"/>
  <c r="D20" i="84"/>
  <c r="Q20" i="84"/>
  <c r="AB19" i="84"/>
  <c r="F30" i="84"/>
  <c r="I11" i="84"/>
  <c r="X23" i="115"/>
  <c r="U11" i="84"/>
  <c r="E17" i="84"/>
  <c r="M35" i="84"/>
  <c r="X38" i="115"/>
  <c r="X21" i="115"/>
  <c r="S16" i="115"/>
  <c r="AI16" i="115"/>
  <c r="L28" i="115"/>
  <c r="U17" i="115"/>
  <c r="V17" i="115" s="1"/>
  <c r="L6" i="115"/>
  <c r="AC16" i="115"/>
  <c r="O34" i="115"/>
  <c r="W16" i="115"/>
  <c r="AF19" i="115"/>
  <c r="I35" i="84"/>
  <c r="G12" i="84"/>
  <c r="Q12" i="84"/>
  <c r="AE11" i="84"/>
  <c r="Q27" i="115"/>
  <c r="V7" i="115"/>
  <c r="AF21" i="115"/>
  <c r="AI7" i="115"/>
  <c r="AI6" i="115" s="1"/>
  <c r="AC17" i="115"/>
  <c r="AD26" i="115"/>
  <c r="T19" i="84"/>
  <c r="I24" i="84"/>
  <c r="S11" i="84"/>
  <c r="K11" i="84"/>
  <c r="R6" i="115"/>
  <c r="T17" i="115" l="1"/>
  <c r="P34" i="115"/>
  <c r="R34" i="115"/>
  <c r="O35" i="115"/>
  <c r="O36" i="115" s="1"/>
  <c r="AD17" i="115"/>
  <c r="AF17" i="115"/>
  <c r="AC27" i="115"/>
  <c r="AF16" i="115"/>
  <c r="AD16" i="115"/>
  <c r="E20" i="84"/>
  <c r="G20" i="84"/>
  <c r="AI27" i="115"/>
  <c r="S27" i="115"/>
  <c r="T16" i="115"/>
  <c r="V16" i="115"/>
  <c r="I30" i="84"/>
  <c r="G30" i="84"/>
  <c r="X16" i="115"/>
  <c r="Z16" i="115"/>
  <c r="H94" i="111"/>
  <c r="P6" i="111"/>
  <c r="P94" i="111" l="1"/>
</calcChain>
</file>

<file path=xl/sharedStrings.xml><?xml version="1.0" encoding="utf-8"?>
<sst xmlns="http://schemas.openxmlformats.org/spreadsheetml/2006/main" count="3259" uniqueCount="1272">
  <si>
    <t xml:space="preserve">ÜYE OLUNAN KURULUŞ FAALİYETLERİ     </t>
  </si>
  <si>
    <t xml:space="preserve"> AFYON</t>
  </si>
  <si>
    <t xml:space="preserve"> AĞRI</t>
  </si>
  <si>
    <t xml:space="preserve"> AMASYA</t>
  </si>
  <si>
    <t xml:space="preserve"> ANKARA</t>
  </si>
  <si>
    <t>DAİMİ</t>
  </si>
  <si>
    <t>MEVSİMLİK</t>
  </si>
  <si>
    <t>KAMU</t>
  </si>
  <si>
    <t>ÖZEL</t>
  </si>
  <si>
    <t>ERKEK</t>
  </si>
  <si>
    <t xml:space="preserve">    - BAĞIMLILAR</t>
  </si>
  <si>
    <t xml:space="preserve">    Toplam</t>
  </si>
  <si>
    <t>Adana</t>
  </si>
  <si>
    <t>Afyonkarahisar</t>
  </si>
  <si>
    <t>Amasya</t>
  </si>
  <si>
    <t>Ankara</t>
  </si>
  <si>
    <t>Antalya</t>
  </si>
  <si>
    <t xml:space="preserve"> -</t>
  </si>
  <si>
    <t>Social Security Coverage</t>
  </si>
  <si>
    <t xml:space="preserve">POSTA VE KURYE FAALİYETLERİ         </t>
  </si>
  <si>
    <t xml:space="preserve">KONAKLAMA                           </t>
  </si>
  <si>
    <t xml:space="preserve">YİYECEK VE İÇECEK HİZMETİ FAAL.     </t>
  </si>
  <si>
    <t xml:space="preserve">4 - Ölen Sigortalı (Dosya) </t>
  </si>
  <si>
    <t xml:space="preserve">1-  Zorunlu </t>
  </si>
  <si>
    <t>TÜRKİYE NÜFUSU (TÜİK ADNKS )</t>
  </si>
  <si>
    <t xml:space="preserve">BİLGİSAYAR VE KİŞİSEL EV EŞYA.ON. </t>
  </si>
  <si>
    <t>ESKİŞEHİR</t>
  </si>
  <si>
    <t xml:space="preserve">TÜTÜN ÜRÜNLERİ İMALATI              </t>
  </si>
  <si>
    <t xml:space="preserve">TEKSTİL ÜRÜNLERİ İMALATI            </t>
  </si>
  <si>
    <t xml:space="preserve"> Asgari Ücret Tutarının 2 katı kadar</t>
  </si>
  <si>
    <t>bakamkla yük.tut.sayıs</t>
  </si>
  <si>
    <t>bakmakla
 yük.tut.
 Saysıs</t>
  </si>
  <si>
    <t>BİLGİSAYAR, ELEKRONİK VE OPTİK ÜR.</t>
  </si>
  <si>
    <t>MERSİN</t>
  </si>
  <si>
    <t>İSTANBUL</t>
  </si>
  <si>
    <t>İZMİR</t>
  </si>
  <si>
    <t>KARS</t>
  </si>
  <si>
    <t>KASTAMONU</t>
  </si>
  <si>
    <t>KAYSERİ</t>
  </si>
  <si>
    <t>KIRKLARELİ</t>
  </si>
  <si>
    <t>KIRŞEHİR</t>
  </si>
  <si>
    <t>Employment injuries and occupational diseases insurances</t>
  </si>
  <si>
    <t xml:space="preserve">Insured in Agricultural Sector(BAĞ-KUR) </t>
  </si>
  <si>
    <t>Receiver of permanent incapacity income</t>
  </si>
  <si>
    <t>Population</t>
  </si>
  <si>
    <t>Rate of Insured Population</t>
  </si>
  <si>
    <t>Rate of Unregistered Insured Population</t>
  </si>
  <si>
    <t>Pensioners(According to act no:2022)</t>
  </si>
  <si>
    <t>Old-age Pensioner</t>
  </si>
  <si>
    <t>Korean War Veteran</t>
  </si>
  <si>
    <t>Toplam Sosyal Güvenlik Kapsamı (Aktif+Pasif
+Gelir Testi Yaptıranlar)</t>
  </si>
  <si>
    <t>Toplam Sosyal Güvenlik Kapsamı (Gelir Testi Yaptıranlar Hariç)</t>
  </si>
  <si>
    <t xml:space="preserve">MOTORLU KARA TAŞITI VE RÖMORK İM. </t>
  </si>
  <si>
    <t>2- Kore Gazisi</t>
  </si>
  <si>
    <t>4- Kıbrıs Gazisi</t>
  </si>
  <si>
    <t>5- Haksahipleri</t>
  </si>
  <si>
    <t>Değişim %</t>
  </si>
  <si>
    <t>4/a</t>
  </si>
  <si>
    <t>4/a (TARIM  2925 )</t>
  </si>
  <si>
    <t>NOT: Zorunlu sigortalı sayısına muhtarlar dahil olup, isteğe bağlı sigortalı sayısı dahil değildir.</t>
  </si>
  <si>
    <t xml:space="preserve">ULUSLARARASI ÖRGÜT VE TEMS.FAAL.    </t>
  </si>
  <si>
    <t xml:space="preserve">MAKİNE VE EKİPMAN İMALATI           </t>
  </si>
  <si>
    <t xml:space="preserve">2 - Çırak </t>
  </si>
  <si>
    <r>
      <t xml:space="preserve">SOSYAL GÜVENLİK KAPSAMI
</t>
    </r>
    <r>
      <rPr>
        <sz val="8"/>
        <color indexed="8"/>
        <rFont val="Arial"/>
        <family val="2"/>
        <charset val="162"/>
      </rPr>
      <t>Social Security Coverage</t>
    </r>
  </si>
  <si>
    <t xml:space="preserve">    5- Ölen 
   Sigortalıların 
   Haksahipleri</t>
  </si>
  <si>
    <t xml:space="preserve">    2- Tarım (4/b)(Zorunlu)</t>
  </si>
  <si>
    <r>
      <t xml:space="preserve">İL KODU  </t>
    </r>
    <r>
      <rPr>
        <sz val="8"/>
        <color indexed="8"/>
        <rFont val="Arial"/>
        <family val="2"/>
        <charset val="162"/>
      </rPr>
      <t>Provinces code</t>
    </r>
  </si>
  <si>
    <r>
      <t xml:space="preserve">İLLER </t>
    </r>
    <r>
      <rPr>
        <sz val="8"/>
        <color indexed="8"/>
        <rFont val="Arial"/>
        <family val="2"/>
        <charset val="162"/>
      </rPr>
      <t>Provinces</t>
    </r>
  </si>
  <si>
    <t xml:space="preserve">Death (permanent incapacity) (file) </t>
  </si>
  <si>
    <t xml:space="preserve"> KASTAMONU</t>
  </si>
  <si>
    <t xml:space="preserve"> KAYSERİ</t>
  </si>
  <si>
    <t xml:space="preserve">GİRESUN   </t>
  </si>
  <si>
    <t>Insured Working Part-Time</t>
  </si>
  <si>
    <r>
      <t>4/a Kapsamında Aktif ve Pasif Sigortalıların İllere Dağılımı-</t>
    </r>
    <r>
      <rPr>
        <i/>
        <sz val="14"/>
        <rFont val="Arial"/>
        <family val="2"/>
        <charset val="162"/>
      </rPr>
      <t>Distribution of Insured and Pensioners EUSC By Provinces</t>
    </r>
  </si>
  <si>
    <r>
      <t xml:space="preserve">4/b (Bağımsız Çalışanlar 1479) Kapsamında Sigortalıların İllere Göre Dağılımı - </t>
    </r>
    <r>
      <rPr>
        <i/>
        <sz val="14"/>
        <rFont val="Arial"/>
        <family val="2"/>
        <charset val="162"/>
      </rPr>
      <t xml:space="preserve">Province Distribution Of Insured Of Self Employed </t>
    </r>
  </si>
  <si>
    <r>
      <t xml:space="preserve">4/b (Bağımsız Çalışanlar 2926) Kapsamındaki Sigortalıların İllere Göre Dağılımı - </t>
    </r>
    <r>
      <rPr>
        <i/>
        <sz val="14"/>
        <rFont val="Arial"/>
        <family val="2"/>
        <charset val="162"/>
      </rPr>
      <t xml:space="preserve">Province Distribution Of Insured Of Self Employed </t>
    </r>
  </si>
  <si>
    <r>
      <t>4/c Kapsamında Aktif İştirakçilerinin ve Emeklilerinin  İllere göre Dağılımı-</t>
    </r>
    <r>
      <rPr>
        <i/>
        <sz val="14"/>
        <rFont val="Arial"/>
        <family val="2"/>
        <charset val="162"/>
      </rPr>
      <t>Dist.Of Active Civil Servant Contributers&amp;Pensioners by Provinces</t>
    </r>
  </si>
  <si>
    <r>
      <t>SGK Tahsis Türlerine Göre Yıl İçinde Bağlanan Aylıklar-</t>
    </r>
    <r>
      <rPr>
        <i/>
        <sz val="14"/>
        <rFont val="Arial"/>
        <family val="2"/>
        <charset val="162"/>
      </rPr>
      <t>Put On Pensions in The Year According To Appropriation Types</t>
    </r>
  </si>
  <si>
    <r>
      <t xml:space="preserve">4/a Faaliyet Gruplarına Göre Zorunlu Sigortalı ve İşyeri Dağılımı - </t>
    </r>
    <r>
      <rPr>
        <i/>
        <sz val="14"/>
        <rFont val="Arial"/>
        <family val="2"/>
        <charset val="162"/>
      </rPr>
      <t>Distribution of Number of the Work Places, Compulsory Insured Persons By Activity Branches</t>
    </r>
  </si>
  <si>
    <t xml:space="preserve">ÇANAKKALE </t>
  </si>
  <si>
    <t xml:space="preserve">ÇANKIRI   </t>
  </si>
  <si>
    <t xml:space="preserve">KOK KÖMÜRÜ VE PETROL ÜRÜN. İM. </t>
  </si>
  <si>
    <t>102/1-c-4</t>
  </si>
  <si>
    <t xml:space="preserve">   4-18 Yaş Altı Sakat-Malül</t>
  </si>
  <si>
    <t>Collective Insurance</t>
  </si>
  <si>
    <t xml:space="preserve"> BAYBURT</t>
  </si>
  <si>
    <t xml:space="preserve">MAKİNE VE EKİPMAN.KURULUMU VE ONAR. </t>
  </si>
  <si>
    <t>KOD NO</t>
  </si>
  <si>
    <t xml:space="preserve">HAM PETROL VE DOĞALGAZ ÇIKARIMI     </t>
  </si>
  <si>
    <t xml:space="preserve">METAL CEVHERİ MADENCİLİĞİ           </t>
  </si>
  <si>
    <t xml:space="preserve">DİĞER MADENCİLİK VE TAŞ OCAKÇILIĞI  </t>
  </si>
  <si>
    <t xml:space="preserve">MADENCİLİĞİ DESTEKLEYİCİ HİZMET     </t>
  </si>
  <si>
    <t xml:space="preserve">GIDA ÜRÜNLERİ İMALATI               </t>
  </si>
  <si>
    <t xml:space="preserve">İÇECEK İMALATI                      </t>
  </si>
  <si>
    <t>Yasal Süresi içinde ibraz edilmiş olmasına rağmen Kurumca geçerli sayılmaması</t>
  </si>
  <si>
    <t>GAZİANTEP</t>
  </si>
  <si>
    <t>Kurum tarafından gönderilen yazının ilgili kamu idaresi yada banka tarafından alındığı tarihten itibaren 1 ay içersinde</t>
  </si>
  <si>
    <t>Bir aylık sürenin son günü</t>
  </si>
  <si>
    <t>5 - Tarım (4/b)</t>
  </si>
  <si>
    <t xml:space="preserve">YAYIMCILIK FAALİYETLERİ             </t>
  </si>
  <si>
    <t>SİNEMA FİLMİ VE SES KAYDI YAYIMCILI.</t>
  </si>
  <si>
    <t>Belgenin verilmesi gereken sürenin son günü</t>
  </si>
  <si>
    <t>Sosyal Güvenlik Kapsamındaki bakmakla yükümlü tutulanların il nüfusuna oranı (%)</t>
  </si>
  <si>
    <t>3 - Y.dışı Topluluk</t>
  </si>
  <si>
    <t>3-  Y.dışı Topluluk</t>
  </si>
  <si>
    <t>102/1-e-4</t>
  </si>
  <si>
    <t>Aylık Alanlar</t>
  </si>
  <si>
    <r>
      <t>II- PASİF (Aylık Alanlar) SİGORTALILAR</t>
    </r>
    <r>
      <rPr>
        <sz val="9"/>
        <rFont val="Arial"/>
        <family val="2"/>
        <charset val="162"/>
      </rPr>
      <t/>
    </r>
  </si>
  <si>
    <r>
      <t>I- AKTİF SİGORTALILAR</t>
    </r>
    <r>
      <rPr>
        <sz val="9"/>
        <rFont val="Arial"/>
        <family val="2"/>
        <charset val="162"/>
      </rPr>
      <t/>
    </r>
  </si>
  <si>
    <t>SİNOP</t>
  </si>
  <si>
    <t>SİVAS</t>
  </si>
  <si>
    <t>TEKİRDAĞ</t>
  </si>
  <si>
    <t>102/1-d</t>
  </si>
  <si>
    <t>102/1-e</t>
  </si>
  <si>
    <r>
      <t xml:space="preserve">Sosyal Güvenlik Kapsamı 
</t>
    </r>
    <r>
      <rPr>
        <sz val="9"/>
        <rFont val="Arial"/>
        <family val="2"/>
      </rPr>
      <t>Social Security Coverage</t>
    </r>
  </si>
  <si>
    <t xml:space="preserve">TOPTAN TİC.(MOT.TAŞIT.ONAR.HARİÇ)   </t>
  </si>
  <si>
    <t>PERAKENDE TİC.(MOT.TAŞIT.ONAR.HARİÇ)</t>
  </si>
  <si>
    <t xml:space="preserve"> İŞÇİ</t>
  </si>
  <si>
    <t xml:space="preserve"> Worker</t>
  </si>
  <si>
    <t xml:space="preserve">   4- Ölen Sigortalıların Haksahipleri</t>
  </si>
  <si>
    <t>Daimi</t>
  </si>
  <si>
    <t>Mevsimlik</t>
  </si>
  <si>
    <t>Kamu</t>
  </si>
  <si>
    <t>Özel</t>
  </si>
  <si>
    <t xml:space="preserve">İŞ.KAZ.İLE MESLEK HASTALIĞI SİGORTASI                                                                                  </t>
  </si>
  <si>
    <t>Asgari işçilik incelemesinin Kurumun denetim ve kontrolle görevli memurlarınca yada SMMM, YMM lerce yapıldığı durumlarda belgenin Kurumca re'sen düzenlemesi</t>
  </si>
  <si>
    <t xml:space="preserve">KARA TAŞIMA.VE BORU HATTI TAŞI.   </t>
  </si>
  <si>
    <t>TOPTAN VE PER.TİC.VE MOT.TAŞIT.ON..</t>
  </si>
  <si>
    <t xml:space="preserve">AĞAÇ,AĞAÇ ÜRÜNLERİ VE MANTAR ÜR.   </t>
  </si>
  <si>
    <t>On günlük sürenin son günü</t>
  </si>
  <si>
    <t xml:space="preserve"> A. Dosya</t>
  </si>
  <si>
    <t xml:space="preserve"> B. Kişi</t>
  </si>
  <si>
    <t>I. AKTİF SİGORTALILAR</t>
  </si>
  <si>
    <t xml:space="preserve">Ek 6 ncı maddesine göre yapılması gereken bildirim veya kontrol yükümlülüğünün yerine getirilmemesi </t>
  </si>
  <si>
    <t>Her bir fiil için asgari ücret tutarında idari para cezası uygulanır.</t>
  </si>
  <si>
    <t>Under 18 years Invalid Persons</t>
  </si>
  <si>
    <t>Cyprus War Veteran</t>
  </si>
  <si>
    <t>Provinces</t>
  </si>
  <si>
    <t>102/1-c-1,2</t>
  </si>
  <si>
    <t xml:space="preserve">MOBİLYA İMALATI                     </t>
  </si>
  <si>
    <t xml:space="preserve">DİĞER İMALATLAR                     </t>
  </si>
  <si>
    <t>III- BAĞIMLILAR</t>
  </si>
  <si>
    <t>3 - Sakatlık</t>
  </si>
  <si>
    <t xml:space="preserve">BİLİMSEL ARAŞTIRMA VE GELİŞ.FAAL.   </t>
  </si>
  <si>
    <t xml:space="preserve">REKLAMCILIK VE PAZAR ARAŞTIRMASI    </t>
  </si>
  <si>
    <r>
      <t xml:space="preserve">MALİ İSTATİSTİKLER   </t>
    </r>
    <r>
      <rPr>
        <sz val="14"/>
        <rFont val="Arial"/>
        <family val="2"/>
        <charset val="162"/>
      </rPr>
      <t xml:space="preserve"> </t>
    </r>
    <r>
      <rPr>
        <i/>
        <sz val="14"/>
        <rFont val="Arial"/>
        <family val="2"/>
        <charset val="162"/>
      </rPr>
      <t>FISCAL STATISTICS</t>
    </r>
  </si>
  <si>
    <r>
      <t xml:space="preserve">PERSONEL İSTATİSTİKLERİ   </t>
    </r>
    <r>
      <rPr>
        <i/>
        <sz val="14"/>
        <rFont val="Arial"/>
        <family val="2"/>
        <charset val="162"/>
      </rPr>
      <t>STAFF STATISTICS</t>
    </r>
  </si>
  <si>
    <r>
      <t xml:space="preserve">SİGORTALI İSTATİSTİKLERİ   </t>
    </r>
    <r>
      <rPr>
        <i/>
        <sz val="14"/>
        <rFont val="Arial"/>
        <family val="2"/>
        <charset val="162"/>
      </rPr>
      <t>INSURED PERSON STATISTICS</t>
    </r>
  </si>
  <si>
    <r>
      <t>İÇİNDEKİLER -</t>
    </r>
    <r>
      <rPr>
        <b/>
        <i/>
        <sz val="16"/>
        <rFont val="Arial"/>
        <family val="2"/>
        <charset val="162"/>
      </rPr>
      <t xml:space="preserve"> </t>
    </r>
    <r>
      <rPr>
        <i/>
        <sz val="16"/>
        <rFont val="Arial"/>
        <family val="2"/>
        <charset val="162"/>
      </rPr>
      <t>CONTENTS</t>
    </r>
  </si>
  <si>
    <t>İstanbul</t>
  </si>
  <si>
    <t>İzmir</t>
  </si>
  <si>
    <t>Kars</t>
  </si>
  <si>
    <t>Konya</t>
  </si>
  <si>
    <t>Kütahya</t>
  </si>
  <si>
    <t>Malatya</t>
  </si>
  <si>
    <t xml:space="preserve">İYİLEŞTİRME VE DİĞER ATIK YÖN.HİZ.  </t>
  </si>
  <si>
    <t xml:space="preserve">BİNA İNŞAATI                        </t>
  </si>
  <si>
    <t>Genel Toplam</t>
  </si>
  <si>
    <t>1- Kamu idareleri ile Bilanço esasına göre defter tutan işyerleri Asgari Ücretin 3 katı kadar</t>
  </si>
  <si>
    <t xml:space="preserve">AFYONKARAHİSAR   </t>
  </si>
  <si>
    <t>Kapsam</t>
  </si>
  <si>
    <t xml:space="preserve">Bağımlı </t>
  </si>
  <si>
    <t>Kamu idarelerinin yada bankaların işlem yaptığı kişilerle ilgili sigortalılık kontrolü neticesinde sigortalılığı bulunmayan kişilerin Kuruma bildirilmemesi</t>
  </si>
  <si>
    <t>102/1-h</t>
  </si>
  <si>
    <t>4- Özel Sandıklar Aktif /Pasif Oranı</t>
  </si>
  <si>
    <t>I- AKTİF SİGORTALILAR</t>
  </si>
  <si>
    <t>1- Zorunlu</t>
  </si>
  <si>
    <t>2 - Çırak</t>
  </si>
  <si>
    <t>Female</t>
  </si>
  <si>
    <t xml:space="preserve"> ÇORUM</t>
  </si>
  <si>
    <t xml:space="preserve"> DENİZLİ</t>
  </si>
  <si>
    <t xml:space="preserve"> DİYARBAKIR</t>
  </si>
  <si>
    <t xml:space="preserve"> EDİRNE</t>
  </si>
  <si>
    <t xml:space="preserve"> ELAZIĞ</t>
  </si>
  <si>
    <t xml:space="preserve"> ERZİNCAN</t>
  </si>
  <si>
    <t xml:space="preserve"> ERZURUM</t>
  </si>
  <si>
    <t xml:space="preserve"> ESKİŞEHİR</t>
  </si>
  <si>
    <t>Değişim 
(%)</t>
  </si>
  <si>
    <t xml:space="preserve"> GAZİANTEP</t>
  </si>
  <si>
    <t xml:space="preserve"> GİRESUN</t>
  </si>
  <si>
    <t>aktif</t>
  </si>
  <si>
    <t>YURTDIŞI</t>
  </si>
  <si>
    <t>3-Vat.Hiz.Ter</t>
  </si>
  <si>
    <t>4-Kıbrıs Gazisi</t>
  </si>
  <si>
    <t>5-Haksahipleri</t>
  </si>
  <si>
    <t>05</t>
  </si>
  <si>
    <t>AMASYA</t>
  </si>
  <si>
    <t>06</t>
  </si>
  <si>
    <t>ANKARA</t>
  </si>
  <si>
    <t>07</t>
  </si>
  <si>
    <t>ANTALYA</t>
  </si>
  <si>
    <t>Old-age</t>
  </si>
  <si>
    <t>sig</t>
  </si>
  <si>
    <t>tarım</t>
  </si>
  <si>
    <t>Toplam Bağımlı</t>
  </si>
  <si>
    <t>01</t>
  </si>
  <si>
    <t>ADANA</t>
  </si>
  <si>
    <t>02</t>
  </si>
  <si>
    <t>ADIYAMAN</t>
  </si>
  <si>
    <t>03</t>
  </si>
  <si>
    <t>AFYONKARAHİSAR</t>
  </si>
  <si>
    <t>04</t>
  </si>
  <si>
    <t>AĞRI</t>
  </si>
  <si>
    <t>Bir takvim ayında işlenen bu fiillerden dolayı tutmakla yükümlü bulunulan defter ve belgelerin ibraz edilmemesi nedeniyle verilmesi gereken ceza tutarını aşmamak kaydıyla her bir sigortalı veya sandık iştirakçisi için asgari ücretin onda biri tutarında idari para cezası uygulanır.</t>
  </si>
  <si>
    <t>Genel sağlık sigortalılarının bakmakla yükümlü oldukları kişilere ait bilgi girişlerini süresinde yapmayanlar ile bakmakla yükümlü olunan kişi olmayanlara ait bilgi girişi yapanlar hakkında</t>
  </si>
  <si>
    <t>Asgari ücretin yarısı tutarında idari para cezası uygulanır</t>
  </si>
  <si>
    <t>Ordu</t>
  </si>
  <si>
    <t>Rize</t>
  </si>
  <si>
    <t>Sakarya</t>
  </si>
  <si>
    <t>Samsun</t>
  </si>
  <si>
    <t>Siirt</t>
  </si>
  <si>
    <t>Loaded Staff</t>
  </si>
  <si>
    <t xml:space="preserve">AĞAÇ,AĞAÇ ÜRÜNLERİ VE MANTAR ÜR.  </t>
  </si>
  <si>
    <t>KAYITLI MEDYANIN BASILMASI VE ÇOĞ.</t>
  </si>
  <si>
    <t xml:space="preserve">KOK KÖMÜRÜ VE PETROL ÜRÜNLERİ İM. </t>
  </si>
  <si>
    <t xml:space="preserve">   3- Ölen Sigortalı (Dosya)</t>
  </si>
  <si>
    <r>
      <t xml:space="preserve">Personel Durumu - </t>
    </r>
    <r>
      <rPr>
        <i/>
        <sz val="14"/>
        <rFont val="Arial"/>
        <family val="2"/>
        <charset val="162"/>
      </rPr>
      <t>Personnel Status</t>
    </r>
  </si>
  <si>
    <r>
      <t xml:space="preserve">Personelin Öğrenim Durumlarına Göre Dağılımı - </t>
    </r>
    <r>
      <rPr>
        <i/>
        <sz val="14"/>
        <rFont val="Arial"/>
        <family val="2"/>
        <charset val="162"/>
      </rPr>
      <t>Distribution of Personnel By Education Status</t>
    </r>
  </si>
  <si>
    <r>
      <t xml:space="preserve">Personelin Hizmet Sürelerine Göre Dağılımı- </t>
    </r>
    <r>
      <rPr>
        <i/>
        <sz val="14"/>
        <rFont val="Arial"/>
        <family val="2"/>
        <charset val="162"/>
      </rPr>
      <t>Distribution of Personnel By Duty Periods</t>
    </r>
  </si>
  <si>
    <r>
      <t xml:space="preserve">Personelin Yaş Gruplarına Göre Cinsiyet Dağılımı - </t>
    </r>
    <r>
      <rPr>
        <i/>
        <sz val="14"/>
        <rFont val="Arial"/>
        <family val="2"/>
        <charset val="162"/>
      </rPr>
      <t>Gender Distribution of Personnel By Age Groups</t>
    </r>
  </si>
  <si>
    <r>
      <t xml:space="preserve">Sosyal Güvenlik Kapsamında Çalışan Sigortalılar - </t>
    </r>
    <r>
      <rPr>
        <i/>
        <sz val="14"/>
        <rFont val="Arial"/>
        <family val="2"/>
        <charset val="162"/>
      </rPr>
      <t>Insured Persons in Social Security Coverage</t>
    </r>
  </si>
  <si>
    <r>
      <t xml:space="preserve">Sosyal Güvenlik Kapsamı - </t>
    </r>
    <r>
      <rPr>
        <i/>
        <sz val="14"/>
        <rFont val="Arial"/>
        <family val="2"/>
        <charset val="162"/>
      </rPr>
      <t>The Population Covered by SSI</t>
    </r>
  </si>
  <si>
    <r>
      <t>4/a Kapsamındaki Sigortalı Sayıları-</t>
    </r>
    <r>
      <rPr>
        <i/>
        <sz val="14"/>
        <rFont val="Arial"/>
        <family val="2"/>
        <charset val="162"/>
      </rPr>
      <t xml:space="preserve">Number of Employees Under Service Contract </t>
    </r>
  </si>
  <si>
    <r>
      <t>4/b Kapsamındaki Sigortalı Sayıları -</t>
    </r>
    <r>
      <rPr>
        <i/>
        <sz val="14"/>
        <rFont val="Arial"/>
        <family val="2"/>
        <charset val="162"/>
      </rPr>
      <t xml:space="preserve"> Number Of Insured Persons of Self Employed </t>
    </r>
  </si>
  <si>
    <r>
      <t>4/c Kapsamında Sigortalı Dağılımı -</t>
    </r>
    <r>
      <rPr>
        <i/>
        <sz val="14"/>
        <rFont val="Arial"/>
        <family val="2"/>
        <charset val="162"/>
      </rPr>
      <t xml:space="preserve"> Distribution of Insured People Of Civil Servants</t>
    </r>
  </si>
  <si>
    <t>Yalova</t>
  </si>
  <si>
    <t xml:space="preserve">MALATYA   </t>
  </si>
  <si>
    <t>OSMANİYE</t>
  </si>
  <si>
    <t xml:space="preserve">BİLGİSAYAR VE KİŞİSEL EV EŞYA.ONAR. </t>
  </si>
  <si>
    <t xml:space="preserve">DİĞER HİZMET FAALİYETLERİ           </t>
  </si>
  <si>
    <t xml:space="preserve"> ANTALYA</t>
  </si>
  <si>
    <t xml:space="preserve"> ARTVİN</t>
  </si>
  <si>
    <t xml:space="preserve"> AYDIN</t>
  </si>
  <si>
    <t xml:space="preserve"> BALIKESİR</t>
  </si>
  <si>
    <t xml:space="preserve"> BİLECİK</t>
  </si>
  <si>
    <t xml:space="preserve"> BİNGÖL</t>
  </si>
  <si>
    <t xml:space="preserve"> BİTLİS</t>
  </si>
  <si>
    <t xml:space="preserve"> BOLU</t>
  </si>
  <si>
    <t xml:space="preserve"> BURDUR</t>
  </si>
  <si>
    <t>FABRİK.METAL ÜRÜN.(MAK.TEC.HAR)</t>
  </si>
  <si>
    <t>KÜTAHYA</t>
  </si>
  <si>
    <t>MALATYA</t>
  </si>
  <si>
    <t>MANİSA</t>
  </si>
  <si>
    <t>K.MARAŞ</t>
  </si>
  <si>
    <t>MARDİN</t>
  </si>
  <si>
    <t>DEPENDENTS</t>
  </si>
  <si>
    <t>INSURED/PENSIONER</t>
  </si>
  <si>
    <t>SÖZLEŞMELİ</t>
  </si>
  <si>
    <t>KOCAELİ</t>
  </si>
  <si>
    <t>Diğer Kanunlara Göre Aylık Alanlar</t>
  </si>
  <si>
    <t>PENSIONERS</t>
  </si>
  <si>
    <t>102/1-i</t>
  </si>
  <si>
    <t>Kurum tarafından  Kanunun 100. maddesi kapsamında istenen bilgi ve belgeleri belirlenen süre içinde mücbir sebep olmaksızın vermeyen kamu idareleri, bankalar, döner sermayeli kuruluşlar, kanunla kurulmuş kurum ve kuruluşlar ile diğer gerçek ve tüzel kişiler hakkında</t>
  </si>
  <si>
    <t>Belirlenen süre içerisinde ve elektronik ortamda yapılmaması halinde asgari ücretin onda biri, hiç yapılmaması halinde ise sigortalı başına aylık asgari ücretin yarısı tutarında idari para cezası uygulanır.</t>
  </si>
  <si>
    <t>Sosyal Güvenlik Kapsamında Aylık Alan
Kişi Sayısı</t>
  </si>
  <si>
    <t>Death  (file)</t>
  </si>
  <si>
    <t xml:space="preserve">GİYİM EŞYALARI İMALATI              </t>
  </si>
  <si>
    <t xml:space="preserve"> BARTIN</t>
  </si>
  <si>
    <t xml:space="preserve"> ARDAHAN</t>
  </si>
  <si>
    <t xml:space="preserve"> IĞDIR</t>
  </si>
  <si>
    <t>50-99 Kişi</t>
  </si>
  <si>
    <t xml:space="preserve">YARATICI SANATLAR,EĞLENCE FAAL.     </t>
  </si>
  <si>
    <t xml:space="preserve">KÜTÜPHANE,ARŞİV VE MÜZELER          </t>
  </si>
  <si>
    <t xml:space="preserve">KUMAR VE MÜŞTEREK BAHİS FAAL        </t>
  </si>
  <si>
    <t xml:space="preserve">SPOR, EĞLENCE VE DİNLENCE FAAL.     </t>
  </si>
  <si>
    <r>
      <t>SAĞLIK İSTATİSTİKLERİ -</t>
    </r>
    <r>
      <rPr>
        <i/>
        <sz val="14"/>
        <rFont val="Arial"/>
        <family val="2"/>
        <charset val="162"/>
      </rPr>
      <t>HEALTH STATISTICS</t>
    </r>
  </si>
  <si>
    <t>V-SİGORTALI NÜFUS ORANI (%)</t>
  </si>
  <si>
    <t>Tablo 1</t>
  </si>
  <si>
    <t>Tablo 2</t>
  </si>
  <si>
    <t>Tablo 3</t>
  </si>
  <si>
    <t>Tablo 4</t>
  </si>
  <si>
    <t>Tablo 5</t>
  </si>
  <si>
    <t>Tablo 6</t>
  </si>
  <si>
    <t>Tablo 7</t>
  </si>
  <si>
    <t>Tablo 8</t>
  </si>
  <si>
    <t>Tablo 9</t>
  </si>
  <si>
    <t>Tablo 10</t>
  </si>
  <si>
    <t>Tablo 11</t>
  </si>
  <si>
    <t>Tablo 12</t>
  </si>
  <si>
    <t>Tablo 13</t>
  </si>
  <si>
    <t>Tablo 14</t>
  </si>
  <si>
    <t>TABLO 1- SOSYAL GÜVENLİK KURUMU PERSONEL DURUMU</t>
  </si>
  <si>
    <t>TABLO 5- SOSYAL GÜVENLİK KAPSAMINDA ÇALIŞAN  SİGORTALILAR (4/a, 4/b, 4/c)</t>
  </si>
  <si>
    <t>TABLE 5 - INSURED PERSONS IN SOCIAL SECURITY COVERAGE (4/a, 4/b, 4/c)</t>
  </si>
  <si>
    <t>TABLO 6- SOSYAL GÜVENLİK KAPSAMI ( 4/a, 4/b, 4/c)</t>
  </si>
  <si>
    <t>TABLE  6 - SOCIAL SECURITY COVERAGE ( 4/a, 4/b, 4/c)</t>
  </si>
  <si>
    <t>TABLE 7 -THE NUMBER OF INSURED POPULATION COVERED BY EUSC (4/a)</t>
  </si>
  <si>
    <t xml:space="preserve">TABLO 8- 4/b (BAĞIMSIZ ÇALIŞANLAR 1479 VE 2926) KAPSAMINDAKİ AKTİF VE PASİF SİGORTALI SAYILARI </t>
  </si>
  <si>
    <t>TABLE 8 - THE NUMBER OF INSURED AND PENSIONERS OF SELF EMPLOYED (4/b)</t>
  </si>
  <si>
    <t xml:space="preserve">TABLO 9 -  4/c KAPSAMINDA ÇALIŞANLARIN  AKTİF VE PASİF SİGORTALI SAYILARI </t>
  </si>
  <si>
    <t>TABLE 9    - THE NUMBER OF INSURED AND PENSIONERS OF CIVIL SERVANTS (4/c)</t>
  </si>
  <si>
    <t>TABLE 10 (1)-  DISTRIBUTION OF INSURED BY PROVINCES OF EUSC (4/a)</t>
  </si>
  <si>
    <t xml:space="preserve">TABLO10 (2)-4/a KAPSAMINDAKİ  AKTİF VE PASİF SİGORTALILARIN İLLERE GÖRE DAĞILIMI </t>
  </si>
  <si>
    <t>TABLE  10 (2) -DISTRIBUTION OF INSURED BY PROVINCES OF EUSC (4/a)</t>
  </si>
  <si>
    <t xml:space="preserve">TABLO 10 (1) - 4/a KAPSAMINDAKİ  AKTİF VE PASİF SİGORTALILARIN İLLERE GÖRE DAĞILIMI </t>
  </si>
  <si>
    <t>TABLE11 (1) -  DISTRIBUTION OF SELF EMPLOYED INSURED PERSONS BY PROVINCES (1479)</t>
  </si>
  <si>
    <t>TABLO 12 - 4/b (BAĞIMSIZ ÇALIŞANLAR 2926) KAPSAMINDAKİ AKTİF VE PASİF SİGORTALILARIN İLLERE GÖRE DAĞILIMI</t>
  </si>
  <si>
    <t>TABLE12- DISTRIBUTION OF SELF-EMPLOYED INSURED BY PROVINCES ( 2926)</t>
  </si>
  <si>
    <t>Tablo 15</t>
  </si>
  <si>
    <t>Tablo 16</t>
  </si>
  <si>
    <t>Tablo 17</t>
  </si>
  <si>
    <t>Tablo 18</t>
  </si>
  <si>
    <t>Tablo 19</t>
  </si>
  <si>
    <t>Tablo 20</t>
  </si>
  <si>
    <t>Tablo 21</t>
  </si>
  <si>
    <t>Tablo 22</t>
  </si>
  <si>
    <t>Tablo 23</t>
  </si>
  <si>
    <t>Tablo 24</t>
  </si>
  <si>
    <t>Tablo 25</t>
  </si>
  <si>
    <t>Tablo 26</t>
  </si>
  <si>
    <t>Tablo 27</t>
  </si>
  <si>
    <t>Tablo 28</t>
  </si>
  <si>
    <t>Tablo 29</t>
  </si>
  <si>
    <t>Tablo 30</t>
  </si>
  <si>
    <t>Tablo 31</t>
  </si>
  <si>
    <t>Tablo 32</t>
  </si>
  <si>
    <t>Tablo 33</t>
  </si>
  <si>
    <t>Tablo 34</t>
  </si>
  <si>
    <t>Tablo 35</t>
  </si>
  <si>
    <t>Tablo 36</t>
  </si>
  <si>
    <t>Tablo 37</t>
  </si>
  <si>
    <t xml:space="preserve">Değişim % </t>
  </si>
  <si>
    <r>
      <t xml:space="preserve">4/b ( 1479 ve 2926) KAPSAMINDAKİ ZORUNLU SİGORTALI SAYILARI  </t>
    </r>
    <r>
      <rPr>
        <i/>
        <sz val="10"/>
        <rFont val="Arial Tur"/>
        <charset val="162"/>
      </rPr>
      <t>Number Of</t>
    </r>
    <r>
      <rPr>
        <b/>
        <i/>
        <sz val="10"/>
        <rFont val="Arial Tur"/>
        <charset val="162"/>
      </rPr>
      <t xml:space="preserve"> </t>
    </r>
    <r>
      <rPr>
        <i/>
        <sz val="10"/>
        <rFont val="Arial Tur"/>
        <charset val="162"/>
      </rPr>
      <t>Insured Persons (4/b)</t>
    </r>
  </si>
  <si>
    <t xml:space="preserve">VERİLECEK İPC MİKTARI </t>
  </si>
  <si>
    <t xml:space="preserve">5510 sayılı Kanunun 8 inci maddesinde belirtilen sigortalı işe giriş bildirgesinin ve 61 inci maddesinde belirtilen genel sağlık sigortası giriş bildirgesinin yasal süresinde yada Kurumca belirlenen şekle ve usûle uygun verilmemesi veya Kurumca internet, elektronik veya benzeri ortamda göndermekle zorunlu tutulduğu hâlde anılan ortamda gönderilmemesi </t>
  </si>
  <si>
    <t>5510 sayılı Kanunun; 
8 inci maddesinde belirtilen sigortalı işe giriş bildirgesi, aynı maddede belirtilen süreler içerisinde, 61 inci maddesinde belirtilen genel sağlık sigortası giriş bildirgesi aynı madde uyarınca bir ay içerisinde</t>
  </si>
  <si>
    <t>Sigortalı işe giriş bildirgesinin verilmemesinin Kurumca tespit edildiği yada kamu kurum ve kuruluşlarından alınan belgelerden tespit edilmesi halinde ilgili idarenin yazısının Kuruma intikal ettiği tarihi takip eden bir yıl içerisinde tekrarlanması</t>
  </si>
  <si>
    <t>5510 sayılı Kanunun 11 inci maddesinde öngörülen işyeri bildirgesinin, Kurumca belirlenen şekle ve usûle uygun verilmemesi veya Kurumca internet, elektronik veya benzeri ortamda göndermekle zorunlu tutulduğu halde, anılan ortamda gönderilmemesi veya bu Kanunda belirtilen süre içinde Kuruma verilmemesi</t>
  </si>
  <si>
    <t>2- Diğer defterleri tutan işyerleri Asgari Ücretin 2 katı kadar</t>
  </si>
  <si>
    <t>3- Defter tutmakla yükümlü olmayan işyerleri Asgari Ücret kadar</t>
  </si>
  <si>
    <t>Asıl veya ek nitelikteki aylık prim ve hizmet belgelerinin, Kurumca belirlenen şekil ve usulde süresi içinde Kuruma verilmemesi ya da Kurumca internet, elektronik veya benzeri ortamda göndermekle zorunlu tutulduğu halde anılan ortamda gönderilmemesi</t>
  </si>
  <si>
    <t xml:space="preserve">Her bir fiil için;
1- Belgenin EK olması halinde Asgari Ücretin 2 katını  geçmemek üzere belgede kayıtlı sigortalı başına Asgari Ücretin1/8 tutarında </t>
  </si>
  <si>
    <t>İlişkin olduğu ayı takip eden ayın 23 üne kadar</t>
  </si>
  <si>
    <t>Aylık Prim ve Hizmet Belgelerinin Kuruma bildirilmediğinin yada eksik bildirildiğinin (hizmet yada kazançlarının) Kamu kurum ve kuruluşlarından alınan bilgilerden veya Kurumun kontrolle görevli memurlarınca tespit edilmesi</t>
  </si>
  <si>
    <t>2) Diğer defterleri tutmakla yükümlü olanlar için Asgari Ücretin 6 katı kadar</t>
  </si>
  <si>
    <t>3) Defter tutmakla yükümlü değil iseler, Asgari Ücretin 3 katı kadar</t>
  </si>
  <si>
    <t>Defter ve belgelerin tümünü verilen süre içinde ibraz etmekle birlikte; kanunî tasdik süresi geçtikten sonra tasdik ettirilmiş olan defterlerin tasdik tarihinden önceki kısmının geçerli sayılmaması</t>
  </si>
  <si>
    <t>Vergi Usul Kanununda belirtilen yasal defter tasdik süresinin son günü</t>
  </si>
  <si>
    <t>Tutmakla yükümlü olunan defter ve belgelerin ibraz edilmemesi nedeniyle verilen ceza tutarını (Asgari Ücretin 12, 6, 3 katını) geçmemek üzere, geçersizlik halinin gerçekleştiği her bir ay için Asgari Ücretin 1/2 katı kadar</t>
  </si>
  <si>
    <t>İşçilikle ilgili giderlerin işlenmemiş olduğu tespit edilen defterler ile sigorta primleri hesabına esas tutulan kazançların kesin olarak tespitine imkân vermeyecek şekilde usûlsüz veya noksan tutulmuş defterlerin geçerli sayılmaması</t>
  </si>
  <si>
    <t>Herhangi bir ay için sigorta primleri hesabına esas tutulması gereken kazançların ve kazançlarla ilgili ödemelerin (sigorta primine esas kazancın ödemeye bağlı olduğu durumlar dahil) o ayın dahil bulunduğu hesap dönemine ait defterlere işlenmemiş olması</t>
  </si>
  <si>
    <t>İbraz edilen aylık ücret tediye bordrosunda yeralması gereken bilgilerin eksik olması nedeniyle Kurumca geçersiz sayılması</t>
  </si>
  <si>
    <t xml:space="preserve">Asgari işçilik uygulaması kapsamında Kurumca kamu kurum ve kuruluşlarından yada bankalardan istenilecek bilgi ve belgelerin Kanunda belirtilen sürede gönderilmemesi </t>
  </si>
  <si>
    <t>Kamu idarelerince vazife malüllüğüne sebep olan olayın Kuruma bildirilmemesi</t>
  </si>
  <si>
    <t xml:space="preserve">En geç onbeş işgünü içerisinde </t>
  </si>
  <si>
    <t>4 üncü maddenin birinci fıkrasının (a) bendi kapsamındaki sigortalılara geçici iş göremezlik ödeneği ödemelerinde 100 üncü maddeye istinaden Kurumca işverenlerden istenilen bildirimlerin belirlenen süre içerisinde ve elektronik ortamda yapılmaması ya da hiç yapılmaması</t>
  </si>
  <si>
    <t>İş kazasının  işveren tarafından, o yer yetkili kolluk kuvvetlerine derhal ve Kuruma da en geç kazadan sonraki üç işgünü içinde</t>
  </si>
  <si>
    <t>Yasal sürenin son günü</t>
  </si>
  <si>
    <t>102/1-j</t>
  </si>
  <si>
    <t>Sigortalılığı sona erenlere ilişkin bildirim ile 506 sayılı Kanunun geçici 20 nci maddesinde yer alan sandıklara, sandık iştirakçiliğinin başlama veya sona ermesine ilişkin bildirimi, süresi içinde ya da Kurumca belirlenen şekle ve usule uygun olarak yapmayanlar veya Kurumca internet, elektronik veya benzeri ortamda göndermekle zorunlu tutulduğu halde anılan ortamda göndermeyenler hakkında</t>
  </si>
  <si>
    <t>102/1-k</t>
  </si>
  <si>
    <t>102/1-l</t>
  </si>
  <si>
    <t xml:space="preserve">Her bir fiil için;
1- Belgenin ASIL olması halinde Asgari Ücretin 2 katını  geçmemek üzere belgede kayıtlı sigortalı başına Asgari Ücretin1/5 tutarında </t>
  </si>
  <si>
    <t xml:space="preserve">Sigortalıların otuz günden az çalıştığını gösteren bilgi ve belgelerin aylık prim ve hizmet belgesinin verilmesi gereken süre içinde Kuruma verilmemesi veya verilen bilgi ve belgelerin Kurumca geçerli sayılmaması nedeniyle ek belgenin Kurumca re’sen düzenlenmesi </t>
  </si>
  <si>
    <t xml:space="preserve">İşyerine ait defter, kayıt ve belgelerin ibraz edilmesine ilişkin Kurumca gönderilen yazının alındığı tarihten itibaren on beş gün içinde mücbir sebep olmaksızın Kuruma ibraz edilmemesi ya da saklanmaması
 </t>
  </si>
  <si>
    <t>1) Bilânço esasına göre defter tutmakla yükümlü olanlar için, Asgari Ücreti 12 katı kadar</t>
  </si>
  <si>
    <t>11 inci maddesinin üçüncü fıkrasına istinaden, şirket kuruluşu aşamasında çalıştırılacak sigortalı sayısını ve bunların işe başlama tarihinin işveren tarafından Ticaret sicil memurlularına bildirilmesi halinde anılan Kurum tarafından Kurumumuza bildirilmemesi</t>
  </si>
  <si>
    <t xml:space="preserve">Bilgi ve belgeleri vermeyenler için asgari ücretin 5 katı tutarında, 
geç verenler için asgari ücretin 2 katı tutarında 
</t>
  </si>
  <si>
    <t>(General Total)</t>
  </si>
  <si>
    <t>General Total</t>
  </si>
  <si>
    <t>(***)</t>
  </si>
  <si>
    <t xml:space="preserve"> KAPSAM DIŞI NÜFUS ORANI (%)</t>
  </si>
  <si>
    <t>SOSYAL GÜVENLİK KAPSAMI</t>
  </si>
  <si>
    <r>
      <t xml:space="preserve">Fiyat Endeksleri (ÜFE - TÜFE) - </t>
    </r>
    <r>
      <rPr>
        <i/>
        <sz val="14"/>
        <rFont val="Arial"/>
        <family val="2"/>
        <charset val="162"/>
      </rPr>
      <t>Price Indexes ( PPI - CPI)</t>
    </r>
  </si>
  <si>
    <t xml:space="preserve">BÜRO YÖNETİMİ,BÜRO DESTEĞİ FAAL.    </t>
  </si>
  <si>
    <t xml:space="preserve">KIRIKKALE </t>
  </si>
  <si>
    <r>
      <t>İL KODU</t>
    </r>
    <r>
      <rPr>
        <sz val="8"/>
        <rFont val="Arial"/>
        <family val="2"/>
        <charset val="162"/>
      </rPr>
      <t xml:space="preserve"> 
Provinces code</t>
    </r>
  </si>
  <si>
    <t xml:space="preserve">SOSYAL HİZMETLER                    </t>
  </si>
  <si>
    <t xml:space="preserve"> YURTDIŞI</t>
  </si>
  <si>
    <t>Katsayılar</t>
  </si>
  <si>
    <t xml:space="preserve">aktif </t>
  </si>
  <si>
    <t>HATAY</t>
  </si>
  <si>
    <t xml:space="preserve">         2- Sosyal güvenlik kapsamında bakmakla yükümlü tutulanların (yararlanıcıların)  sayısı tahmini olarak verilmiştir.</t>
  </si>
  <si>
    <t xml:space="preserve"> UŞAK</t>
  </si>
  <si>
    <t xml:space="preserve"> VAN</t>
  </si>
  <si>
    <t xml:space="preserve"> YOZGAT</t>
  </si>
  <si>
    <t>Invalidity, old-age and survivors insurances</t>
  </si>
  <si>
    <t>İller</t>
  </si>
  <si>
    <t xml:space="preserve"> ADANA</t>
  </si>
  <si>
    <t xml:space="preserve"> ADIYAMAN</t>
  </si>
  <si>
    <t xml:space="preserve">ECZACILIK VE ECZ.İLİŞKİN MALZ.İMAL. </t>
  </si>
  <si>
    <t>1 Kişi</t>
  </si>
  <si>
    <t>2-3 Kişi</t>
  </si>
  <si>
    <t>100-249 Kişi</t>
  </si>
  <si>
    <t>250-499 Kişi</t>
  </si>
  <si>
    <t>500-749 Kişi</t>
  </si>
  <si>
    <t xml:space="preserve">KAUÇUK VE PLASTİK ÜRÜNLER İMALATI   </t>
  </si>
  <si>
    <t xml:space="preserve">5 - Ölen Sigortalıların Haksahipleri </t>
  </si>
  <si>
    <t xml:space="preserve">Aktif / Pasif Oranı </t>
  </si>
  <si>
    <t>Aksaray</t>
  </si>
  <si>
    <t>Bayburt</t>
  </si>
  <si>
    <t>Karaman</t>
  </si>
  <si>
    <t>Batman</t>
  </si>
  <si>
    <t>Ardahan</t>
  </si>
  <si>
    <r>
      <t xml:space="preserve">Zorunlu Sigortalı (I) </t>
    </r>
    <r>
      <rPr>
        <sz val="9"/>
        <rFont val="Arial"/>
        <family val="2"/>
        <charset val="162"/>
      </rPr>
      <t>Compulsory Insured</t>
    </r>
  </si>
  <si>
    <t>İPC KANUN HÜKMÜ</t>
  </si>
  <si>
    <t xml:space="preserve">II. PASİF SİGORTALILAR (Aylık Alanlar) </t>
  </si>
  <si>
    <t>ORTALAMA GÜNLÜK KAZANÇ (TL)</t>
  </si>
  <si>
    <t xml:space="preserve">KAYSERİ   </t>
  </si>
  <si>
    <t xml:space="preserve">KIRŞEHİR  </t>
  </si>
  <si>
    <t xml:space="preserve">KOCAELİ   </t>
  </si>
  <si>
    <t xml:space="preserve">KONYA     </t>
  </si>
  <si>
    <t xml:space="preserve">KÜTAHYA   </t>
  </si>
  <si>
    <t xml:space="preserve">METALİK OLMAYAN ÜRÜNLER İMALATI     </t>
  </si>
  <si>
    <t xml:space="preserve">ANA METAL SANAYİ                    </t>
  </si>
  <si>
    <t>BALIKESİR</t>
  </si>
  <si>
    <t>BİLECİK</t>
  </si>
  <si>
    <t>BİNGÖL</t>
  </si>
  <si>
    <t>BİTLİS</t>
  </si>
  <si>
    <t>BOLU</t>
  </si>
  <si>
    <t>BURDUR</t>
  </si>
  <si>
    <t>BURSA</t>
  </si>
  <si>
    <t>ÇANAKKALE</t>
  </si>
  <si>
    <t>ÇANKIRI</t>
  </si>
  <si>
    <t>ÇORUM</t>
  </si>
  <si>
    <t>DENİZLİ</t>
  </si>
  <si>
    <t xml:space="preserve">BATMAN    </t>
  </si>
  <si>
    <t xml:space="preserve">ŞIRNAK    </t>
  </si>
  <si>
    <t xml:space="preserve">BARTIN    </t>
  </si>
  <si>
    <t xml:space="preserve">ARDAHAN   </t>
  </si>
  <si>
    <t xml:space="preserve">IĞDIR     </t>
  </si>
  <si>
    <t xml:space="preserve">YALOVA    </t>
  </si>
  <si>
    <t xml:space="preserve">KARABÜK   </t>
  </si>
  <si>
    <t xml:space="preserve">KİLİS     </t>
  </si>
  <si>
    <t>Öncelikli Yaşam Kalitesi Göstergeleri</t>
  </si>
  <si>
    <t>On beş günlük sürenin son günü</t>
  </si>
  <si>
    <t xml:space="preserve">SEYAHAT ACENTESİ,TUR OPER.REZ.HİZ   </t>
  </si>
  <si>
    <t>YOZGAT</t>
  </si>
  <si>
    <t>ZONGULDAK</t>
  </si>
  <si>
    <t>AKSARAY</t>
  </si>
  <si>
    <t xml:space="preserve">ELAZIĞ    </t>
  </si>
  <si>
    <t xml:space="preserve">ERZİNCAN  </t>
  </si>
  <si>
    <t xml:space="preserve"> KARAMAN</t>
  </si>
  <si>
    <t xml:space="preserve"> KIRIKKALE</t>
  </si>
  <si>
    <t xml:space="preserve"> BATMAN</t>
  </si>
  <si>
    <t xml:space="preserve"> ŞIRNAK</t>
  </si>
  <si>
    <t>Karabük</t>
  </si>
  <si>
    <t>Kilis</t>
  </si>
  <si>
    <t>Osmaniye</t>
  </si>
  <si>
    <t>Düzce</t>
  </si>
  <si>
    <t>Adıyaman</t>
  </si>
  <si>
    <t>Ağrı</t>
  </si>
  <si>
    <t xml:space="preserve"> (Permanent)</t>
  </si>
  <si>
    <t>(Seasonal)</t>
  </si>
  <si>
    <t>(Public)</t>
  </si>
  <si>
    <t>(Private)</t>
  </si>
  <si>
    <t>(Total)</t>
  </si>
  <si>
    <t>(Male)</t>
  </si>
  <si>
    <t>Kadın</t>
  </si>
  <si>
    <t>Erkek</t>
  </si>
  <si>
    <t xml:space="preserve">İDARİ DANIŞMANLIK FAALİYETLERİ      </t>
  </si>
  <si>
    <t xml:space="preserve">MİMARLIK VE MÜHENDİSLİK FAALİYETİ   </t>
  </si>
  <si>
    <t>Number Of Work Places</t>
  </si>
  <si>
    <t>Artvin</t>
  </si>
  <si>
    <t>Bilecik</t>
  </si>
  <si>
    <t>Bingöl</t>
  </si>
  <si>
    <t>Patriotic Services</t>
  </si>
  <si>
    <t>Tobacco bonus</t>
  </si>
  <si>
    <t xml:space="preserve">1 - Yaşlılık </t>
  </si>
  <si>
    <t>ISPARTA</t>
  </si>
  <si>
    <t>(Female)</t>
  </si>
  <si>
    <t>FAALİYET KODU</t>
  </si>
  <si>
    <t xml:space="preserve">KİRALAMA VE LEASING FAALİYETLERİ    </t>
  </si>
  <si>
    <t xml:space="preserve">ESKİŞEHİR </t>
  </si>
  <si>
    <t xml:space="preserve">GAZİANTEP </t>
  </si>
  <si>
    <t xml:space="preserve">DİĞER MADENCİLİK VE TAŞ OCAK.  </t>
  </si>
  <si>
    <t>ELK.GAZ,BUHAR VE HAVA.SİS.ÜRET.DAĞT.</t>
  </si>
  <si>
    <t xml:space="preserve"> KONYA</t>
  </si>
  <si>
    <t xml:space="preserve"> KÜTAHYA</t>
  </si>
  <si>
    <t xml:space="preserve"> MALATYA</t>
  </si>
  <si>
    <t xml:space="preserve"> MANİSA</t>
  </si>
  <si>
    <t xml:space="preserve"> K.MARAŞ</t>
  </si>
  <si>
    <t xml:space="preserve"> MARDİN</t>
  </si>
  <si>
    <t xml:space="preserve"> MUĞLA</t>
  </si>
  <si>
    <t xml:space="preserve"> MUŞ</t>
  </si>
  <si>
    <t xml:space="preserve"> NEVŞEHİR</t>
  </si>
  <si>
    <t>AYDIN</t>
  </si>
  <si>
    <t xml:space="preserve">ASGARİ ÜCRET  :  </t>
  </si>
  <si>
    <t>YÜKÜMLÜLÜK</t>
  </si>
  <si>
    <t>YASAL SÜRESİ</t>
  </si>
  <si>
    <t>FİİL TARİHİ</t>
  </si>
  <si>
    <t>102/1-a-1</t>
  </si>
  <si>
    <t xml:space="preserve"> YALOVA</t>
  </si>
  <si>
    <t>Asgari Ücretin 2 katını geçmemek üzere belgede kayıtlı sigortalı başına Asgari Ücretin 1/2 si kadar</t>
  </si>
  <si>
    <t xml:space="preserve">MAKİNE VE EKİPMAN.KURULUMU VE ON. </t>
  </si>
  <si>
    <t xml:space="preserve">   3 - Zorunlu</t>
  </si>
  <si>
    <t xml:space="preserve">   2- Malullük</t>
  </si>
  <si>
    <t xml:space="preserve">   3 - Ölüm(Dosya)</t>
  </si>
  <si>
    <t xml:space="preserve">   4 - Ölen Sigortalıların Haksahipleri</t>
  </si>
  <si>
    <t>Aktif / Pasif Oranı</t>
  </si>
  <si>
    <t>Pensioners(According
 to act no:2022)</t>
  </si>
  <si>
    <t>MUĞLA</t>
  </si>
  <si>
    <t>MUŞ</t>
  </si>
  <si>
    <t>NEVŞEHİR</t>
  </si>
  <si>
    <t>NİĞDE</t>
  </si>
  <si>
    <t>ORDU</t>
  </si>
  <si>
    <t>RİZE</t>
  </si>
  <si>
    <t xml:space="preserve">BİNA DIŞI YAPILARIN İNŞAATI         </t>
  </si>
  <si>
    <t xml:space="preserve">GÜVENLİK VE SORUŞTURMA FAALİYET.    </t>
  </si>
  <si>
    <t xml:space="preserve">BİNA VE ÇEVRE DÜZENLEME FAALİYET.   </t>
  </si>
  <si>
    <r>
      <t>Sosyal Güvenlik Kurumu Gelir ve Gider Dengesi-</t>
    </r>
    <r>
      <rPr>
        <i/>
        <sz val="14"/>
        <rFont val="Arial"/>
        <family val="2"/>
        <charset val="162"/>
      </rPr>
      <t xml:space="preserve"> Revenues and Expenditures of SSI</t>
    </r>
  </si>
  <si>
    <r>
      <t>Sosyal Güvenlik Kurumunun Prim Gelirleri ve Emekli Aylığı Ödemeleri -</t>
    </r>
    <r>
      <rPr>
        <i/>
        <sz val="14"/>
        <rFont val="Arial"/>
        <family val="2"/>
        <charset val="162"/>
      </rPr>
      <t xml:space="preserve"> Premium Revenues and Pension Payments of SSI</t>
    </r>
  </si>
  <si>
    <t>DİYARBAKIR</t>
  </si>
  <si>
    <t>EDİRNE</t>
  </si>
  <si>
    <t>ELAZIĞ</t>
  </si>
  <si>
    <t xml:space="preserve">  1 - Zorunlu</t>
  </si>
  <si>
    <t xml:space="preserve">   2- Malüllük</t>
  </si>
  <si>
    <t xml:space="preserve">   3- Sakatlık</t>
  </si>
  <si>
    <t>1-Madalya Aylığı</t>
  </si>
  <si>
    <t>2-Kore Gazisi</t>
  </si>
  <si>
    <t>ŞANLIURFA</t>
  </si>
  <si>
    <t>UŞAK</t>
  </si>
  <si>
    <t>VAN</t>
  </si>
  <si>
    <t>Sosyal Güvenlik Kapsamı Dışında Kalan Nüfus</t>
  </si>
  <si>
    <t xml:space="preserve">       3- Bağımlıların hesaplanmasında yeni katsayılar dikkate alınarak veriler geçmişe yönelik olarak 2000 yılına kadar revize edilmiştir. </t>
  </si>
  <si>
    <r>
      <t xml:space="preserve">İsteğe Bağlı (II) </t>
    </r>
    <r>
      <rPr>
        <sz val="9"/>
        <rFont val="Arial"/>
        <family val="2"/>
        <charset val="162"/>
      </rPr>
      <t>Voluntarily Insured</t>
    </r>
  </si>
  <si>
    <t xml:space="preserve">EĞİTİM                              </t>
  </si>
  <si>
    <t>Kahramanmaraş</t>
  </si>
  <si>
    <t>Survivors from empl.ins.and.acc.dis</t>
  </si>
  <si>
    <t>TOPLAM</t>
  </si>
  <si>
    <t xml:space="preserve">İSTİHDAM FAALİYETLERİ               </t>
  </si>
  <si>
    <t xml:space="preserve">HUKUKİ VE MUHASEBE FAALİYETLERİ     </t>
  </si>
  <si>
    <t>Compulsory Insured</t>
  </si>
  <si>
    <t>Voluntarily Insured</t>
  </si>
  <si>
    <t>FABRİK.METAL ÜRÜNLERİ(MAK.TEC.HAR)</t>
  </si>
  <si>
    <t xml:space="preserve"> SAMSUN</t>
  </si>
  <si>
    <t xml:space="preserve"> SİİRT</t>
  </si>
  <si>
    <t xml:space="preserve"> SİNOP</t>
  </si>
  <si>
    <t>TOKAT</t>
  </si>
  <si>
    <t>TRABZON</t>
  </si>
  <si>
    <t>TUNCELİ</t>
  </si>
  <si>
    <t>Topluluk Sigortalıları (Collective Insured) (e-bildirge verenler,yurtdışı topluluk)(IV)</t>
  </si>
  <si>
    <t>Mardin</t>
  </si>
  <si>
    <t xml:space="preserve">   1- Muhtar</t>
  </si>
  <si>
    <t xml:space="preserve">   2 - İsteğe Bağlı</t>
  </si>
  <si>
    <t>1-İ.Madalya Aylığı</t>
  </si>
  <si>
    <t>Apprentices</t>
  </si>
  <si>
    <t>Demarch</t>
  </si>
  <si>
    <t>Service-Disabled</t>
  </si>
  <si>
    <r>
      <t xml:space="preserve">Aylık Alanlar  </t>
    </r>
    <r>
      <rPr>
        <sz val="9"/>
        <rFont val="Arial"/>
        <family val="2"/>
      </rPr>
      <t xml:space="preserve">Pensioners </t>
    </r>
  </si>
  <si>
    <t xml:space="preserve">
 (4/b)</t>
  </si>
  <si>
    <t xml:space="preserve">
(4/b)</t>
  </si>
  <si>
    <t xml:space="preserve">  -Dosya</t>
  </si>
  <si>
    <t>File</t>
  </si>
  <si>
    <t xml:space="preserve">EDİRNE    </t>
  </si>
  <si>
    <t>Belgenin asıl yada ek nitelikte olup olmadığı işverence düzenlenip düzenlenmediğine bakılmaksızın Asgari Ücretin 2 katı kadar</t>
  </si>
  <si>
    <t>Her bir geçersiz ücret tediye bordrosu için Asgari Ücretin 1/2 katı kadar</t>
  </si>
  <si>
    <t>Muğla</t>
  </si>
  <si>
    <t>Muş</t>
  </si>
  <si>
    <t>Nevşehir</t>
  </si>
  <si>
    <t>Niğde</t>
  </si>
  <si>
    <t xml:space="preserve">NOT: 1- Bağımlıların hesaplanmasında yeni katsayılar dikkate alınarak veriler geçmişe yönelik olarak 2000 yılına kadar revize edilmiştir. </t>
  </si>
  <si>
    <t>Aydın</t>
  </si>
  <si>
    <t>Balıkesir</t>
  </si>
  <si>
    <t>Çankırı</t>
  </si>
  <si>
    <t>4 - Tarım (4/a )</t>
  </si>
  <si>
    <t xml:space="preserve">KÖMÜR VE LİNYİT ÇIKARTILMASI        </t>
  </si>
  <si>
    <t>MEVSİMLİK (II)</t>
  </si>
  <si>
    <t>KAMU (I)</t>
  </si>
  <si>
    <t>ÖZEL (II)</t>
  </si>
  <si>
    <t>TOPLAM 
(I+II)</t>
  </si>
  <si>
    <t>ERKEK (I)</t>
  </si>
  <si>
    <t>KADIN (II)</t>
  </si>
  <si>
    <t xml:space="preserve"> KARABÜK</t>
  </si>
  <si>
    <t xml:space="preserve"> KİLİS</t>
  </si>
  <si>
    <t xml:space="preserve"> OSMANİYE</t>
  </si>
  <si>
    <t>Survivors (Widows,Orphans)</t>
  </si>
  <si>
    <t>GENEL TOPLAM</t>
  </si>
  <si>
    <r>
      <t xml:space="preserve">4/a İllere göre iş yeri sayıları ve zorunlu sigortalı Dağılımları- </t>
    </r>
    <r>
      <rPr>
        <i/>
        <sz val="14"/>
        <rFont val="Arial"/>
        <family val="2"/>
        <charset val="162"/>
      </rPr>
      <t>Number of the work places,compulsory insured persons to provinces</t>
    </r>
  </si>
  <si>
    <r>
      <t xml:space="preserve">4/a Faaliyet Kollarına ve İşyeri Büyüklüğüne göre İşyeri Sayıları- </t>
    </r>
    <r>
      <rPr>
        <i/>
        <sz val="14"/>
        <rFont val="Arial"/>
        <family val="2"/>
        <charset val="162"/>
      </rPr>
      <t>Work Place Numbers According to Activity Branches and Work Place Size</t>
    </r>
  </si>
  <si>
    <r>
      <t>4/a Faaliyet Kollarına ve İşyeri Büyüklüğüne göre Zorunlu Sigortalı Sayıları-</t>
    </r>
    <r>
      <rPr>
        <i/>
        <sz val="14"/>
        <rFont val="Arial"/>
        <family val="2"/>
        <charset val="162"/>
      </rPr>
      <t>Compulsory Insured P.Numbers According to Activity Branches and Work Place Size</t>
    </r>
  </si>
  <si>
    <r>
      <t>4/a İllerde işyeri Büyüklüklerine Göre İşyeri sayıları-</t>
    </r>
    <r>
      <rPr>
        <i/>
        <sz val="14"/>
        <rFont val="Arial"/>
        <family val="2"/>
        <charset val="162"/>
      </rPr>
      <t>Work Place Numbers According to The Provinces Size</t>
    </r>
  </si>
  <si>
    <r>
      <t>4/a İllerde işyeri  Büyüklüklerine Göre Zorunlu Sigortalı Sayıları-</t>
    </r>
    <r>
      <rPr>
        <i/>
        <sz val="14"/>
        <rFont val="Arial"/>
        <family val="2"/>
        <charset val="162"/>
      </rPr>
      <t>Compulsory Insured Person Numbers According To The Provinces Size</t>
    </r>
  </si>
  <si>
    <t>Her bir sigortalı için Asgari Ücret Tutarının 2 katı kadar</t>
  </si>
  <si>
    <t>102/1-a-3</t>
  </si>
  <si>
    <t xml:space="preserve">BAYBURT   </t>
  </si>
  <si>
    <t xml:space="preserve">KARAMAN   </t>
  </si>
  <si>
    <t>TAHSİS TÜRLERİ</t>
  </si>
  <si>
    <t/>
  </si>
  <si>
    <t>KADIN</t>
  </si>
  <si>
    <t xml:space="preserve"> DÜZCE</t>
  </si>
  <si>
    <t xml:space="preserve">DÜZCE     </t>
  </si>
  <si>
    <t xml:space="preserve">AYDIN     </t>
  </si>
  <si>
    <t xml:space="preserve">BALIKESİR </t>
  </si>
  <si>
    <t xml:space="preserve">BİLECİK   </t>
  </si>
  <si>
    <t xml:space="preserve">BİNGÖL    </t>
  </si>
  <si>
    <t xml:space="preserve">BİTLİS    </t>
  </si>
  <si>
    <t xml:space="preserve">BOLU      </t>
  </si>
  <si>
    <t xml:space="preserve">BURDUR    </t>
  </si>
  <si>
    <t xml:space="preserve">BURSA     </t>
  </si>
  <si>
    <t>DAİMİ (I)</t>
  </si>
  <si>
    <t>90 ıncı maddesinin birinci fıkrasına istinaden, ihale konusu işleri üstlenenlerin ve bunların adreslerinin ihale makamlarınca Kurumumuza bildirilmemesi</t>
  </si>
  <si>
    <t>Death (active) (file)</t>
  </si>
  <si>
    <t xml:space="preserve">DİĞER ULAŞIM ARAÇLARI İMALATI       </t>
  </si>
  <si>
    <t>Permanent</t>
  </si>
  <si>
    <t>Seasonal</t>
  </si>
  <si>
    <t>Public</t>
  </si>
  <si>
    <t>Private</t>
  </si>
  <si>
    <t xml:space="preserve"> TRABZON</t>
  </si>
  <si>
    <t xml:space="preserve"> TUNCELİ</t>
  </si>
  <si>
    <t xml:space="preserve"> URFA</t>
  </si>
  <si>
    <t xml:space="preserve">KASTAMONU </t>
  </si>
  <si>
    <t xml:space="preserve">GÜVENLİK VE SORUŞTURMA FA.    </t>
  </si>
  <si>
    <t xml:space="preserve">BİNA VE ÇEVRE DÜZENLEME FA.   </t>
  </si>
  <si>
    <t xml:space="preserve">    4- İsteğe Bağlı</t>
  </si>
  <si>
    <t>Değişim(%)</t>
  </si>
  <si>
    <t xml:space="preserve">ADANA     </t>
  </si>
  <si>
    <t xml:space="preserve">ADIYAMAN  </t>
  </si>
  <si>
    <t xml:space="preserve">AĞRI      </t>
  </si>
  <si>
    <t xml:space="preserve">AMASYA    </t>
  </si>
  <si>
    <t xml:space="preserve">ANKARA    </t>
  </si>
  <si>
    <t xml:space="preserve">ANTALYA   </t>
  </si>
  <si>
    <t xml:space="preserve">ARTVİN    </t>
  </si>
  <si>
    <t>Contracted</t>
  </si>
  <si>
    <t xml:space="preserve">IV-ÖZEL SANDIKLAR </t>
  </si>
  <si>
    <t xml:space="preserve">1- Aktif Sigortalılar </t>
  </si>
  <si>
    <t xml:space="preserve">3- Bağımlılar </t>
  </si>
  <si>
    <t xml:space="preserve">III- BAĞIMLILAR </t>
  </si>
  <si>
    <t xml:space="preserve">6 - Muhtar </t>
  </si>
  <si>
    <t>bakmakla yük. Tutulan</t>
  </si>
  <si>
    <t xml:space="preserve">HAKKARİ   </t>
  </si>
  <si>
    <t xml:space="preserve">HATAY     </t>
  </si>
  <si>
    <t xml:space="preserve">ISPARTA   </t>
  </si>
  <si>
    <t xml:space="preserve">DENİZLİ   </t>
  </si>
  <si>
    <t xml:space="preserve">MANİSA    </t>
  </si>
  <si>
    <t>(*) Yıl içinde aylık ve gelir bağlanan sayılarının içine vataniler dahil değildir.</t>
  </si>
  <si>
    <t xml:space="preserve">  -Kişi</t>
  </si>
  <si>
    <t>Person</t>
  </si>
  <si>
    <t>AYLAR</t>
  </si>
  <si>
    <t>DİĞER KANUNLARA GÖRE AYLIK ALANLAR (Vataniler)</t>
  </si>
  <si>
    <t xml:space="preserve">Toplam </t>
  </si>
  <si>
    <t>Death (file)</t>
  </si>
  <si>
    <t>102/1-f</t>
  </si>
  <si>
    <t xml:space="preserve"> ÇANKIRI</t>
  </si>
  <si>
    <t xml:space="preserve">   3 - Ölüm (Dosya)</t>
  </si>
  <si>
    <t xml:space="preserve">GAYRİMENKUL FAALİYETLERİ            </t>
  </si>
  <si>
    <t>Pensioners(According 
to act no:Others)</t>
  </si>
  <si>
    <t>Kastamonu</t>
  </si>
  <si>
    <t>Kayseri</t>
  </si>
  <si>
    <t>Kocaeli</t>
  </si>
  <si>
    <t>1000+ Kişi</t>
  </si>
  <si>
    <t xml:space="preserve">BALIKÇILIK VE SU ÜRÜNLERİ YETİŞ.    </t>
  </si>
  <si>
    <t>SİİRT</t>
  </si>
  <si>
    <t>08</t>
  </si>
  <si>
    <t>ARTVİN</t>
  </si>
  <si>
    <t>09</t>
  </si>
  <si>
    <t xml:space="preserve"> ISPARTA</t>
  </si>
  <si>
    <t xml:space="preserve"> İÇEL</t>
  </si>
  <si>
    <t xml:space="preserve"> İSTANBUL</t>
  </si>
  <si>
    <t xml:space="preserve">Old-age </t>
  </si>
  <si>
    <t>1 aylık sürenin son günü</t>
  </si>
  <si>
    <t xml:space="preserve">ÇORUM     </t>
  </si>
  <si>
    <t>Sosyal Güvenlik Kapsamında  Aktif Çalışan 
Kişi Sayısı</t>
  </si>
  <si>
    <t>Asgari Ücret Tutarı kadar</t>
  </si>
  <si>
    <t xml:space="preserve">YATILI BAKIM FAALİYETLERİ           </t>
  </si>
  <si>
    <t xml:space="preserve">SAKARYA   </t>
  </si>
  <si>
    <t xml:space="preserve">SAMSUN    </t>
  </si>
  <si>
    <t xml:space="preserve">SİİRT     </t>
  </si>
  <si>
    <t xml:space="preserve">SİNOP     </t>
  </si>
  <si>
    <t xml:space="preserve">SIVAS     </t>
  </si>
  <si>
    <t xml:space="preserve">TEKİRDAĞ  </t>
  </si>
  <si>
    <t xml:space="preserve">TOKAT     </t>
  </si>
  <si>
    <t>5- Özürlü Silikozis Hastaları</t>
  </si>
  <si>
    <t>silicosis patients with disabilities</t>
  </si>
  <si>
    <t xml:space="preserve">                  -</t>
  </si>
  <si>
    <t xml:space="preserve">TRABZON   </t>
  </si>
  <si>
    <t xml:space="preserve">TUNCELİ   </t>
  </si>
  <si>
    <t xml:space="preserve">URFA      </t>
  </si>
  <si>
    <t xml:space="preserve">UŞAK      </t>
  </si>
  <si>
    <t xml:space="preserve">VAN       </t>
  </si>
  <si>
    <t xml:space="preserve">YOZGAT    </t>
  </si>
  <si>
    <t xml:space="preserve">FİNANS.VE SİG.HİZ.İÇİN YARD.FAAL.   </t>
  </si>
  <si>
    <t xml:space="preserve">BİTKİSEL VE HAYVANSAL ÜRETİM        </t>
  </si>
  <si>
    <t xml:space="preserve"> RİZE</t>
  </si>
  <si>
    <t xml:space="preserve"> SAKARYA</t>
  </si>
  <si>
    <r>
      <t xml:space="preserve">İller  </t>
    </r>
    <r>
      <rPr>
        <sz val="9"/>
        <rFont val="Arial"/>
        <family val="2"/>
      </rPr>
      <t>Provinces</t>
    </r>
  </si>
  <si>
    <t xml:space="preserve">MUĞLA     </t>
  </si>
  <si>
    <t xml:space="preserve">Insured in Agricultural Sector(SSI) </t>
  </si>
  <si>
    <t>Bitlis</t>
  </si>
  <si>
    <t>Bolu</t>
  </si>
  <si>
    <t>Burdur</t>
  </si>
  <si>
    <t>Bursa</t>
  </si>
  <si>
    <t>SUYUN TOPLANMASI ARITILMASI VE DAĞT.</t>
  </si>
  <si>
    <t xml:space="preserve">KANALİZASYON                        </t>
  </si>
  <si>
    <t xml:space="preserve">ATIK MADDELERİN DEĞERLENDİRİLMESİ   </t>
  </si>
  <si>
    <t xml:space="preserve">ZORUNLU SİGORTALI SAYISI </t>
  </si>
  <si>
    <t>-</t>
  </si>
  <si>
    <t>Not: 1- Sosyal güvenlik kapsamında aylık alan kişi sayısına haksahibi kişi sayısı dahildir.</t>
  </si>
  <si>
    <t>Yeşil Kart</t>
  </si>
  <si>
    <t>ARALIK</t>
  </si>
  <si>
    <t xml:space="preserve">   2  - Zorunlu</t>
  </si>
  <si>
    <t xml:space="preserve"> Social Security Coverage</t>
  </si>
  <si>
    <t>Toplam</t>
  </si>
  <si>
    <t>INSURED</t>
  </si>
  <si>
    <t xml:space="preserve">MALULLÜK-YAŞLILIK-ÖLÜM SİGORTASI                                                                                  </t>
  </si>
  <si>
    <t>Sigortalı işe giriş bildirgesinin verilmediğinin Kurumca tespit edilmesi,</t>
  </si>
  <si>
    <t xml:space="preserve">Korean War Veteran </t>
  </si>
  <si>
    <t xml:space="preserve">Cyprus War Veteran </t>
  </si>
  <si>
    <t xml:space="preserve">    1- Zorunlu</t>
  </si>
  <si>
    <t xml:space="preserve">    3 - Muhtar</t>
  </si>
  <si>
    <t>ERZİNCAN</t>
  </si>
  <si>
    <t>ERZURUM</t>
  </si>
  <si>
    <t xml:space="preserve"> GÜMÜŞHANE</t>
  </si>
  <si>
    <t xml:space="preserve"> HAKKARİ</t>
  </si>
  <si>
    <t xml:space="preserve"> HATAY</t>
  </si>
  <si>
    <t>BAYBURT</t>
  </si>
  <si>
    <t>KARAMAN</t>
  </si>
  <si>
    <t>KIRIKKALE</t>
  </si>
  <si>
    <t>BATMAN</t>
  </si>
  <si>
    <t>ŞIRNAK</t>
  </si>
  <si>
    <t>BARTIN</t>
  </si>
  <si>
    <t>ARDAHAN</t>
  </si>
  <si>
    <t>IĞDIR</t>
  </si>
  <si>
    <t>YALOVA</t>
  </si>
  <si>
    <t>KARABÜK</t>
  </si>
  <si>
    <t>KİLİS</t>
  </si>
  <si>
    <t xml:space="preserve">GÜMÜŞHANE </t>
  </si>
  <si>
    <t>Invalidity</t>
  </si>
  <si>
    <t xml:space="preserve"> 2022 SK GÖRE AYLIK ALANLAR</t>
  </si>
  <si>
    <t>DOLU KADRO</t>
  </si>
  <si>
    <t>TOPLAM KADRO</t>
  </si>
  <si>
    <t xml:space="preserve">Sosyal Güvenlik Kapsamında Bakmakla Yükümlü 
Tutulanların (Yararlanıcıların)  Sayısı </t>
  </si>
  <si>
    <t>Receiver of perm. incap. income</t>
  </si>
  <si>
    <t xml:space="preserve">VETERİNERLİK HİZMETLERİ             </t>
  </si>
  <si>
    <t xml:space="preserve"> SİVAS</t>
  </si>
  <si>
    <t xml:space="preserve"> TEKİRDAĞ</t>
  </si>
  <si>
    <r>
      <t xml:space="preserve">Sayfa No 
</t>
    </r>
    <r>
      <rPr>
        <sz val="14"/>
        <rFont val="Arial"/>
        <family val="2"/>
        <charset val="162"/>
      </rPr>
      <t xml:space="preserve">Page No </t>
    </r>
  </si>
  <si>
    <t>750-999 Kişi</t>
  </si>
  <si>
    <t>Her bir sigortalı başına Asgari Ücretin 1/10 katı kadar</t>
  </si>
  <si>
    <t xml:space="preserve"> </t>
  </si>
  <si>
    <t>Erzincan</t>
  </si>
  <si>
    <t>Erzurum</t>
  </si>
  <si>
    <t>Eskişehir</t>
  </si>
  <si>
    <t>Gaziantep</t>
  </si>
  <si>
    <t>Giresun</t>
  </si>
  <si>
    <t>Gümüşhane</t>
  </si>
  <si>
    <t>Hakkari</t>
  </si>
  <si>
    <t>Hatay</t>
  </si>
  <si>
    <t>Isparta</t>
  </si>
  <si>
    <t>Mersin</t>
  </si>
  <si>
    <t>Valilikler, belediyeler ve ruhsat vermeye yetkili kamu ve özel hukuk tüzel kişilerince ruhsat niteliği taşıyan işlemlere ilişkin belgeler ile istihdama ilişkin bilgilerin Kuruma bildirilmemesi</t>
  </si>
  <si>
    <t>İşverence verildiği tarihten itibaren 1 ay içinde bildirilmesi</t>
  </si>
  <si>
    <t>Çanakkale</t>
  </si>
  <si>
    <t xml:space="preserve"> -Dosya</t>
  </si>
  <si>
    <t xml:space="preserve"> -Kişi  </t>
  </si>
  <si>
    <t>Sinop</t>
  </si>
  <si>
    <t>Sivas</t>
  </si>
  <si>
    <t>Tekirdağ</t>
  </si>
  <si>
    <t>Tokat</t>
  </si>
  <si>
    <t>Trabzon</t>
  </si>
  <si>
    <t>Tunceli</t>
  </si>
  <si>
    <t>Uşak</t>
  </si>
  <si>
    <t>Van</t>
  </si>
  <si>
    <t>Yozgat</t>
  </si>
  <si>
    <t>Zonguldak</t>
  </si>
  <si>
    <t xml:space="preserve">PROGRAMCILIK VE YAYINCILIK FAAL.    </t>
  </si>
  <si>
    <t xml:space="preserve">TELEKOMİNİKASYON                    </t>
  </si>
  <si>
    <t xml:space="preserve">BİLGİSAYAR PROGRAMLAMA VE DANIŞ.    </t>
  </si>
  <si>
    <t xml:space="preserve">BİLGİ HİZMET FAALİYETLERİ           </t>
  </si>
  <si>
    <t xml:space="preserve">   1- Yaşlılık</t>
  </si>
  <si>
    <t>ŞUBAT</t>
  </si>
  <si>
    <t>MART</t>
  </si>
  <si>
    <t>NİSAN</t>
  </si>
  <si>
    <t>MAYIS</t>
  </si>
  <si>
    <t>HAZİRAN</t>
  </si>
  <si>
    <t>TEMMUZ</t>
  </si>
  <si>
    <t xml:space="preserve">KAMU YÖN.VE SAVUNMA,ZOR.SOS.GÜV.    </t>
  </si>
  <si>
    <t xml:space="preserve">DERİ VE İLGİLİ ÜRÜNLER İMALATI      </t>
  </si>
  <si>
    <t xml:space="preserve">ELEKTRİKLİ TECHİZAT İMALATI         </t>
  </si>
  <si>
    <t>ELK.GAZ,BUHAR VE HAVA.SİS.ÜRET.DA.</t>
  </si>
  <si>
    <t xml:space="preserve">DİĞER MESLEKİ,BİLİM.VE TEK.FAAL.    </t>
  </si>
  <si>
    <t xml:space="preserve"> İZMİR</t>
  </si>
  <si>
    <t xml:space="preserve"> KARS</t>
  </si>
  <si>
    <t>GİRESUN</t>
  </si>
  <si>
    <t>GÜMÜŞHANE</t>
  </si>
  <si>
    <t>HAKKARİ</t>
  </si>
  <si>
    <t>NOT:1- Tütün İkramiyesi ödemesi yılda bir kez yapılmaktadır ve toplama dahil edilmemiştir.</t>
  </si>
  <si>
    <t>Bağımlılar</t>
  </si>
  <si>
    <t xml:space="preserve">        2- 4/c kapsamında çalışan aktif sigortalı sayıları NİSAN 2009 tarihinden itibaren  kesenekleri Kuruma bildirilen kişi sayıları olarak verilmeye başlanmıştır. NİSAN 2009 tarihinden önce ise aktif sigortalı sayıları katsayı sistemine göre verildiğinden, bu kapsamdaki aktif sigortalı sayısı 2009 yılı ARALIK ayına göre (kesenekleri Kuruma bildirilen kişi sayıları) geçmişe yönelik olarak 2000 yılına kadar  revize edilmiştir.</t>
  </si>
  <si>
    <t xml:space="preserve">Insured in Agricultural Sector </t>
  </si>
  <si>
    <t>Disability</t>
  </si>
  <si>
    <t>KONYA</t>
  </si>
  <si>
    <t>4-6 Kişi</t>
  </si>
  <si>
    <t>7-9 Kişi</t>
  </si>
  <si>
    <t>10-19 Kişi</t>
  </si>
  <si>
    <t>20-29 Kişi</t>
  </si>
  <si>
    <t>30-49 Kişi</t>
  </si>
  <si>
    <t>malül</t>
  </si>
  <si>
    <t>yaşlı</t>
  </si>
  <si>
    <t>Her bir sigortalı için Asgari Ücret Tutarının 5 katı kadar</t>
  </si>
  <si>
    <t>102/1-b</t>
  </si>
  <si>
    <t>Diyarbakır</t>
  </si>
  <si>
    <t>Elazığ</t>
  </si>
  <si>
    <t>Kırklareli</t>
  </si>
  <si>
    <t>Kırşehir</t>
  </si>
  <si>
    <t>Şanlıurfa</t>
  </si>
  <si>
    <t>Kırıkkale</t>
  </si>
  <si>
    <t>Şırnak</t>
  </si>
  <si>
    <t>Bartın</t>
  </si>
  <si>
    <t>Iğdır</t>
  </si>
  <si>
    <t>kapsam</t>
  </si>
  <si>
    <t>bağımlı sayısı</t>
  </si>
  <si>
    <t>Bagımlı sayısı</t>
  </si>
  <si>
    <t>Tütün İkramiyesi</t>
  </si>
  <si>
    <t>Sosyal Güvenlik Kapsamı</t>
  </si>
  <si>
    <t>Bir Önceki
 Aya Göre
 Değişim %</t>
  </si>
  <si>
    <t>Yurtdışı+Kıbrıs</t>
  </si>
  <si>
    <t>(*) 5510 sayılı Kanunun 51.maddesi gereğince isteğe bağlı sigorta primi ödenmiş süreler Kanunun 4'üncü maddesi 1.fıkrası,  ( b ) bendi kapsamına alınması sebebiyle tescil işlemleri tamamlandığından Kanun gereği tek bir yerde gösterilmiştir.</t>
  </si>
  <si>
    <t>KAYITLI MEDYANIN BASILMASI VE ÇOĞAL.</t>
  </si>
  <si>
    <t xml:space="preserve">METALİK OLMAYAN ÜRÜNLER İMA.   </t>
  </si>
  <si>
    <t xml:space="preserve">K.MARAŞ   </t>
  </si>
  <si>
    <t xml:space="preserve">MARDİN    </t>
  </si>
  <si>
    <t>TL</t>
  </si>
  <si>
    <t>En geç sigortalı çalıştırmaya başlanılan tarihte</t>
  </si>
  <si>
    <t xml:space="preserve">KAĞIT VE KAĞIT ÜRÜNLERİ İMALATI     </t>
  </si>
  <si>
    <t xml:space="preserve"> ZONGULDAK</t>
  </si>
  <si>
    <t xml:space="preserve"> AKSARAY</t>
  </si>
  <si>
    <t>102/1-g</t>
  </si>
  <si>
    <t>Çorum</t>
  </si>
  <si>
    <t>Denizli</t>
  </si>
  <si>
    <t>Edirne</t>
  </si>
  <si>
    <t xml:space="preserve">        2-  Vataniler faturalı ödemeler kapsamındadır ve istiklal madalyası alanları, kore ve kıbrıs gazilerini, vatani hizmet tertibinden aylık alanları ve haksahiplerini içermektedir.</t>
  </si>
  <si>
    <t>TAŞIMA.İÇİN DEPOLAMA VE DESTEK.FA.</t>
  </si>
  <si>
    <t xml:space="preserve">FİNANSAL HİZMET.(SİG.VE EMEK.HAR.) </t>
  </si>
  <si>
    <t>TOPTAN VE PER.TİC.VE MOT.TAŞIT.ON.</t>
  </si>
  <si>
    <t>PERAKENDE TİC.(MOT.TAŞIT.ONAR.HAR)</t>
  </si>
  <si>
    <t xml:space="preserve">Ticaret Sicil Müdürlüğüne yapılan  bildirimlerin on gün içinde Kuruma bildirilmemesi, </t>
  </si>
  <si>
    <t>Her bir bildirim yükümlülüğü için Asgari Ücret Tutarı kadar</t>
  </si>
  <si>
    <t xml:space="preserve">OSMANİYE  </t>
  </si>
  <si>
    <t>Hesap dönemi sonu</t>
  </si>
  <si>
    <t>SİGORTA REAS.EMEK.FONL(ZOR.S.G.HARİÇ)</t>
  </si>
  <si>
    <t>pasif</t>
  </si>
  <si>
    <t>Aktif Sigortalılar</t>
  </si>
  <si>
    <t xml:space="preserve">ORMANCILIK VE TOMRUKÇULUK           </t>
  </si>
  <si>
    <t xml:space="preserve"> BURSA</t>
  </si>
  <si>
    <t xml:space="preserve"> ÇANAKKALE</t>
  </si>
  <si>
    <t>OCAK</t>
  </si>
  <si>
    <r>
      <t xml:space="preserve">Aktif Sigortalı  </t>
    </r>
    <r>
      <rPr>
        <sz val="9"/>
        <rFont val="Arial"/>
        <family val="2"/>
      </rPr>
      <t>Insured Person</t>
    </r>
  </si>
  <si>
    <t>Male</t>
  </si>
  <si>
    <t>SİGOTA REAS.EMEK.FONL(ZOR.S.G.HARİÇ)</t>
  </si>
  <si>
    <t>II- PASİF (Aylık Alanlar) SİGORTALILAR</t>
  </si>
  <si>
    <t>1 - Yaşlılık</t>
  </si>
  <si>
    <t>2 - Malullük</t>
  </si>
  <si>
    <t xml:space="preserve"> KIRKLARELİ</t>
  </si>
  <si>
    <t xml:space="preserve"> KIRŞEHİR</t>
  </si>
  <si>
    <t xml:space="preserve"> KOCAELİ</t>
  </si>
  <si>
    <t xml:space="preserve">ORDU      </t>
  </si>
  <si>
    <t xml:space="preserve">RİZE      </t>
  </si>
  <si>
    <t>Manisa</t>
  </si>
  <si>
    <t xml:space="preserve">İNSAN SAĞLIĞI HİZMETLERİ            </t>
  </si>
  <si>
    <t>Geçersizlik halinin ait olduğu ay</t>
  </si>
  <si>
    <t xml:space="preserve"> NİĞDE</t>
  </si>
  <si>
    <t xml:space="preserve"> ORDU</t>
  </si>
  <si>
    <t xml:space="preserve">EV İÇİ ÇALIŞANLARIN FAALİYETLERİ    </t>
  </si>
  <si>
    <t xml:space="preserve">HANEHALKLARI TAR.KENDİ İHT.FAAL.    </t>
  </si>
  <si>
    <t xml:space="preserve">ULUSLARARASI ÖRGÜT VE TEMS.FA.    </t>
  </si>
  <si>
    <t xml:space="preserve">ÖZEL İNŞAAT FAALİYETLERİ            </t>
  </si>
  <si>
    <t xml:space="preserve">İŞYERİ SAYISI  </t>
  </si>
  <si>
    <t>3816 Sayılı Yeşil Kart Kanunu</t>
  </si>
  <si>
    <t xml:space="preserve">ECZACILIK VE ECZ.İLİŞKİN MAL.İM.. </t>
  </si>
  <si>
    <t xml:space="preserve">KAUÇUK VE PLASTİK ÜRÜNLER İM.  </t>
  </si>
  <si>
    <t>Medal holders benefits</t>
  </si>
  <si>
    <t xml:space="preserve"> TOKAT</t>
  </si>
  <si>
    <t>Sözleşmenin imzalandığı 
tarihten itibaren 15 inci gün</t>
  </si>
  <si>
    <t>102/1-e-5</t>
  </si>
  <si>
    <t xml:space="preserve">KARA TAŞIMA.VE BORU HATTI TAŞIMA.   </t>
  </si>
  <si>
    <t xml:space="preserve">SU YOLU TAŞIMACILIĞI                </t>
  </si>
  <si>
    <t xml:space="preserve">HAVAYOLU TAŞIMACILIĞI               </t>
  </si>
  <si>
    <t>Total Staff</t>
  </si>
  <si>
    <t>AĞUSTOS</t>
  </si>
  <si>
    <t>EYLÜL</t>
  </si>
  <si>
    <t>EKİM</t>
  </si>
  <si>
    <t>KASIM</t>
  </si>
  <si>
    <t>Ücret tediye bordrosunun ilişkin olduğu ayın son günü</t>
  </si>
  <si>
    <t>Değişim</t>
  </si>
  <si>
    <t>%</t>
  </si>
  <si>
    <t xml:space="preserve">MUŞ       </t>
  </si>
  <si>
    <t xml:space="preserve">NEVŞEHİR  </t>
  </si>
  <si>
    <t xml:space="preserve">NİĞDE     </t>
  </si>
  <si>
    <t>Total</t>
  </si>
  <si>
    <r>
      <t xml:space="preserve">Sosyal Güvenlik Kurumu Konsolide Nakit Akım Tabloları - </t>
    </r>
    <r>
      <rPr>
        <i/>
        <sz val="14"/>
        <rFont val="Arial"/>
        <family val="2"/>
        <charset val="162"/>
      </rPr>
      <t xml:space="preserve"> Consolidated Cash-Flow of  Social Security Institution</t>
    </r>
  </si>
  <si>
    <t>102/1-c-3</t>
  </si>
  <si>
    <t xml:space="preserve">ERZURUM   </t>
  </si>
  <si>
    <t>DÜZCE</t>
  </si>
  <si>
    <t>KIBRIS</t>
  </si>
  <si>
    <t>TOPLAM-Total</t>
  </si>
  <si>
    <t>oran</t>
  </si>
  <si>
    <t xml:space="preserve">MERSİN    </t>
  </si>
  <si>
    <t xml:space="preserve">İSTANBUL  </t>
  </si>
  <si>
    <t xml:space="preserve">İZMİR     </t>
  </si>
  <si>
    <t xml:space="preserve">KARS      </t>
  </si>
  <si>
    <t xml:space="preserve">İhale sözleşmesinin imzalandığı tarihten itibaren onbeş gün içinde Kuruma </t>
  </si>
  <si>
    <t xml:space="preserve">KİMYASAL ÜRÜNLERİ İMALATI           </t>
  </si>
  <si>
    <t>Asgari işçilik tutarının maledildiği her bir ay için Asagari Ücretin 2 katı kadar</t>
  </si>
  <si>
    <t>Her bir sigortalı için Asgari Ücret Tutarı kadar</t>
  </si>
  <si>
    <t>102/1-a-2</t>
  </si>
  <si>
    <t xml:space="preserve">ZONGULDAK </t>
  </si>
  <si>
    <t xml:space="preserve">AKSARAY   </t>
  </si>
  <si>
    <r>
      <t xml:space="preserve">
AKTİF SİGORTALILAR 
</t>
    </r>
    <r>
      <rPr>
        <sz val="7"/>
        <rFont val="Arial"/>
        <family val="2"/>
        <charset val="162"/>
      </rPr>
      <t>ACTIVE INSURED PERSONS</t>
    </r>
  </si>
  <si>
    <r>
      <t xml:space="preserve">4/a KAPSAMINDAKİ ZORUNLU SİGORTALI SAYILARI - </t>
    </r>
    <r>
      <rPr>
        <b/>
        <i/>
        <sz val="10"/>
        <rFont val="Arial Tur"/>
        <charset val="162"/>
      </rPr>
      <t xml:space="preserve"> </t>
    </r>
    <r>
      <rPr>
        <i/>
        <sz val="10"/>
        <rFont val="Arial Tur"/>
        <charset val="162"/>
      </rPr>
      <t>Number Of Compulsory Insured Person (4/a)</t>
    </r>
  </si>
  <si>
    <t>VERİLECEK İPC TUTARI</t>
  </si>
  <si>
    <t>SAKARYA</t>
  </si>
  <si>
    <t>SAMSUN</t>
  </si>
  <si>
    <t>Number of Compulsory Insured Person</t>
  </si>
  <si>
    <t>Average Daily Earning</t>
  </si>
  <si>
    <t>İLLER</t>
  </si>
  <si>
    <t>3 - Ölen Sigortalı (Dosya)</t>
  </si>
  <si>
    <t>4 - Ölen Sigortalıların Haksahipleri</t>
  </si>
  <si>
    <t xml:space="preserve">          2- 4b kapsamında aylık alan kişi sayılarının içinde  01.01.2013 tarihinden itibaren aylığı durdurulan kişi sayıları yer almamaktadır.</t>
  </si>
  <si>
    <t>TABLO 2- PERSONELİN ÖĞRENİM DURUMLARINA GÖRE DAĞILIMI</t>
  </si>
  <si>
    <t>TABLE 2- DISTRUBITION OF PERSONNEL BY EDUCATION STATUS</t>
  </si>
  <si>
    <t>Öğrenim Durumu</t>
  </si>
  <si>
    <t>Personel Sayısı</t>
  </si>
  <si>
    <t>Genel Toplam İçindeki Oranı (%)</t>
  </si>
  <si>
    <t>Education Grade</t>
  </si>
  <si>
    <t>Number of Personnel</t>
  </si>
  <si>
    <t xml:space="preserve">  Distribution Rate (%)</t>
  </si>
  <si>
    <r>
      <t xml:space="preserve">İlk Öğretim </t>
    </r>
    <r>
      <rPr>
        <i/>
        <sz val="10"/>
        <rFont val="Arial"/>
        <family val="2"/>
        <charset val="162"/>
      </rPr>
      <t>Primary School</t>
    </r>
  </si>
  <si>
    <r>
      <t>Lise</t>
    </r>
    <r>
      <rPr>
        <b/>
        <i/>
        <sz val="10"/>
        <rFont val="Arial"/>
        <family val="2"/>
        <charset val="162"/>
      </rPr>
      <t xml:space="preserve"> </t>
    </r>
    <r>
      <rPr>
        <i/>
        <sz val="10"/>
        <rFont val="Arial"/>
        <family val="2"/>
        <charset val="162"/>
      </rPr>
      <t>High School</t>
    </r>
  </si>
  <si>
    <r>
      <t xml:space="preserve">Yüksek Öğrenim </t>
    </r>
    <r>
      <rPr>
        <i/>
        <sz val="10"/>
        <rFont val="Arial"/>
        <family val="2"/>
        <charset val="162"/>
      </rPr>
      <t>University</t>
    </r>
  </si>
  <si>
    <t xml:space="preserve">   - Yüksek Okul </t>
  </si>
  <si>
    <r>
      <t xml:space="preserve">     </t>
    </r>
    <r>
      <rPr>
        <i/>
        <sz val="10"/>
        <rFont val="Arial"/>
        <family val="2"/>
        <charset val="162"/>
      </rPr>
      <t>College (2 or 3 years)</t>
    </r>
  </si>
  <si>
    <t xml:space="preserve">   - Lisans</t>
  </si>
  <si>
    <t xml:space="preserve">     Bachelor's Degree</t>
  </si>
  <si>
    <t xml:space="preserve">   - Master</t>
  </si>
  <si>
    <t xml:space="preserve">     Master</t>
  </si>
  <si>
    <t xml:space="preserve">   - Doktora</t>
  </si>
  <si>
    <t xml:space="preserve">     Ph Degree</t>
  </si>
  <si>
    <r>
      <t>Toplam-</t>
    </r>
    <r>
      <rPr>
        <i/>
        <sz val="10"/>
        <rFont val="Arial"/>
        <family val="2"/>
        <charset val="162"/>
      </rPr>
      <t>Total</t>
    </r>
  </si>
  <si>
    <t>TABLO 3 -PERSONELİN HİZMET SÜRELERİNE GÖRE DAĞILIMI</t>
  </si>
  <si>
    <t>TABLE 3 - DISTRUBITION OF PERSONNEL BY DUTY PERIODS</t>
  </si>
  <si>
    <t>Number of 
Personnel</t>
  </si>
  <si>
    <t>Distribution 
Rate %</t>
  </si>
  <si>
    <t>0 - 2 Yıl</t>
  </si>
  <si>
    <t>TABLO 4- PERSONELİN YAŞ GRUPLARINA VE CİNSİYETE GÖRE  DAĞILIMI</t>
  </si>
  <si>
    <t>TABLE 4- GENDER DISTRIBUTION OF PERSONNEL BY AGE GROUPS</t>
  </si>
  <si>
    <t>Yaş Grubu</t>
  </si>
  <si>
    <t>Age Group</t>
  </si>
  <si>
    <t>18-23</t>
  </si>
  <si>
    <t>24-29</t>
  </si>
  <si>
    <t>30-35</t>
  </si>
  <si>
    <t>36-41</t>
  </si>
  <si>
    <t>42-47</t>
  </si>
  <si>
    <t>48-53</t>
  </si>
  <si>
    <t>54-59</t>
  </si>
  <si>
    <t>60-65</t>
  </si>
  <si>
    <t xml:space="preserve">TABLO 7 - 4/a KAPSAMINDAKİ SİGORTALI SAYILARI VE SOSYAL GÜVENLİK KAPSAMI </t>
  </si>
  <si>
    <t>NOT:</t>
  </si>
  <si>
    <t xml:space="preserve"> Bağımlıların hesaplanmasında yeni katsayılar dikkate alınarak veriler geçmişe yönelik olarak 2000 yılına kadar revize edilmiştir. </t>
  </si>
  <si>
    <t>NOT: 1 -Özel Sandıklar Sosyal Güvenlik Kapsamına dahil edilmiştir.</t>
  </si>
  <si>
    <r>
      <t>4/a Kapsamındaki Kişilere Uygulanan İdari Para Cezaları -</t>
    </r>
    <r>
      <rPr>
        <i/>
        <sz val="14"/>
        <rFont val="Arial"/>
        <family val="2"/>
        <charset val="162"/>
      </rPr>
      <t>Fines Applied To EUSC</t>
    </r>
  </si>
  <si>
    <r>
      <t xml:space="preserve"> Özel  Kanunlara Göre Primsiz Ödemelerden Aylık Alanların Kişi  Sayıları-</t>
    </r>
    <r>
      <rPr>
        <i/>
        <sz val="14"/>
        <rFont val="Arial"/>
        <family val="2"/>
        <charset val="162"/>
      </rPr>
      <t xml:space="preserve">Number Of Pensoners Wıthen The Scope Of Payments Wıthout Premium According to Special Laws  </t>
    </r>
  </si>
  <si>
    <t>Hizmet Yılı</t>
  </si>
  <si>
    <t>Duty 
Year</t>
  </si>
  <si>
    <t xml:space="preserve">Number Of Person in the Social Security Coverage and Rate to the Turkey Popilation (Active Insured Persons, Passive Insured Persons, Dependents) </t>
  </si>
  <si>
    <t>Sosyal Güvenlik Kapsamındaki Kişi Sayısı ve Türkiye Nüfusuna Oranı (Aktif Çalışan,Emekli,Bakmakla Yükümlü Olunan) İL EMOD tablosu-</t>
  </si>
  <si>
    <r>
      <t xml:space="preserve">Toplam Aktif Sigortalı (I+II+III) 
</t>
    </r>
    <r>
      <rPr>
        <b/>
        <i/>
        <sz val="9"/>
        <rFont val="Arial"/>
        <family val="2"/>
        <charset val="162"/>
      </rPr>
      <t>Total</t>
    </r>
  </si>
  <si>
    <r>
      <t xml:space="preserve">Muhtar (III)          </t>
    </r>
    <r>
      <rPr>
        <i/>
        <sz val="9"/>
        <rFont val="Arial"/>
        <family val="2"/>
        <charset val="162"/>
      </rPr>
      <t xml:space="preserve"> Demarch</t>
    </r>
  </si>
  <si>
    <r>
      <t>İsteğe Bağlı (II)</t>
    </r>
    <r>
      <rPr>
        <sz val="9"/>
        <rFont val="Arial"/>
        <family val="2"/>
        <charset val="162"/>
      </rPr>
      <t xml:space="preserve"> </t>
    </r>
    <r>
      <rPr>
        <sz val="9"/>
        <color indexed="8"/>
        <rFont val="Arial"/>
        <family val="2"/>
        <charset val="162"/>
      </rPr>
      <t>Voluntarily Insured</t>
    </r>
  </si>
  <si>
    <t>TABLE11 (2) -  DISTRIBUTION OF SELF EMPLOYED INSURED PERSONS BY PROVINCES (1479)</t>
  </si>
  <si>
    <t>Sosyal Güvenlik Kapsamındaki Emeklilerin   il Nüfusuna Oranı(%)</t>
  </si>
  <si>
    <t>Sosyal Güvenlik Kapsamındaki Aktif Çalışanların  il Nüfusuna Oranı(%)</t>
  </si>
  <si>
    <t>Sosyal Güvenlik Kapsamının (Gelir Testi Yaptıranlar Hariç)  il Nüfusuna Oranı (%)</t>
  </si>
  <si>
    <t>TABLE 1 - STAFF SITUATION</t>
  </si>
  <si>
    <r>
      <t xml:space="preserve">MERKEZ TEŞKİLATI
</t>
    </r>
    <r>
      <rPr>
        <i/>
        <sz val="10"/>
        <rFont val="Arial"/>
        <family val="2"/>
        <charset val="162"/>
      </rPr>
      <t>Central Organization</t>
    </r>
  </si>
  <si>
    <r>
      <t xml:space="preserve">TAŞRA TEŞKİLATI
</t>
    </r>
    <r>
      <rPr>
        <i/>
        <sz val="10"/>
        <rFont val="Arial"/>
        <family val="2"/>
        <charset val="162"/>
      </rPr>
      <t>Country Organization</t>
    </r>
  </si>
  <si>
    <r>
      <t xml:space="preserve">TOPLAM  </t>
    </r>
    <r>
      <rPr>
        <i/>
        <sz val="10"/>
        <rFont val="Arial"/>
        <family val="2"/>
      </rPr>
      <t>Total</t>
    </r>
  </si>
  <si>
    <t xml:space="preserve">         3- Sosyal güvenlik kapsamında bulunan kişi sayılarına 2022 ye göre aylık alanlar ve 20.madde sandıklarına tabi olan kişi sayıları ile er ve erbaşlar dahil değildir.</t>
  </si>
  <si>
    <r>
      <t xml:space="preserve">ZORUNLU SİGORTALILAR (I) 
</t>
    </r>
    <r>
      <rPr>
        <sz val="8"/>
        <rFont val="Arial"/>
        <family val="2"/>
        <charset val="162"/>
      </rPr>
      <t>Compulsory Insured</t>
    </r>
  </si>
  <si>
    <r>
      <t xml:space="preserve">
AKTİF SİGORTALILAR 
</t>
    </r>
    <r>
      <rPr>
        <sz val="8"/>
        <rFont val="Arial"/>
        <family val="2"/>
        <charset val="162"/>
      </rPr>
      <t>ACTIVE INSURED PERSONS</t>
    </r>
  </si>
  <si>
    <t xml:space="preserve">KADIN </t>
  </si>
  <si>
    <t>TABLO 14 - 4/c KAPSAMINDAKİ AKTİF İŞTİRAKÇİLERİN VE EMEKLİLERİN  İLLERE GÖRE DAĞILIMI</t>
  </si>
  <si>
    <t>TABLE 14 - DISTRIBUTION OF ACTIVE CIVIL SERVANT CONTRIBUTORS AND PENSIONERS BY PROVINCES (4/c)</t>
  </si>
  <si>
    <t>4/b (Bağımsız Çalışanların 1479 ve 2926) Kapsamındaki Sigortalıların İllere ve Cinsiyetlere Göre Dağılımı -  Dıstrıbutıon of Self-employed Insured Persons by Provınce and Genders</t>
  </si>
  <si>
    <t>TABLO 13 - 4/b KAPSAMINDA BAĞIMSIZ ÇALIŞANLARIN (1479 VE 2926 KAPSAMINDAKİ AKTİF SİGORTALILARIN )İLLERE VE CİNSİYETE GÖRE DAĞILIMI</t>
  </si>
  <si>
    <t>TABLE 13- DISTRIBUTION OF SELF-EMPLOYED INSURED PERSONS (Self Employed Insured Person According to Act no:1479 and 2926) BY PROVINCE AND GENDERS</t>
  </si>
  <si>
    <t>Toplam Total</t>
  </si>
  <si>
    <t>5434 sk Ek 79 mad. göre Tütün İkramiyesi</t>
  </si>
  <si>
    <r>
      <t>İL KODU</t>
    </r>
    <r>
      <rPr>
        <sz val="11"/>
        <rFont val="Arial"/>
        <family val="2"/>
        <charset val="162"/>
      </rPr>
      <t xml:space="preserve"> 
Provinces code</t>
    </r>
  </si>
  <si>
    <r>
      <t xml:space="preserve">Sosyal Güvenlik Kapsamı 
</t>
    </r>
    <r>
      <rPr>
        <sz val="11"/>
        <rFont val="Arial"/>
        <family val="2"/>
      </rPr>
      <t>Social Security Coverage</t>
    </r>
  </si>
  <si>
    <r>
      <t xml:space="preserve">İller 
</t>
    </r>
    <r>
      <rPr>
        <sz val="11"/>
        <rFont val="Arial"/>
        <family val="2"/>
        <charset val="162"/>
      </rPr>
      <t>P</t>
    </r>
    <r>
      <rPr>
        <sz val="11"/>
        <rFont val="Arial"/>
        <family val="2"/>
      </rPr>
      <t>rovinces</t>
    </r>
  </si>
  <si>
    <t>Aktif Sigortalı
(İştirakçi)  Insured Person</t>
  </si>
  <si>
    <r>
      <t xml:space="preserve">4/a KAPSAMINDA OLANLAR  </t>
    </r>
    <r>
      <rPr>
        <i/>
        <sz val="11"/>
        <rFont val="Arial"/>
        <family val="2"/>
        <charset val="162"/>
      </rPr>
      <t>Employees Under a Service Contract</t>
    </r>
  </si>
  <si>
    <r>
      <t xml:space="preserve">Yaşlılık Aylığı - </t>
    </r>
    <r>
      <rPr>
        <i/>
        <sz val="11"/>
        <rFont val="Arial"/>
        <family val="2"/>
        <charset val="162"/>
      </rPr>
      <t>Old -Age Pension</t>
    </r>
  </si>
  <si>
    <r>
      <t xml:space="preserve">Ölüm Aylığı (Dosya)- </t>
    </r>
    <r>
      <rPr>
        <i/>
        <sz val="11"/>
        <rFont val="Arial"/>
        <family val="2"/>
        <charset val="162"/>
      </rPr>
      <t xml:space="preserve">Dead (File) Pension </t>
    </r>
  </si>
  <si>
    <r>
      <t xml:space="preserve">Ölüm Aylığı Al. </t>
    </r>
    <r>
      <rPr>
        <i/>
        <sz val="11"/>
        <color indexed="8"/>
        <rFont val="Times New Roman"/>
        <family val="1"/>
        <charset val="162"/>
      </rPr>
      <t xml:space="preserve"> (Kişi) - Dead (Person) </t>
    </r>
  </si>
  <si>
    <r>
      <t>Sürekli İşgör.Geliri Al.-</t>
    </r>
    <r>
      <rPr>
        <i/>
        <sz val="11"/>
        <rFont val="Arial"/>
        <family val="2"/>
        <charset val="162"/>
      </rPr>
      <t>Those receiving permanent incapacity income</t>
    </r>
  </si>
  <si>
    <r>
      <t xml:space="preserve">İşkazası ve Mes. Hast. Sonucu Ölüm Geliri (Dosya)- </t>
    </r>
    <r>
      <rPr>
        <sz val="11"/>
        <rFont val="Arial"/>
        <family val="2"/>
        <charset val="162"/>
      </rPr>
      <t xml:space="preserve">Survivors of the Dead Employees because Of Work Insury and </t>
    </r>
    <r>
      <rPr>
        <i/>
        <sz val="11"/>
        <rFont val="Arial"/>
        <family val="2"/>
        <charset val="162"/>
      </rPr>
      <t>Dead (File) Income</t>
    </r>
  </si>
  <si>
    <r>
      <t>İşkazası ve Mes. Hast. Sonucu Ölüm Haksah.</t>
    </r>
    <r>
      <rPr>
        <sz val="11"/>
        <color indexed="8"/>
        <rFont val="Arial"/>
        <family val="2"/>
        <charset val="162"/>
      </rPr>
      <t xml:space="preserve">( Kişi ) </t>
    </r>
    <r>
      <rPr>
        <i/>
        <sz val="11"/>
        <color indexed="8"/>
        <rFont val="Times New Roman"/>
        <family val="1"/>
        <charset val="162"/>
      </rPr>
      <t xml:space="preserve">
</t>
    </r>
    <r>
      <rPr>
        <i/>
        <sz val="11"/>
        <color indexed="8"/>
        <rFont val="Arial"/>
        <family val="2"/>
        <charset val="162"/>
      </rPr>
      <t>Survivors of the Dead Employees because Of Work Insury and Occipational Disease</t>
    </r>
  </si>
  <si>
    <r>
      <t xml:space="preserve">Toplam (Kişi) - </t>
    </r>
    <r>
      <rPr>
        <b/>
        <i/>
        <sz val="11"/>
        <rFont val="Arial"/>
        <family val="2"/>
        <charset val="162"/>
      </rPr>
      <t>Total (Person)</t>
    </r>
  </si>
  <si>
    <r>
      <t xml:space="preserve"> 4/b (BAĞIMSIZ ÇALIŞANLAR 1479)  </t>
    </r>
    <r>
      <rPr>
        <i/>
        <sz val="11"/>
        <rFont val="Arial"/>
        <family val="2"/>
        <charset val="162"/>
      </rPr>
      <t>Self-Employed Employees By the Law No:1479</t>
    </r>
  </si>
  <si>
    <r>
      <t xml:space="preserve">Ölüm Aylığı (Dosya)- </t>
    </r>
    <r>
      <rPr>
        <i/>
        <sz val="11"/>
        <rFont val="Arial"/>
        <family val="2"/>
        <charset val="162"/>
      </rPr>
      <t>Dead (File) Pension</t>
    </r>
  </si>
  <si>
    <r>
      <t>Haksahipleri -</t>
    </r>
    <r>
      <rPr>
        <sz val="11"/>
        <rFont val="Arial"/>
        <family val="2"/>
        <charset val="162"/>
      </rPr>
      <t xml:space="preserve"> </t>
    </r>
    <r>
      <rPr>
        <i/>
        <sz val="11"/>
        <rFont val="Arial"/>
        <family val="2"/>
        <charset val="162"/>
      </rPr>
      <t>Survivors Pension</t>
    </r>
  </si>
  <si>
    <r>
      <t>Sürekli İşgör.Geliri Al.-</t>
    </r>
    <r>
      <rPr>
        <b/>
        <i/>
        <sz val="11"/>
        <rFont val="Arial"/>
        <family val="2"/>
        <charset val="162"/>
      </rPr>
      <t xml:space="preserve"> </t>
    </r>
    <r>
      <rPr>
        <i/>
        <sz val="11"/>
        <rFont val="Arial"/>
        <family val="2"/>
        <charset val="162"/>
      </rPr>
      <t>Those receiving permanent incapacity income</t>
    </r>
  </si>
  <si>
    <r>
      <t xml:space="preserve">4/b ( BAĞIMSIZ ÇALIŞANLAR 2926) </t>
    </r>
    <r>
      <rPr>
        <i/>
        <sz val="11"/>
        <rFont val="Arial"/>
        <family val="2"/>
        <charset val="162"/>
      </rPr>
      <t>Self Employed Agricultural Employees By the Law No:2926</t>
    </r>
  </si>
  <si>
    <r>
      <t>4/c KAPSAMINDA OLANLAR</t>
    </r>
    <r>
      <rPr>
        <b/>
        <i/>
        <sz val="11"/>
        <rFont val="Arial"/>
        <family val="2"/>
        <charset val="162"/>
      </rPr>
      <t xml:space="preserve"> </t>
    </r>
    <r>
      <rPr>
        <i/>
        <sz val="11"/>
        <rFont val="Arial"/>
        <family val="2"/>
        <charset val="162"/>
      </rPr>
      <t>Civil Servants</t>
    </r>
  </si>
  <si>
    <r>
      <t>Ölüm Aylığı (Dosya)-</t>
    </r>
    <r>
      <rPr>
        <b/>
        <i/>
        <sz val="11"/>
        <rFont val="Arial"/>
        <family val="2"/>
        <charset val="162"/>
      </rPr>
      <t xml:space="preserve"> </t>
    </r>
    <r>
      <rPr>
        <i/>
        <sz val="11"/>
        <rFont val="Arial"/>
        <family val="2"/>
        <charset val="162"/>
      </rPr>
      <t>Dead (File) Pension</t>
    </r>
  </si>
  <si>
    <r>
      <t>Haksahipleri -</t>
    </r>
    <r>
      <rPr>
        <i/>
        <sz val="11"/>
        <rFont val="Arial"/>
        <family val="2"/>
        <charset val="162"/>
      </rPr>
      <t xml:space="preserve"> Survivors Pension </t>
    </r>
  </si>
  <si>
    <r>
      <t>Vataniler-</t>
    </r>
    <r>
      <rPr>
        <i/>
        <sz val="11"/>
        <rFont val="Arial"/>
        <family val="2"/>
        <charset val="162"/>
      </rPr>
      <t>Patriotic Services (*)</t>
    </r>
  </si>
  <si>
    <r>
      <t xml:space="preserve">İŞYERİ SAYISI     
</t>
    </r>
    <r>
      <rPr>
        <sz val="10"/>
        <rFont val="Arial"/>
        <family val="2"/>
        <charset val="162"/>
      </rPr>
      <t>(Number of Work Places)</t>
    </r>
  </si>
  <si>
    <r>
      <t xml:space="preserve">ZORUNLU SİGORTALI SAYISI 
</t>
    </r>
    <r>
      <rPr>
        <i/>
        <sz val="10"/>
        <rFont val="Arial"/>
        <family val="2"/>
        <charset val="162"/>
      </rPr>
      <t>(Number of Compulsory Insured Person</t>
    </r>
    <r>
      <rPr>
        <b/>
        <i/>
        <sz val="10"/>
        <rFont val="Arial"/>
        <family val="2"/>
        <charset val="162"/>
      </rPr>
      <t>)</t>
    </r>
  </si>
  <si>
    <r>
      <t xml:space="preserve">ORTALAMA GÜNLÜK KAZANÇ (TL)
</t>
    </r>
    <r>
      <rPr>
        <i/>
        <sz val="10"/>
        <rFont val="Arial"/>
        <family val="2"/>
        <charset val="162"/>
      </rPr>
      <t>(Average Daily Earning)</t>
    </r>
  </si>
  <si>
    <r>
      <t xml:space="preserve">İL KODU - </t>
    </r>
    <r>
      <rPr>
        <b/>
        <i/>
        <sz val="8"/>
        <rFont val="Arial"/>
        <family val="2"/>
        <charset val="162"/>
      </rPr>
      <t xml:space="preserve"> </t>
    </r>
    <r>
      <rPr>
        <i/>
        <sz val="8"/>
        <rFont val="Arial"/>
        <family val="2"/>
        <charset val="162"/>
      </rPr>
      <t>Province Code</t>
    </r>
  </si>
  <si>
    <r>
      <t>FAALİYET BÖLÜMLERİ</t>
    </r>
    <r>
      <rPr>
        <sz val="9"/>
        <rFont val="Arial"/>
        <family val="2"/>
        <charset val="162"/>
      </rPr>
      <t xml:space="preserve">
(NACE SINIFLAMASINA GÖRE)
</t>
    </r>
    <r>
      <rPr>
        <i/>
        <sz val="9"/>
        <rFont val="Arial"/>
        <family val="2"/>
        <charset val="162"/>
      </rPr>
      <t>(Branch of Activities)</t>
    </r>
  </si>
  <si>
    <r>
      <t>FAALİYET BÖLÜMLERİ
(NACE SINIFLAMASINA GÖRE)</t>
    </r>
    <r>
      <rPr>
        <sz val="9"/>
        <rFont val="Arial"/>
        <family val="2"/>
        <charset val="162"/>
      </rPr>
      <t xml:space="preserve">
</t>
    </r>
    <r>
      <rPr>
        <i/>
        <sz val="9"/>
        <rFont val="Arial"/>
        <family val="2"/>
        <charset val="162"/>
      </rPr>
      <t>(Branch of Activities)</t>
    </r>
  </si>
  <si>
    <r>
      <t xml:space="preserve">ZORUNLU SİGORTALI SAYISI - </t>
    </r>
    <r>
      <rPr>
        <i/>
        <sz val="9"/>
        <rFont val="Arial"/>
        <family val="2"/>
        <charset val="162"/>
      </rPr>
      <t>Number of Compulsory Insured Person</t>
    </r>
  </si>
  <si>
    <r>
      <t xml:space="preserve">Toplam 
</t>
    </r>
    <r>
      <rPr>
        <i/>
        <sz val="9"/>
        <rFont val="Arial"/>
        <family val="2"/>
        <charset val="162"/>
      </rPr>
      <t>Total</t>
    </r>
  </si>
  <si>
    <r>
      <t xml:space="preserve">İŞ YERİ BÜYÜKLÜĞÜ (İşyerinde Çalıştırılan Sigortalı sayısı)- </t>
    </r>
    <r>
      <rPr>
        <i/>
        <sz val="9"/>
        <rFont val="Arial"/>
        <family val="2"/>
        <charset val="162"/>
      </rPr>
      <t>Size of Work Places</t>
    </r>
  </si>
  <si>
    <r>
      <t xml:space="preserve">ZORUNLU SİGORTALI SAYISI  </t>
    </r>
    <r>
      <rPr>
        <i/>
        <sz val="9"/>
        <rFont val="Arial"/>
        <family val="2"/>
        <charset val="162"/>
      </rPr>
      <t>Number of Compulsory Insured Person</t>
    </r>
  </si>
  <si>
    <t>Genel Sağlık Sigortası Kapsamında Tescil Edilenler(*)</t>
  </si>
  <si>
    <t xml:space="preserve">Genel Sağlık Sigortası Primleri Kendileri Tarafından Ödenenler </t>
  </si>
  <si>
    <t xml:space="preserve">Genel Sağlık Sigortası Primi Devlet Tarafından Ödenenler </t>
  </si>
  <si>
    <t>Genel Sağlık Sigortası Primi Devlet Tarafından Ödenenler(*)</t>
  </si>
  <si>
    <t>Genel Sağlık Sigortası Primleri Kendileri Tarafından Ödenenler(*)</t>
  </si>
  <si>
    <t xml:space="preserve"> 1479 Sayılı Kanuna göre Toplam Aktif Sigortalı (I+II+III)
Total Self Employed  According to Act no 1479</t>
  </si>
  <si>
    <t>Person who General Health Insurance premiums paid by themselves</t>
  </si>
  <si>
    <t> Number of registered under the General Health Insurance</t>
  </si>
  <si>
    <t xml:space="preserve"> 2926 Sayılı Kanuna göre Toplam Aktif Sigortalı (I+II)
Total Self Employed  According to Act no2926</t>
  </si>
  <si>
    <t xml:space="preserve">3 - Vazife malulü </t>
  </si>
  <si>
    <t>4 - 18 Yaş Altı Sakat-Malul</t>
  </si>
  <si>
    <t xml:space="preserve">         2 -Yurtdışı sigortalıları bağımlı toplamına eklenmiştir.</t>
  </si>
  <si>
    <t xml:space="preserve">        4- Bağımlıların hesaplanmasında yeni katsayılar dikkate alınarak veriler geçmişe yönelik olarak 2000 yılına kadar revize edilmiştir. </t>
  </si>
  <si>
    <t xml:space="preserve">   2 - Malullük</t>
  </si>
  <si>
    <t xml:space="preserve">   3 - Vazife malulü</t>
  </si>
  <si>
    <t xml:space="preserve">TABLO 11 (1) - 4/b (BAĞIMSIZ ÇALIŞANLAR 1479) KAPSAMINDAKİ AKTİF VE PASİF SİGORTALILARIN İLLERE  GÖRE DAĞILIMI </t>
  </si>
  <si>
    <r>
      <t xml:space="preserve">Malullük Aylığı - </t>
    </r>
    <r>
      <rPr>
        <i/>
        <sz val="11"/>
        <rFont val="Arial"/>
        <family val="2"/>
        <charset val="162"/>
      </rPr>
      <t>Disable Pension</t>
    </r>
  </si>
  <si>
    <r>
      <t>Malullük Aylığı -</t>
    </r>
    <r>
      <rPr>
        <b/>
        <i/>
        <sz val="11"/>
        <rFont val="Arial"/>
        <family val="2"/>
        <charset val="162"/>
      </rPr>
      <t xml:space="preserve"> </t>
    </r>
    <r>
      <rPr>
        <i/>
        <sz val="11"/>
        <rFont val="Arial"/>
        <family val="2"/>
        <charset val="162"/>
      </rPr>
      <t>Disable Pension</t>
    </r>
  </si>
  <si>
    <r>
      <t xml:space="preserve">Vazife Malulü - </t>
    </r>
    <r>
      <rPr>
        <i/>
        <sz val="11"/>
        <rFont val="Arial"/>
        <family val="2"/>
        <charset val="162"/>
      </rPr>
      <t>Duty Disable Pension</t>
    </r>
  </si>
  <si>
    <r>
      <t xml:space="preserve">İŞYERİ BÜYÜKLÜĞÜ (İşyerinde Çalıştırılan Sigortalı sayısı) </t>
    </r>
    <r>
      <rPr>
        <i/>
        <sz val="9"/>
        <rFont val="Arial"/>
        <family val="2"/>
        <charset val="162"/>
      </rPr>
      <t>Size of Work Places</t>
    </r>
  </si>
  <si>
    <t>* 1/1/2012 tarihinden itibaren  herhangi bir sosyal güvence kapsamında olmayan ya da genel sağlık sigortalısının bakmakla yükümlü olduğu kişisi olmayanlar ile 5510 sayılı Kanun kapsamı dışında olan herkes zorunlu genel sağlık sigortalısı kapsamına alınır.</t>
  </si>
  <si>
    <t xml:space="preserve">NOT:Mahkeme kararına, Kurumun denetim ve kontrol ile görevlendirilmiş memurlarınca yapılan tespitler veya diğer kamu idarelerinin denetim elemanlarınca  kendi mevzuatları gereğince yapacakları soruşturma denetim ve incelemelere yada kamu idareleriniden alınan belgelere istinaden düzenlenenler hariç olmak üzere, bildirgenin veya belgenin yasal süresi geçirildikten sonra ilgililerce kendiliğinden otuz gün içinde verilmesi ve sözkonusu cezaların ilgililerce, yapılacak tebligat tarihini takip eden günden itibaren 15 gün içinde ödenmesi halinde yukarıda belirtilen yükümlülüklerden (a),  (b), (g), (h) ve (j) bentlerinde öngörülen cezalar 1/4 oranına karşılık gelen tutar üzerinden uygulanır. </t>
  </si>
  <si>
    <t>NOT:1-Topluluk sigortasına tabi sigortalı sayıları 21 nolu aylık prim ve hizmet belgesiyle belirlenen içinde yurtdışı topluluk sayısıdır.
         2- 1.10.2008 tarihinden itibaren tarım sigortalısında tescil yapılmamaktadır.</t>
  </si>
  <si>
    <t>TABLO 11 (2) - 4/b (BAĞIMSIZ ÇALIŞANLAR 1479) KAPSAMINDAKİ AKTİF VE PASİF SİGORTALILARIN İLLERE  GÖRE DAĞILIMI (1479)</t>
  </si>
  <si>
    <r>
      <t xml:space="preserve">Malül (V)
</t>
    </r>
    <r>
      <rPr>
        <sz val="9"/>
        <rFont val="Arial"/>
        <family val="2"/>
      </rPr>
      <t xml:space="preserve"> Invalidity</t>
    </r>
  </si>
  <si>
    <r>
      <t xml:space="preserve">Yaşlı (VI)
</t>
    </r>
    <r>
      <rPr>
        <sz val="9"/>
        <rFont val="Arial"/>
        <family val="2"/>
      </rPr>
      <t>Old Age 
Pensioners</t>
    </r>
  </si>
  <si>
    <r>
      <t xml:space="preserve"> Sürekli İşgöremezlik Ölüm Geliri (Dosya)(X) </t>
    </r>
    <r>
      <rPr>
        <sz val="9"/>
        <rFont val="Arial"/>
        <family val="2"/>
        <charset val="162"/>
      </rPr>
      <t>Survivors receiving income</t>
    </r>
  </si>
  <si>
    <r>
      <t>Sürekli İşgöremezlik Ölüm Geliri Alan Haksahibi</t>
    </r>
    <r>
      <rPr>
        <sz val="9"/>
        <rFont val="Arial"/>
        <family val="2"/>
        <charset val="162"/>
      </rPr>
      <t>.</t>
    </r>
    <r>
      <rPr>
        <b/>
        <sz val="9"/>
        <rFont val="Arial"/>
        <family val="2"/>
        <charset val="162"/>
      </rPr>
      <t>(XI)</t>
    </r>
    <r>
      <rPr>
        <sz val="9"/>
        <rFont val="Arial"/>
        <family val="2"/>
        <charset val="162"/>
      </rPr>
      <t>Survivors receiving income</t>
    </r>
  </si>
  <si>
    <r>
      <t xml:space="preserve"> Ölen Sigortalıların Haksahipleri  (VIII)</t>
    </r>
    <r>
      <rPr>
        <sz val="9"/>
        <rFont val="Arial"/>
        <family val="2"/>
        <charset val="162"/>
      </rPr>
      <t xml:space="preserve"> Survivors</t>
    </r>
  </si>
  <si>
    <r>
      <t xml:space="preserve">Ölen sigortalı (Dosya) (VII) </t>
    </r>
    <r>
      <rPr>
        <sz val="9"/>
        <rFont val="Arial"/>
        <family val="2"/>
        <charset val="162"/>
      </rPr>
      <t>Death (File)</t>
    </r>
  </si>
  <si>
    <r>
      <t>SÜREKLİ İŞ GÖREMEZLİK GELİRİ ALANLAR (IX)</t>
    </r>
    <r>
      <rPr>
        <b/>
        <sz val="8"/>
        <color indexed="8"/>
        <rFont val="Arial"/>
        <family val="2"/>
        <charset val="162"/>
      </rPr>
      <t xml:space="preserve"> </t>
    </r>
    <r>
      <rPr>
        <b/>
        <sz val="7"/>
        <color indexed="8"/>
        <rFont val="Arial"/>
        <family val="2"/>
      </rPr>
      <t xml:space="preserve"> Those receiving permanent incapacity income</t>
    </r>
  </si>
  <si>
    <r>
      <t xml:space="preserve">Toplam Aylık Alanlar
(Dosya) (V+VI+VII+IX+X)
 </t>
    </r>
    <r>
      <rPr>
        <sz val="9"/>
        <rFont val="Arial"/>
        <family val="2"/>
      </rPr>
      <t>Total (File)</t>
    </r>
  </si>
  <si>
    <r>
      <t xml:space="preserve">Toplam Aylık Alanlar (Kişi) (V+VI+VIII+IX+XI) </t>
    </r>
    <r>
      <rPr>
        <sz val="9"/>
        <rFont val="Arial"/>
        <family val="2"/>
      </rPr>
      <t>Pensioners
(Person)</t>
    </r>
  </si>
  <si>
    <r>
      <t xml:space="preserve">Malül (III)
</t>
    </r>
    <r>
      <rPr>
        <sz val="9"/>
        <rFont val="Arial"/>
        <family val="2"/>
      </rPr>
      <t xml:space="preserve"> Invalidity</t>
    </r>
  </si>
  <si>
    <r>
      <t xml:space="preserve">Aktif Sigortalı (I+II) </t>
    </r>
    <r>
      <rPr>
        <sz val="11"/>
        <color indexed="8"/>
        <rFont val="Arial"/>
        <family val="2"/>
        <charset val="162"/>
      </rPr>
      <t>Insured Person</t>
    </r>
  </si>
  <si>
    <r>
      <t xml:space="preserve">Yaşlı (IV)
</t>
    </r>
    <r>
      <rPr>
        <sz val="9"/>
        <rFont val="Arial"/>
        <family val="2"/>
      </rPr>
      <t>Old Age 
Pensioners</t>
    </r>
  </si>
  <si>
    <r>
      <t xml:space="preserve">Ölen sigortalı (Dosya)(V) </t>
    </r>
    <r>
      <rPr>
        <sz val="9"/>
        <rFont val="Arial"/>
        <family val="2"/>
        <charset val="162"/>
      </rPr>
      <t>Death (File)</t>
    </r>
  </si>
  <si>
    <r>
      <t xml:space="preserve"> Ölen Sigortalıların Haksahipleri (VI)</t>
    </r>
    <r>
      <rPr>
        <sz val="9"/>
        <rFont val="Arial"/>
        <family val="2"/>
        <charset val="162"/>
      </rPr>
      <t xml:space="preserve"> Survivors</t>
    </r>
  </si>
  <si>
    <r>
      <t xml:space="preserve">Toplam Aylık Alanlar
(Dosya) (III+IV+V+VII+VIII)
 </t>
    </r>
    <r>
      <rPr>
        <sz val="11"/>
        <rFont val="Arial"/>
        <family val="2"/>
      </rPr>
      <t>Total (File)</t>
    </r>
  </si>
  <si>
    <r>
      <t xml:space="preserve">Toplam Aylık Alanlar (Kişi) (III+IV+VI+VII+IX) </t>
    </r>
    <r>
      <rPr>
        <sz val="11"/>
        <rFont val="Arial"/>
        <family val="2"/>
      </rPr>
      <t>Pensioners (Person)</t>
    </r>
  </si>
  <si>
    <t xml:space="preserve">   5 - İşkazası Sonucu Sürekli İş göremezlik Geliri Alan.</t>
  </si>
  <si>
    <t xml:space="preserve">   7 - İşkazası Sonucu S.İ Ölüm Geliri Alan Haksahibi</t>
  </si>
  <si>
    <t xml:space="preserve"> 4- Ölen Sigortalı (Dosya)</t>
  </si>
  <si>
    <r>
      <t>İşkazası  Sonucu Sürekli  İş Göremezlik Geliri Alanlar (VII)</t>
    </r>
    <r>
      <rPr>
        <b/>
        <sz val="8"/>
        <color indexed="8"/>
        <rFont val="Arial"/>
        <family val="2"/>
        <charset val="162"/>
      </rPr>
      <t xml:space="preserve"> </t>
    </r>
    <r>
      <rPr>
        <b/>
        <sz val="7"/>
        <color indexed="8"/>
        <rFont val="Arial"/>
        <family val="2"/>
      </rPr>
      <t xml:space="preserve"> Those receiving permanent incapacity income</t>
    </r>
  </si>
  <si>
    <r>
      <t xml:space="preserve"> İşkazası Sonucu Sürekli İşgöremezlik Ölüm Geliri (Dosya) (VIII) </t>
    </r>
    <r>
      <rPr>
        <sz val="9"/>
        <rFont val="Arial"/>
        <family val="2"/>
        <charset val="162"/>
      </rPr>
      <t>Survivors receiving income</t>
    </r>
  </si>
  <si>
    <r>
      <t xml:space="preserve"> İşkazası Sonucu Sürekli İşgöremezlik Ölüm Geliri Alan Haksahibi</t>
    </r>
    <r>
      <rPr>
        <sz val="9"/>
        <rFont val="Arial"/>
        <family val="2"/>
        <charset val="162"/>
      </rPr>
      <t>.</t>
    </r>
    <r>
      <rPr>
        <b/>
        <sz val="9"/>
        <rFont val="Arial"/>
        <family val="2"/>
        <charset val="162"/>
      </rPr>
      <t xml:space="preserve">(IX) </t>
    </r>
    <r>
      <rPr>
        <sz val="9"/>
        <rFont val="Arial"/>
        <family val="2"/>
        <charset val="162"/>
      </rPr>
      <t>Survivors receiving income</t>
    </r>
  </si>
  <si>
    <r>
      <t xml:space="preserve">Malül (IV)
</t>
    </r>
    <r>
      <rPr>
        <sz val="9"/>
        <rFont val="Arial"/>
        <family val="2"/>
      </rPr>
      <t xml:space="preserve"> Invalidity</t>
    </r>
  </si>
  <si>
    <r>
      <t xml:space="preserve">Yaşlı (V)
</t>
    </r>
    <r>
      <rPr>
        <sz val="9"/>
        <rFont val="Arial"/>
        <family val="2"/>
      </rPr>
      <t>Old Age 
Pensioners</t>
    </r>
  </si>
  <si>
    <r>
      <t xml:space="preserve">Ölen sigortalı (Dosya) (VI) </t>
    </r>
    <r>
      <rPr>
        <sz val="9"/>
        <rFont val="Arial"/>
        <family val="2"/>
        <charset val="162"/>
      </rPr>
      <t>Death (File)</t>
    </r>
  </si>
  <si>
    <r>
      <t xml:space="preserve"> Ölen Sigortalıların Haksahipleri  (VII)</t>
    </r>
    <r>
      <rPr>
        <sz val="9"/>
        <rFont val="Arial"/>
        <family val="2"/>
        <charset val="162"/>
      </rPr>
      <t xml:space="preserve"> Survivors</t>
    </r>
  </si>
  <si>
    <r>
      <t>Sürekli İş Göremezlik Geliri Alanlar (VIII)</t>
    </r>
    <r>
      <rPr>
        <b/>
        <sz val="8"/>
        <color indexed="8"/>
        <rFont val="Arial"/>
        <family val="2"/>
        <charset val="162"/>
      </rPr>
      <t xml:space="preserve"> </t>
    </r>
    <r>
      <rPr>
        <b/>
        <sz val="7"/>
        <color indexed="8"/>
        <rFont val="Arial"/>
        <family val="2"/>
      </rPr>
      <t xml:space="preserve"> Those receiving permanent incapacity income</t>
    </r>
  </si>
  <si>
    <r>
      <t xml:space="preserve"> Sürekli İşgöremezlik Ölüm Geliri (Dosya)(IX) </t>
    </r>
    <r>
      <rPr>
        <sz val="9"/>
        <rFont val="Arial"/>
        <family val="2"/>
        <charset val="162"/>
      </rPr>
      <t>Survivors receiving income</t>
    </r>
  </si>
  <si>
    <r>
      <t>Sürekli İşgöremezlik Ölüm Geliri Alan Haksahibi</t>
    </r>
    <r>
      <rPr>
        <sz val="9"/>
        <rFont val="Arial"/>
        <family val="2"/>
        <charset val="162"/>
      </rPr>
      <t>.</t>
    </r>
    <r>
      <rPr>
        <b/>
        <sz val="9"/>
        <rFont val="Arial"/>
        <family val="2"/>
        <charset val="162"/>
      </rPr>
      <t xml:space="preserve">(X) </t>
    </r>
    <r>
      <rPr>
        <sz val="9"/>
        <rFont val="Arial"/>
        <family val="2"/>
        <charset val="162"/>
      </rPr>
      <t>Survivors receiving income</t>
    </r>
  </si>
  <si>
    <r>
      <t xml:space="preserve">Toplam Aylık Alanlar
(Dosya) (IV+V+VI+VIII+IX)
 </t>
    </r>
    <r>
      <rPr>
        <sz val="9"/>
        <rFont val="Arial"/>
        <family val="2"/>
      </rPr>
      <t>Total (File)</t>
    </r>
  </si>
  <si>
    <r>
      <t xml:space="preserve">Toplam Aylık Alanlar (Kişi) (IV+V+VII+VIII+X) </t>
    </r>
    <r>
      <rPr>
        <sz val="9"/>
        <rFont val="Arial"/>
        <family val="2"/>
      </rPr>
      <t>Pensioners
(Person)</t>
    </r>
  </si>
  <si>
    <r>
      <t xml:space="preserve">İŞ.KAZ.İLE MESLEK HASTALIĞI SİGORTASI   </t>
    </r>
    <r>
      <rPr>
        <sz val="8"/>
        <color indexed="8"/>
        <rFont val="Arial"/>
        <family val="2"/>
        <charset val="162"/>
      </rPr>
      <t xml:space="preserve">  Employment injuries and occupational diseases insurances                 </t>
    </r>
    <r>
      <rPr>
        <b/>
        <sz val="8"/>
        <color indexed="8"/>
        <rFont val="Arial"/>
        <family val="2"/>
      </rPr>
      <t xml:space="preserve">                                                            </t>
    </r>
  </si>
  <si>
    <r>
      <t xml:space="preserve">MALULLÜK-YAŞLILIK-ÖLÜM SİGORTASI </t>
    </r>
    <r>
      <rPr>
        <sz val="8"/>
        <color indexed="8"/>
        <rFont val="Arial"/>
        <family val="2"/>
        <charset val="162"/>
      </rPr>
      <t xml:space="preserve"> Invalidity, old-age and survivors insurances                                                                                </t>
    </r>
  </si>
  <si>
    <r>
      <t xml:space="preserve">MALULLÜK-YAŞLILIK-ÖLÜM SİGORTASI </t>
    </r>
    <r>
      <rPr>
        <sz val="8"/>
        <color indexed="8"/>
        <rFont val="Arial"/>
        <family val="2"/>
        <charset val="162"/>
      </rPr>
      <t xml:space="preserve"> Invalidity, old-age and survivors insurances              </t>
    </r>
    <r>
      <rPr>
        <b/>
        <sz val="8"/>
        <color indexed="8"/>
        <rFont val="Arial"/>
        <family val="2"/>
      </rPr>
      <t xml:space="preserve">                                                                  </t>
    </r>
  </si>
  <si>
    <r>
      <t xml:space="preserve">İŞ.KAZ.İLE MESLEK HASTALIĞI SİGORTASI    </t>
    </r>
    <r>
      <rPr>
        <sz val="8"/>
        <color indexed="8"/>
        <rFont val="Arial"/>
        <family val="2"/>
        <charset val="162"/>
      </rPr>
      <t xml:space="preserve"> Employment injuries and occupational diseases insurances                                                                             </t>
    </r>
  </si>
  <si>
    <t>Person who General Health Insurance premiums paid by state</t>
  </si>
  <si>
    <r>
      <t xml:space="preserve">İŞYERİ SAYISI  - </t>
    </r>
    <r>
      <rPr>
        <b/>
        <i/>
        <sz val="10"/>
        <rFont val="Arial"/>
        <family val="2"/>
        <charset val="162"/>
      </rPr>
      <t xml:space="preserve"> </t>
    </r>
    <r>
      <rPr>
        <i/>
        <sz val="10"/>
        <rFont val="Arial"/>
        <family val="2"/>
        <charset val="162"/>
      </rPr>
      <t>Number of Work Places</t>
    </r>
  </si>
  <si>
    <r>
      <t xml:space="preserve">   İŞYERİ BÜYÜKLÜĞÜ (İşyerinde Çalıştırılan Zorunlu Sigortalı sayısı)-</t>
    </r>
    <r>
      <rPr>
        <b/>
        <i/>
        <sz val="10"/>
        <rFont val="Arial"/>
        <family val="2"/>
        <charset val="162"/>
      </rPr>
      <t xml:space="preserve"> </t>
    </r>
    <r>
      <rPr>
        <i/>
        <sz val="10"/>
        <rFont val="Arial"/>
        <family val="2"/>
        <charset val="162"/>
      </rPr>
      <t>Size of Work Places</t>
    </r>
  </si>
  <si>
    <t xml:space="preserve">Kurumca yapılan tebligatın alındığı tarihten itibaren onbeş gün içinde
</t>
  </si>
  <si>
    <t xml:space="preserve">Tebligatın alındığı tarihi takip eden 15 inci gün
</t>
  </si>
  <si>
    <t>TABLO 16- SGK TAHSİS TÜRLERİNE GÖRE YIL İÇİNDE AYLIK VE GELİR BAĞLANANLARIN SAYISI</t>
  </si>
  <si>
    <t>TABLE  16- PENSIONS ACCORDING TO TYPES OF APPROPRIATION OF SSI</t>
  </si>
  <si>
    <t xml:space="preserve">TABLO 17-  4/a KAPSAMINDAKİ İŞYERİ, ZORUNLU SİGORTALI SAYILARI VE PRİME ESAS  ORTALAMA GÜNLÜK KAZANÇLARIN FAALİYET GRUPLARINA GÖRE DAĞILIMI </t>
  </si>
  <si>
    <t>TABLE 17- NUMBERS OF THE WORK PLACES, COMPULSORY INSURED PERSONS AND AVERAGE DAILY INSURABLE  EARNINGS BY THE BRANCH OF ACTIVITY, SECTOR  AND GENDER (4/a)</t>
  </si>
  <si>
    <t xml:space="preserve">TABLO 18 -4/a KAPSAMINDAKİ  İŞYERİ SAYILARI VE ZORUNLU SİGORTALI SAYILARININ İLLERE GÖRE  DAĞILIMI </t>
  </si>
  <si>
    <t>TABLE  18 - NUMBERS OF THE WORK PLACES AND COMPULSORY INSURED PERSONS  TO PROVINCES (4/a)</t>
  </si>
  <si>
    <t>TABLO 19- 4/a KAPSAMINDAKİ İŞYERİ SAYILARININ  FAALİYET KOLLARINA VE İŞYERİ BÜYÜKLÜĞÜNE GÖRE DAĞILIMI</t>
  </si>
  <si>
    <t xml:space="preserve"> TABLE 19 - DISTRIBUTION OF THE WORK PLACE NUMBERS ACCORDING TO ACTIVITY BRANCHES AND WORK PLACE SIZE (4/a)</t>
  </si>
  <si>
    <t xml:space="preserve">TABLO 20- 4/a KAPSAMINDAKİ ZORUNLU SİGORTALI SAYILARININ FAALİYET KOLLARINA VE İŞYERİ BÜYÜKLÜĞÜNE GÖRE DAĞILIMI  </t>
  </si>
  <si>
    <t>TABLE 20- COMPULSORY INSURED PERSON NUMBERS ACCORDING TO ACTIVITY BRANCHES AND WORK PLACE SIZE (4/a)</t>
  </si>
  <si>
    <t>TABLO 21- 4/a KAPSAMINDAKİ İŞYERİ SAYILARI  BÜYÜKLÜKLERİNİN İLLERE GÖRE DAĞILIMI</t>
  </si>
  <si>
    <t>TABLE 21- WORK PLACE NUMBERS ACCORDING TO ITS SIZE IN THE PROVINCES (4/a)</t>
  </si>
  <si>
    <t>TABLO 22- 4/a KAPSAMINDAKİ ZORUNLU SİGORTALI SAYILARININ  İLLERDE İŞYERİ  BÜYÜKLÜKLÜĞÜNE  GÖRE DAĞILIMI</t>
  </si>
  <si>
    <t>TABLE 22- COMPULSORY INSURED PERSON NUMBERS ACCORDING TO WORK PLACE SIZE IN THE PROVINCES (4/a)</t>
  </si>
  <si>
    <t xml:space="preserve">TABLO 23-SOSYAL GÜVENLİK KAPSAMINDAKİ KİŞİ SAYISI VE TÜRKİYE NÜFUSUNA ORANI (Aktif Çalışan, Aylık Alan, Bakmakla Yükümlü Olunan) </t>
  </si>
  <si>
    <t xml:space="preserve">TABLE 23- NUMBER OF PERSON IN THE SOCIAL SECURITY COVERAGE AND RATE TO THE TURKEY POPULATION (Active Insured Persons, Passive Insured Persons, Dependents) </t>
  </si>
  <si>
    <t>TABLO 24- 4/a KAPSAMINDA ÇALIŞANLARDA UYGULANAN İDARİ PARA CEZALARI</t>
  </si>
  <si>
    <t>TABLE 24- ADMINISTRATIVE FINES APPLIED TO EMPLOYEES UNDER SERVICE CONTRACT</t>
  </si>
  <si>
    <t>Geçmişe kıyasla aradaki farkın sebebi bu durumdur.Ayrıca Tazminat (Ek 17) genel toplama dahil değildir.</t>
  </si>
  <si>
    <t>3 - 8 Yıl</t>
  </si>
  <si>
    <t>9 - 12 Yıl</t>
  </si>
  <si>
    <t>13 - 20 Yıl</t>
  </si>
  <si>
    <t>21 - 25 Yıl</t>
  </si>
  <si>
    <t>26 - 30 Yıl</t>
  </si>
  <si>
    <t>31 + Yıl</t>
  </si>
  <si>
    <r>
      <t>4/a Kapsamındaki Emekli Aylığı Seviyeleri ve Prime Esas Kazançlar-</t>
    </r>
    <r>
      <rPr>
        <i/>
        <sz val="14"/>
        <rFont val="Arial"/>
        <family val="2"/>
        <charset val="162"/>
      </rPr>
      <t>Earnings for EUSC</t>
    </r>
  </si>
  <si>
    <r>
      <t xml:space="preserve">4/b (Bağımsız Çalışanlar 1479 ve 2926) Sigortalıların Emekli Aylığı Seviyeleri ve Prim Tutarları - </t>
    </r>
    <r>
      <rPr>
        <i/>
        <sz val="14"/>
        <rFont val="Arial"/>
        <family val="2"/>
        <charset val="162"/>
      </rPr>
      <t>The Pension and Premium Levels of Self Employed Insured</t>
    </r>
  </si>
  <si>
    <r>
      <t>4/c Kapsamındaki Emeklilerin  Aylık Seviyeleri-</t>
    </r>
    <r>
      <rPr>
        <i/>
        <sz val="14"/>
        <rFont val="Arial"/>
        <family val="2"/>
        <charset val="162"/>
      </rPr>
      <t xml:space="preserve"> Pension Levels of Civil Servants Retireds</t>
    </r>
  </si>
  <si>
    <t>GECİCİ PERSONEL</t>
  </si>
  <si>
    <t xml:space="preserve"> 
(4/a)</t>
  </si>
  <si>
    <t xml:space="preserve">
(4/c)</t>
  </si>
  <si>
    <t xml:space="preserve">
 (4/a)</t>
  </si>
  <si>
    <r>
      <t xml:space="preserve">1- 5434 sayılı Kanunun 45-56. maddelerine göre vazife malulü er aylığı alan kendisi ve haksahibi 
</t>
    </r>
    <r>
      <rPr>
        <sz val="10"/>
        <rFont val="Arial"/>
        <family val="2"/>
        <charset val="162"/>
      </rPr>
      <t xml:space="preserve">Himself and survivor that receiving service-disabled private soldier pension, according to articles 45-56 of law no:5434.    </t>
    </r>
    <r>
      <rPr>
        <b/>
        <sz val="10"/>
        <rFont val="Arial"/>
        <family val="2"/>
        <charset val="162"/>
      </rPr>
      <t xml:space="preserve">                                                                                                                                       </t>
    </r>
  </si>
  <si>
    <r>
      <rPr>
        <b/>
        <sz val="10"/>
        <rFont val="Arial"/>
        <family val="2"/>
        <charset val="162"/>
      </rPr>
      <t>Kendisi</t>
    </r>
    <r>
      <rPr>
        <sz val="10"/>
        <rFont val="Arial"/>
        <family val="2"/>
        <charset val="162"/>
      </rPr>
      <t xml:space="preserve"> Himself</t>
    </r>
  </si>
  <si>
    <r>
      <rPr>
        <b/>
        <sz val="10"/>
        <rFont val="Arial"/>
        <family val="2"/>
        <charset val="162"/>
      </rPr>
      <t>Haksahibi</t>
    </r>
    <r>
      <rPr>
        <sz val="10"/>
        <rFont val="Arial"/>
        <family val="2"/>
        <charset val="162"/>
      </rPr>
      <t xml:space="preserve"> Survivor</t>
    </r>
  </si>
  <si>
    <r>
      <t xml:space="preserve">Toplam </t>
    </r>
    <r>
      <rPr>
        <sz val="10"/>
        <rFont val="Arial"/>
        <family val="2"/>
        <charset val="162"/>
      </rPr>
      <t>Total</t>
    </r>
  </si>
  <si>
    <r>
      <t xml:space="preserve">2- 5434 sayılı Kanunun 64. maddesine ve 4567 sayılı Kanuna göre harp malulü er aylığı alan kendisi ve haksahibi
</t>
    </r>
    <r>
      <rPr>
        <sz val="10"/>
        <rFont val="Arial"/>
        <family val="2"/>
        <charset val="162"/>
      </rPr>
      <t xml:space="preserve">Himself and survivor that receiving disabled war veteran private soldier pension, according to law no:4567 and article 64 of law no:5434.         </t>
    </r>
    <r>
      <rPr>
        <b/>
        <sz val="10"/>
        <rFont val="Arial"/>
        <family val="2"/>
        <charset val="162"/>
      </rPr>
      <t xml:space="preserve">                                                                                                                              </t>
    </r>
  </si>
  <si>
    <r>
      <t xml:space="preserve">3- 3713 sayılı kanuna göre köy korucu aylığı alan kendisi ve haksahibi (terör)
</t>
    </r>
    <r>
      <rPr>
        <sz val="10"/>
        <rFont val="Arial"/>
        <family val="2"/>
        <charset val="162"/>
      </rPr>
      <t xml:space="preserve">Himself and survivor that receiving village safeguard pension (because of terror), according to law no:3713                                 </t>
    </r>
    <r>
      <rPr>
        <b/>
        <sz val="10"/>
        <rFont val="Arial"/>
        <family val="2"/>
        <charset val="162"/>
      </rPr>
      <t xml:space="preserve">                                                                                       </t>
    </r>
  </si>
  <si>
    <r>
      <t xml:space="preserve">4- 2330 sayılı Kanuna göre er aylığı alan kendisi ve haksahibi (güvenlik-asayiş)
</t>
    </r>
    <r>
      <rPr>
        <sz val="10"/>
        <rFont val="Arial"/>
        <family val="2"/>
        <charset val="162"/>
      </rPr>
      <t xml:space="preserve"> Himself and survivor that receiving private soldier pension (because of security-safety), according to law no: 2330</t>
    </r>
  </si>
  <si>
    <r>
      <t xml:space="preserve">5- 2330 sayılı Kanuna göre köy korucu aylığı alan kendisi ve haksahibi (güvenlik-asayiş)      
</t>
    </r>
    <r>
      <rPr>
        <sz val="10"/>
        <rFont val="Arial"/>
        <family val="2"/>
        <charset val="162"/>
      </rPr>
      <t xml:space="preserve">Himself and survivor that receiving village safeguard pension (because of security-safety) according to law no:2330   </t>
    </r>
    <r>
      <rPr>
        <b/>
        <sz val="10"/>
        <rFont val="Arial"/>
        <family val="2"/>
        <charset val="162"/>
      </rPr>
      <t xml:space="preserve">                                                                             </t>
    </r>
  </si>
  <si>
    <r>
      <t xml:space="preserve">6- 3713 sayılı kanuna göre er aylığı alan kendisi ve haksahibi (terör)
</t>
    </r>
    <r>
      <rPr>
        <sz val="10"/>
        <rFont val="Arial"/>
        <family val="2"/>
        <charset val="162"/>
      </rPr>
      <t xml:space="preserve">Himself and survivor that receiving private soldier pension (because of terror), according to law no:3713    </t>
    </r>
    <r>
      <rPr>
        <b/>
        <sz val="10"/>
        <rFont val="Arial"/>
        <family val="2"/>
        <charset val="162"/>
      </rPr>
      <t xml:space="preserve">                                                                                                                                                 </t>
    </r>
  </si>
  <si>
    <r>
      <rPr>
        <b/>
        <sz val="9"/>
        <rFont val="Arial"/>
        <family val="2"/>
        <charset val="162"/>
      </rPr>
      <t>İstiklal Harbi Gazisi Dul Eşi</t>
    </r>
    <r>
      <rPr>
        <sz val="9"/>
        <rFont val="Arial"/>
        <family val="2"/>
        <charset val="162"/>
      </rPr>
      <t xml:space="preserve">
İndependence war veteran's widow</t>
    </r>
  </si>
  <si>
    <r>
      <rPr>
        <b/>
        <sz val="9"/>
        <rFont val="Arial"/>
        <family val="2"/>
        <charset val="162"/>
      </rPr>
      <t>Kore Harbi Gazisi (kendisi)</t>
    </r>
    <r>
      <rPr>
        <sz val="9"/>
        <rFont val="Arial"/>
        <family val="2"/>
        <charset val="162"/>
      </rPr>
      <t xml:space="preserve">
Korean war veteran (himself)</t>
    </r>
  </si>
  <si>
    <r>
      <rPr>
        <b/>
        <sz val="9"/>
        <rFont val="Arial"/>
        <family val="2"/>
        <charset val="162"/>
      </rPr>
      <t>Kore Harbi Gazisi Dul Eşi</t>
    </r>
    <r>
      <rPr>
        <sz val="9"/>
        <rFont val="Arial"/>
        <family val="2"/>
        <charset val="162"/>
      </rPr>
      <t xml:space="preserve">
Korean war veteran's widow</t>
    </r>
  </si>
  <si>
    <r>
      <rPr>
        <b/>
        <sz val="9"/>
        <rFont val="Arial"/>
        <family val="2"/>
        <charset val="162"/>
      </rPr>
      <t>Kıbrıs Harbi Gazisi Kendisi</t>
    </r>
    <r>
      <rPr>
        <sz val="9"/>
        <rFont val="Arial"/>
        <family val="2"/>
        <charset val="162"/>
      </rPr>
      <t xml:space="preserve">
Cyprus war veteran (himself)</t>
    </r>
  </si>
  <si>
    <r>
      <rPr>
        <b/>
        <sz val="9"/>
        <rFont val="Arial"/>
        <family val="2"/>
        <charset val="162"/>
      </rPr>
      <t>Kıbrıs Harbi Gazisi Dul Eşi</t>
    </r>
    <r>
      <rPr>
        <sz val="9"/>
        <rFont val="Arial"/>
        <family val="2"/>
        <charset val="162"/>
      </rPr>
      <t xml:space="preserve">
Cyprus war veteran's widow</t>
    </r>
  </si>
  <si>
    <r>
      <t xml:space="preserve">8- 3292 sayılı Kanuna göre vatani hizmet aylığı  alan kendisi, haksahibi ve 5269 sayılı Kanuna göre I. dönem milletvekili hak sahipleri
</t>
    </r>
    <r>
      <rPr>
        <sz val="10"/>
        <rFont val="Arial"/>
        <family val="2"/>
        <charset val="162"/>
      </rPr>
      <t xml:space="preserve">Himself and survivor that receiving military service pension according to law no: 3292 and first period deputy survivors         </t>
    </r>
    <r>
      <rPr>
        <b/>
        <sz val="10"/>
        <rFont val="Arial"/>
        <family val="2"/>
        <charset val="162"/>
      </rPr>
      <t xml:space="preserve">                                                                                                                                </t>
    </r>
  </si>
  <si>
    <r>
      <rPr>
        <b/>
        <sz val="9"/>
        <rFont val="Arial"/>
        <family val="2"/>
        <charset val="162"/>
      </rPr>
      <t>Vatani Hizmet Emeklisi (Kendisi)</t>
    </r>
    <r>
      <rPr>
        <sz val="9"/>
        <rFont val="Arial"/>
        <family val="2"/>
        <charset val="162"/>
      </rPr>
      <t xml:space="preserve">
Military service retired (Himself)</t>
    </r>
  </si>
  <si>
    <r>
      <t xml:space="preserve">Haksahibi (1.Dönem Milletvekillerinin Hak Sahipleri dahil)
</t>
    </r>
    <r>
      <rPr>
        <sz val="9"/>
        <rFont val="Arial"/>
        <family val="2"/>
        <charset val="162"/>
      </rPr>
      <t>Survivors (including first period deputy survivors)</t>
    </r>
  </si>
  <si>
    <r>
      <t xml:space="preserve">9- 2913/5774 sayılı Kanunlara göre vatani hizmet aylığı  alan kendisi ve haksahibi (şampiyon sporcular)
</t>
    </r>
    <r>
      <rPr>
        <sz val="10"/>
        <rFont val="Arial"/>
        <family val="2"/>
        <charset val="162"/>
      </rPr>
      <t xml:space="preserve">Himself and survivor that receiving military service pension according to law no: 2913/5774 (champion athletes)     </t>
    </r>
    <r>
      <rPr>
        <b/>
        <sz val="10"/>
        <rFont val="Arial"/>
        <family val="2"/>
        <charset val="162"/>
      </rPr>
      <t xml:space="preserve">                                                                                                       </t>
    </r>
  </si>
  <si>
    <r>
      <rPr>
        <b/>
        <sz val="10"/>
        <rFont val="Arial"/>
        <family val="2"/>
        <charset val="162"/>
      </rPr>
      <t>Vatani Hizmet Emeklisi (kendisi)</t>
    </r>
    <r>
      <rPr>
        <sz val="10"/>
        <rFont val="Arial"/>
        <family val="2"/>
        <charset val="162"/>
      </rPr>
      <t xml:space="preserve">
Military service retired (Himself)</t>
    </r>
  </si>
  <si>
    <r>
      <rPr>
        <b/>
        <sz val="10"/>
        <rFont val="Arial"/>
        <family val="2"/>
        <charset val="162"/>
      </rPr>
      <t>Vatani Hizmet Emeklisi (haksahibi)</t>
    </r>
    <r>
      <rPr>
        <sz val="10"/>
        <rFont val="Arial"/>
        <family val="2"/>
        <charset val="162"/>
      </rPr>
      <t xml:space="preserve">
Military service retired (Survivor)</t>
    </r>
  </si>
  <si>
    <r>
      <rPr>
        <b/>
        <sz val="10"/>
        <rFont val="Arial"/>
        <family val="2"/>
        <charset val="162"/>
      </rPr>
      <t xml:space="preserve">Toplam </t>
    </r>
    <r>
      <rPr>
        <sz val="10"/>
        <rFont val="Arial"/>
        <family val="2"/>
        <charset val="162"/>
      </rPr>
      <t>Total</t>
    </r>
  </si>
  <si>
    <r>
      <t xml:space="preserve">10- 442 sayılı Kanuna göre normal emekli geçici köy korucuları  
</t>
    </r>
    <r>
      <rPr>
        <sz val="10"/>
        <rFont val="Arial"/>
        <family val="2"/>
        <charset val="162"/>
      </rPr>
      <t>Retired temporary village safeguards according to law no: 442</t>
    </r>
    <r>
      <rPr>
        <b/>
        <sz val="10"/>
        <rFont val="Arial"/>
        <family val="2"/>
        <charset val="162"/>
      </rPr>
      <t xml:space="preserve">                                                                                                                                                      </t>
    </r>
  </si>
  <si>
    <r>
      <rPr>
        <b/>
        <sz val="10"/>
        <rFont val="Arial"/>
        <family val="2"/>
        <charset val="162"/>
      </rPr>
      <t xml:space="preserve">Tazminat (EK 17) </t>
    </r>
    <r>
      <rPr>
        <sz val="10"/>
        <rFont val="Arial"/>
        <family val="2"/>
        <charset val="162"/>
      </rPr>
      <t xml:space="preserve">
Compensation (additon 17)</t>
    </r>
  </si>
  <si>
    <r>
      <t xml:space="preserve">GENEL TOPLAM </t>
    </r>
    <r>
      <rPr>
        <sz val="10"/>
        <rFont val="Arial"/>
        <family val="2"/>
        <charset val="162"/>
      </rPr>
      <t>General total</t>
    </r>
  </si>
  <si>
    <t>Aralık (December)</t>
  </si>
  <si>
    <r>
      <t xml:space="preserve">MERKEZ TEŞKİLATI
</t>
    </r>
    <r>
      <rPr>
        <i/>
        <sz val="10"/>
        <color indexed="10"/>
        <rFont val="Arial"/>
        <family val="2"/>
        <charset val="162"/>
      </rPr>
      <t>Central Organization</t>
    </r>
  </si>
  <si>
    <t xml:space="preserve">        3- Tütün İkramiyesi ödemesi yılda bir kez takip eden yılın ilk üç ayında yapılmaktadır ve toplama dahil değildir.</t>
  </si>
  <si>
    <t xml:space="preserve">11- 5233 sayılı kanuna göre sivil terör aylığı alan kendisi ve haksahibi
                                                                                                                                            </t>
  </si>
  <si>
    <t>5 - İşkazası ve Meslek Hastalığı Sonucu Sürekli İş göremezlik Geliri Alan.</t>
  </si>
  <si>
    <t>7 - İşkazası ve Meslek Hastalığı Sonucu S.İ Ölüm Geliri Alan Haksahibi</t>
  </si>
  <si>
    <t>6 - İşkazası ve Meslek Hastalığı Sonucu Sürekli İş göremezlik Geliri Alan.</t>
  </si>
  <si>
    <t>8 - İşkazası ve Meslek Hastalığı Sonucu S.İ Ölüm Geliri Alan Haksahibi</t>
  </si>
  <si>
    <t xml:space="preserve">   5 - İşkazası ve Meslek Hastalığı Sonucu Sürekli İş göremezlik Geliri Alan.</t>
  </si>
  <si>
    <t xml:space="preserve">   7 - İşkazası ve Meslek Hastalığı Sonucu S.İ Ölüm Geliri Alan Haksahibi</t>
  </si>
  <si>
    <r>
      <t xml:space="preserve">TAŞRA TEŞKİLATI
</t>
    </r>
    <r>
      <rPr>
        <i/>
        <sz val="10"/>
        <color indexed="10"/>
        <rFont val="Arial"/>
        <family val="2"/>
        <charset val="162"/>
      </rPr>
      <t>Country Organization</t>
    </r>
  </si>
  <si>
    <t>NOT:1- MART 2009 tarihinden itibaren 4/c kapsamındaki aktif sigortalı sayıları, kesenekleri Kuruma bildirilen kişi sayıları olarak verilmeye başlanmıştır. Aylık alan kişi sayılarının içine primsiz aylık alanlar dahil olup ,vataniler dahil değildir.</t>
  </si>
  <si>
    <t xml:space="preserve">       4- Aylık alan kişi sayılarının içine primsiz aylık alanlar dahil olup,vataniler dahil değildir.</t>
  </si>
  <si>
    <t>(**)</t>
  </si>
  <si>
    <r>
      <t xml:space="preserve">7- 1005 sayılı Kanuna göre İstiklal, Kore ve Kıbrıs gazisi aylığı alan kendisi ve haksahibi
</t>
    </r>
    <r>
      <rPr>
        <sz val="9.8000000000000007"/>
        <rFont val="Arial"/>
        <family val="2"/>
        <charset val="162"/>
      </rPr>
      <t xml:space="preserve">Himself and survivor that receiving Turkish independence war veteran pension, Korean war veteran pension and Cyprus war veteran pension, according to law no:1005  </t>
    </r>
    <r>
      <rPr>
        <sz val="10"/>
        <rFont val="Arial"/>
        <family val="2"/>
        <charset val="162"/>
      </rPr>
      <t xml:space="preserve"> </t>
    </r>
    <r>
      <rPr>
        <b/>
        <sz val="10"/>
        <rFont val="Arial"/>
        <family val="2"/>
        <charset val="162"/>
      </rPr>
      <t xml:space="preserve">                                                                                              </t>
    </r>
  </si>
  <si>
    <t>zorunlu</t>
  </si>
  <si>
    <t>İsteğe Bağlı Madde12</t>
  </si>
  <si>
    <t>Diğer (Ek 71,76,Geç 192)</t>
  </si>
  <si>
    <t>Zorunlu</t>
  </si>
  <si>
    <r>
      <t xml:space="preserve">4/c KAPSAMINDAKİ ZORUNLU SİGORTALI SAYILARI </t>
    </r>
    <r>
      <rPr>
        <i/>
        <sz val="10"/>
        <rFont val="Arial Tur"/>
        <charset val="162"/>
      </rPr>
      <t>Number Of Insured Persons (4/c)</t>
    </r>
  </si>
  <si>
    <t>Not:1-)442 Sayılı Kanun EK17. Maddesindeki veriler  tüm geçmişi kapsar şekilde verilmekteyken Mayıs 2013 tarihinden itibaren sadece bir aylık olarak verilmiştir.</t>
  </si>
  <si>
    <t>2016  (Aralık)</t>
  </si>
  <si>
    <t>2016 Aralık December</t>
  </si>
  <si>
    <t>İlin toplam 
nüfusu (TÜİK-ADNKS'ye Göre 2016 Nüfusu)</t>
  </si>
  <si>
    <r>
      <t xml:space="preserve"> 2010-2017 Yılları  SGK Gelir ve Gider Dengesi -   </t>
    </r>
    <r>
      <rPr>
        <i/>
        <sz val="14"/>
        <rFont val="Arial"/>
        <family val="2"/>
        <charset val="162"/>
      </rPr>
      <t>Revenues and Expendıtures Balance of SSI ın year  2010-2017</t>
    </r>
  </si>
  <si>
    <r>
      <t>Sosyal Güvenlik Kurumuna Yıllar İtibariyle Yapılan Bütçe Transferleri-</t>
    </r>
    <r>
      <rPr>
        <i/>
        <sz val="14"/>
        <rFont val="Arial"/>
        <family val="2"/>
        <charset val="162"/>
      </rPr>
      <t xml:space="preserve"> Budgetary Transfers to the Social Security Institution (2008-2017)</t>
    </r>
  </si>
  <si>
    <t>Ek 5 Tarim</t>
  </si>
  <si>
    <t>Ek 6 Issizlik sigortasi Ödeyen Sanatçi</t>
  </si>
  <si>
    <t>Ek 6 Issizlik sigortasi Ödeyen Ticari Araç</t>
  </si>
  <si>
    <t>Ek 6 Sanatçi</t>
  </si>
  <si>
    <t>Ek 6 Ticari Araç</t>
  </si>
  <si>
    <t>ek9</t>
  </si>
  <si>
    <t>uzun vade</t>
  </si>
  <si>
    <t>ek 5 orman</t>
  </si>
  <si>
    <t>2017 Nisan (April)</t>
  </si>
  <si>
    <r>
      <t xml:space="preserve">SOSYAL GÜVENLİK KAPSAMI
</t>
    </r>
    <r>
      <rPr>
        <sz val="9"/>
        <color indexed="8"/>
        <rFont val="Arial"/>
        <family val="2"/>
        <charset val="162"/>
      </rPr>
      <t>Social Security Coverage</t>
    </r>
  </si>
  <si>
    <t>2017  (Nisan)</t>
  </si>
  <si>
    <t xml:space="preserve">TABLO 15-PRİMSİZ ÖDEMELER KAPSAMINDA AYLIK ALAN KİŞİ SAYILARI, 2017
</t>
  </si>
  <si>
    <t>Table 15-Number of pensioners in the scope of payments without premium, 2017</t>
  </si>
  <si>
    <t xml:space="preserve">     2-) DG sicil açılan maluliyet koşulu oluşmayan Demokrasi Gazileri 2.512 kişidir.Toplama dahil edilmemiştir.</t>
  </si>
  <si>
    <t>2017 Nisan April</t>
  </si>
  <si>
    <t>Nisan (April)</t>
  </si>
  <si>
    <r>
      <t xml:space="preserve"> Sağlık  Hizmet  Sunucusuna Göre Fatura Bilgileri, 2010-2016 - </t>
    </r>
    <r>
      <rPr>
        <i/>
        <sz val="14"/>
        <rFont val="Arial"/>
        <family val="2"/>
        <charset val="162"/>
      </rPr>
      <t>Billing Informatıons Accordıhg To Health Servıce Server (2010-2017)</t>
    </r>
  </si>
  <si>
    <r>
      <t xml:space="preserve"> Hastane Analiz Bilgileri 2010-2016 - </t>
    </r>
    <r>
      <rPr>
        <i/>
        <sz val="14"/>
        <rFont val="Arial"/>
        <family val="2"/>
        <charset val="162"/>
      </rPr>
      <t>Data Analysis Of Hospital (2010-2017)</t>
    </r>
  </si>
  <si>
    <r>
      <t xml:space="preserve"> SGK ve  Kamu Eczane Provizyon Sistemi Reçete  Analizi (2010-2017) - </t>
    </r>
    <r>
      <rPr>
        <i/>
        <sz val="14"/>
        <rFont val="Arial"/>
        <family val="2"/>
        <charset val="162"/>
      </rPr>
      <t>Prescrıptıon Analysis Relatıng to Pharmacy Provısıon System of  SSI and Publıc (2010-2017)</t>
    </r>
  </si>
  <si>
    <r>
      <t xml:space="preserve"> Kamu (SGK+Devlet Memurları+Yeşil Kart) Tahakkuk Edilen Reçete Analizi (2010-2017) - </t>
    </r>
    <r>
      <rPr>
        <i/>
        <sz val="14"/>
        <rFont val="Arial"/>
        <family val="2"/>
        <charset val="162"/>
      </rPr>
      <t>Prescrıptıon Analysis Been Realized By Publıc(SSI+Civil Servants+Green Card) (2010-2017)</t>
    </r>
  </si>
  <si>
    <t>Nisan 2017</t>
  </si>
  <si>
    <t>Not:  Zorunlu sigortalı sayılarına stajer ve kursiyerler dahil değildir.</t>
  </si>
  <si>
    <r>
      <t xml:space="preserve">SOSYAL GÜVENLİK KAPSAMI  </t>
    </r>
    <r>
      <rPr>
        <sz val="11"/>
        <rFont val="Arial"/>
        <family val="2"/>
        <charset val="162"/>
      </rPr>
      <t>SOCIAL SECURITY COVERAGE</t>
    </r>
  </si>
  <si>
    <r>
      <t>4 - Tarım (4/a)</t>
    </r>
    <r>
      <rPr>
        <i/>
        <sz val="11"/>
        <rFont val="Arial"/>
        <family val="2"/>
        <charset val="162"/>
      </rPr>
      <t xml:space="preserve"> </t>
    </r>
  </si>
  <si>
    <r>
      <t>7 - İşkazası ve Meslek Sonucu S.İ Ölüm Geliri (Dosya)</t>
    </r>
    <r>
      <rPr>
        <i/>
        <sz val="11"/>
        <rFont val="Arial"/>
        <family val="2"/>
        <charset val="162"/>
      </rPr>
      <t xml:space="preserve"> </t>
    </r>
  </si>
  <si>
    <r>
      <t>2- Aylık Alanlar</t>
    </r>
    <r>
      <rPr>
        <i/>
        <sz val="11"/>
        <rFont val="Arial"/>
        <family val="2"/>
        <charset val="162"/>
      </rPr>
      <t xml:space="preserve"> </t>
    </r>
  </si>
  <si>
    <r>
      <t xml:space="preserve">PRİMSİZ ÖDEMELER (FATURALI ÖDEMELER)  </t>
    </r>
    <r>
      <rPr>
        <sz val="11"/>
        <rFont val="Arial"/>
        <family val="2"/>
        <charset val="162"/>
      </rPr>
      <t>BILLED PAYMENTS</t>
    </r>
  </si>
  <si>
    <r>
      <t xml:space="preserve">4/a KAPSAMINDAKİ SİGORTALI SAYILARI      </t>
    </r>
    <r>
      <rPr>
        <i/>
        <sz val="12"/>
        <rFont val="Arial"/>
        <family val="2"/>
        <charset val="162"/>
      </rPr>
      <t>NUMBER OF EMPLOYEES UNDER SERVICE CONTRACT</t>
    </r>
  </si>
  <si>
    <r>
      <t xml:space="preserve">Yıllar </t>
    </r>
    <r>
      <rPr>
        <i/>
        <sz val="12"/>
        <rFont val="Arial"/>
        <family val="2"/>
        <charset val="162"/>
      </rPr>
      <t>Years</t>
    </r>
  </si>
  <si>
    <r>
      <t>6 - İşkazası ve Meslek Sonucu S.İ Ölüm Geliri (Dosya)</t>
    </r>
    <r>
      <rPr>
        <i/>
        <sz val="12"/>
        <rFont val="Arial"/>
        <family val="2"/>
        <charset val="162"/>
      </rPr>
      <t xml:space="preserve"> </t>
    </r>
  </si>
  <si>
    <r>
      <t xml:space="preserve"> 4/b (BAĞIMSIZ ÇALIŞANLAR 1479 VE 2926) KAPSAMINDA TOPLAM SİGORTALI SAYILARI    
</t>
    </r>
    <r>
      <rPr>
        <i/>
        <sz val="12"/>
        <rFont val="Arial"/>
        <family val="2"/>
        <charset val="162"/>
      </rPr>
      <t>THE NUMBER OF TOTAL INSURED PERSONS AND PENSIONERS OF SELF EMPLOYED</t>
    </r>
  </si>
  <si>
    <r>
      <t xml:space="preserve">Yıllar </t>
    </r>
    <r>
      <rPr>
        <sz val="12"/>
        <rFont val="Arial"/>
        <family val="2"/>
        <charset val="162"/>
      </rPr>
      <t>Years</t>
    </r>
  </si>
  <si>
    <r>
      <t xml:space="preserve">   6 - İşkazası ve Meslek Sonucu S.İ Ölüm Geliri (Dosya)</t>
    </r>
    <r>
      <rPr>
        <i/>
        <sz val="12"/>
        <rFont val="Arial"/>
        <family val="2"/>
        <charset val="162"/>
      </rPr>
      <t xml:space="preserve"> </t>
    </r>
  </si>
  <si>
    <r>
      <t xml:space="preserve"> 4/b (BAĞIMSIZ ÇALIŞANLAR 1479 ) </t>
    </r>
    <r>
      <rPr>
        <i/>
        <sz val="12"/>
        <rFont val="Arial"/>
        <family val="2"/>
        <charset val="162"/>
      </rPr>
      <t>(Insured Covered By The Law 1479)</t>
    </r>
  </si>
  <si>
    <r>
      <t xml:space="preserve">   6 - İşkazası Sonucu S.İ Ölüm Geliri (Dosya)</t>
    </r>
    <r>
      <rPr>
        <i/>
        <sz val="12"/>
        <rFont val="Arial"/>
        <family val="2"/>
        <charset val="162"/>
      </rPr>
      <t xml:space="preserve"> </t>
    </r>
  </si>
  <si>
    <r>
      <t xml:space="preserve"> 4/b (BAĞIMSIZ ÇALIŞANLAR 2926 ) </t>
    </r>
    <r>
      <rPr>
        <i/>
        <sz val="12"/>
        <rFont val="Arial"/>
        <family val="2"/>
        <charset val="162"/>
      </rPr>
      <t>(Insured Covered By The Law 2926)</t>
    </r>
  </si>
  <si>
    <r>
      <t xml:space="preserve">   1- İsteğe Bağlı </t>
    </r>
    <r>
      <rPr>
        <b/>
        <sz val="12"/>
        <rFont val="Arial"/>
        <family val="2"/>
        <charset val="162"/>
      </rPr>
      <t>(*)</t>
    </r>
  </si>
  <si>
    <r>
      <t xml:space="preserve">4/c KAPSAMINDA ÇALIŞANLARIN SİGORTALI SAYILARI   </t>
    </r>
    <r>
      <rPr>
        <b/>
        <i/>
        <sz val="22"/>
        <rFont val="Arial"/>
        <family val="2"/>
        <charset val="162"/>
      </rPr>
      <t xml:space="preserve"> </t>
    </r>
    <r>
      <rPr>
        <i/>
        <sz val="22"/>
        <rFont val="Arial"/>
        <family val="2"/>
        <charset val="162"/>
      </rPr>
      <t>NUMBER OF CIVIL SERVANTS</t>
    </r>
  </si>
  <si>
    <r>
      <t xml:space="preserve">PRİMSİZ ÖDEMELER   </t>
    </r>
    <r>
      <rPr>
        <sz val="22"/>
        <rFont val="Arial"/>
        <family val="2"/>
        <charset val="162"/>
      </rPr>
      <t>BILLED PAYMENTS</t>
    </r>
  </si>
  <si>
    <r>
      <t>İL KODU</t>
    </r>
    <r>
      <rPr>
        <sz val="12"/>
        <rFont val="Arial"/>
        <family val="2"/>
        <charset val="162"/>
      </rPr>
      <t xml:space="preserve"> 
</t>
    </r>
    <r>
      <rPr>
        <i/>
        <sz val="12"/>
        <rFont val="Arial"/>
        <family val="2"/>
        <charset val="162"/>
      </rPr>
      <t>Provinces code</t>
    </r>
  </si>
  <si>
    <r>
      <t xml:space="preserve">Aylık Alanlar  </t>
    </r>
    <r>
      <rPr>
        <sz val="12"/>
        <rFont val="Arial"/>
        <family val="2"/>
      </rPr>
      <t xml:space="preserve">Pensioners </t>
    </r>
  </si>
  <si>
    <r>
      <t xml:space="preserve">Toplam Aylık Alanlar
(Dosya) (I+II+III+IV)
 </t>
    </r>
    <r>
      <rPr>
        <i/>
        <sz val="12"/>
        <rFont val="Arial"/>
        <family val="2"/>
        <charset val="162"/>
      </rPr>
      <t>Total (File)</t>
    </r>
  </si>
  <si>
    <r>
      <t xml:space="preserve">Toplam Aylık Alanlar (Kişi) (I+II+III+V)
</t>
    </r>
    <r>
      <rPr>
        <i/>
        <sz val="12"/>
        <rFont val="Arial"/>
        <family val="2"/>
        <charset val="162"/>
      </rPr>
      <t>Pensioners  (Person)</t>
    </r>
  </si>
  <si>
    <r>
      <t xml:space="preserve">Sosyal Güvenlik Kapsamı 
</t>
    </r>
    <r>
      <rPr>
        <i/>
        <sz val="12"/>
        <rFont val="Arial"/>
        <family val="2"/>
        <charset val="162"/>
      </rPr>
      <t>Social Security Coverage</t>
    </r>
  </si>
  <si>
    <r>
      <t xml:space="preserve">Ölüm - </t>
    </r>
    <r>
      <rPr>
        <sz val="12"/>
        <rFont val="Arial"/>
        <family val="2"/>
      </rPr>
      <t>Death</t>
    </r>
  </si>
  <si>
    <r>
      <t xml:space="preserve">İller 
</t>
    </r>
    <r>
      <rPr>
        <i/>
        <sz val="12"/>
        <rFont val="Arial"/>
        <family val="2"/>
        <charset val="162"/>
      </rPr>
      <t>Provinces</t>
    </r>
  </si>
  <si>
    <r>
      <t xml:space="preserve">Malul (I)
</t>
    </r>
    <r>
      <rPr>
        <i/>
        <sz val="12"/>
        <rFont val="Arial"/>
        <family val="2"/>
        <charset val="162"/>
      </rPr>
      <t xml:space="preserve"> Invalidity</t>
    </r>
  </si>
  <si>
    <r>
      <t xml:space="preserve"> Vazife
 Malulü (II)
</t>
    </r>
    <r>
      <rPr>
        <i/>
        <sz val="12"/>
        <rFont val="Arial"/>
        <family val="2"/>
        <charset val="162"/>
      </rPr>
      <t>Service-Disable</t>
    </r>
  </si>
  <si>
    <r>
      <t xml:space="preserve">Yaşlı (III)
</t>
    </r>
    <r>
      <rPr>
        <i/>
        <sz val="12"/>
        <rFont val="Arial"/>
        <family val="2"/>
        <charset val="162"/>
      </rPr>
      <t>Old Age Pensioners</t>
    </r>
  </si>
  <si>
    <r>
      <t>Ölüm (Dosya) (IV)</t>
    </r>
    <r>
      <rPr>
        <sz val="12"/>
        <rFont val="Arial"/>
        <family val="2"/>
        <charset val="162"/>
      </rPr>
      <t xml:space="preserve"> </t>
    </r>
    <r>
      <rPr>
        <i/>
        <sz val="12"/>
        <rFont val="Arial"/>
        <family val="2"/>
        <charset val="162"/>
      </rPr>
      <t>(Death File)</t>
    </r>
  </si>
  <si>
    <r>
      <t xml:space="preserve">Haksahibi (V)
</t>
    </r>
    <r>
      <rPr>
        <b/>
        <i/>
        <sz val="12"/>
        <rFont val="Arial"/>
        <family val="2"/>
        <charset val="162"/>
      </rPr>
      <t xml:space="preserve"> </t>
    </r>
    <r>
      <rPr>
        <i/>
        <sz val="12"/>
        <rFont val="Arial"/>
        <family val="2"/>
        <charset val="162"/>
      </rPr>
      <t>Survivors</t>
    </r>
  </si>
  <si>
    <r>
      <t xml:space="preserve">Vataniler (VI)
</t>
    </r>
    <r>
      <rPr>
        <b/>
        <i/>
        <sz val="12"/>
        <rFont val="Arial"/>
        <family val="2"/>
        <charset val="162"/>
      </rPr>
      <t xml:space="preserve"> </t>
    </r>
    <r>
      <rPr>
        <i/>
        <sz val="12"/>
        <rFont val="Arial"/>
        <family val="2"/>
        <charset val="162"/>
      </rPr>
      <t>Patriotic Services</t>
    </r>
  </si>
  <si>
    <r>
      <t>FAALİYET BÖLÜMLERİ
(NACE SINIFLAMASINA GÖRE)</t>
    </r>
    <r>
      <rPr>
        <sz val="12"/>
        <rFont val="Arial"/>
        <family val="2"/>
        <charset val="162"/>
      </rPr>
      <t xml:space="preserve">
</t>
    </r>
    <r>
      <rPr>
        <i/>
        <sz val="12"/>
        <rFont val="Arial"/>
        <family val="2"/>
        <charset val="162"/>
      </rPr>
      <t>(Branch of Activities By Nace Codes)</t>
    </r>
  </si>
  <si>
    <r>
      <t xml:space="preserve">İL KODU - </t>
    </r>
    <r>
      <rPr>
        <b/>
        <i/>
        <sz val="11"/>
        <rFont val="Arial"/>
        <family val="2"/>
        <charset val="162"/>
      </rPr>
      <t xml:space="preserve"> </t>
    </r>
    <r>
      <rPr>
        <i/>
        <sz val="11"/>
        <rFont val="Arial"/>
        <family val="2"/>
        <charset val="162"/>
      </rPr>
      <t>Province Code</t>
    </r>
  </si>
  <si>
    <r>
      <t xml:space="preserve">    TOPLAM-</t>
    </r>
    <r>
      <rPr>
        <sz val="11"/>
        <rFont val="Arial"/>
        <family val="2"/>
        <charset val="162"/>
      </rPr>
      <t>Total</t>
    </r>
  </si>
  <si>
    <r>
      <t xml:space="preserve">İŞYERİ SAYISI - </t>
    </r>
    <r>
      <rPr>
        <i/>
        <sz val="11"/>
        <rFont val="Arial"/>
        <family val="2"/>
        <charset val="162"/>
      </rPr>
      <t xml:space="preserve">Number of Work Places  </t>
    </r>
  </si>
  <si>
    <r>
      <t xml:space="preserve">Toplam
</t>
    </r>
    <r>
      <rPr>
        <i/>
        <sz val="11"/>
        <rFont val="Arial"/>
        <family val="2"/>
        <charset val="162"/>
      </rPr>
      <t>Total</t>
    </r>
  </si>
  <si>
    <r>
      <t xml:space="preserve">   İŞ YERİ BÜYÜKLÜĞÜ (İşyerinde Çalıştırılan Zorunlu Sigortalı sayısı)-</t>
    </r>
    <r>
      <rPr>
        <b/>
        <i/>
        <sz val="11"/>
        <rFont val="Arial"/>
        <family val="2"/>
        <charset val="162"/>
      </rPr>
      <t xml:space="preserve"> </t>
    </r>
    <r>
      <rPr>
        <i/>
        <sz val="11"/>
        <rFont val="Arial"/>
        <family val="2"/>
        <charset val="162"/>
      </rPr>
      <t>Size of Work Places</t>
    </r>
  </si>
  <si>
    <r>
      <t xml:space="preserve">5510 SAYILI KANUNA GÖRE İDARİ PARA CEZALARI (İPC)   (01.01.2017 - 31.12.2017 )  -  </t>
    </r>
    <r>
      <rPr>
        <i/>
        <shadow/>
        <sz val="12"/>
        <rFont val="Arial"/>
        <family val="2"/>
        <charset val="162"/>
      </rPr>
      <t>ADMINISTRATIVE FINES BY THE LAW NO: 5510</t>
    </r>
  </si>
  <si>
    <r>
      <t xml:space="preserve">ÇIRAKLAR (III) </t>
    </r>
    <r>
      <rPr>
        <sz val="9"/>
        <rFont val="Arial"/>
        <family val="2"/>
        <charset val="162"/>
      </rPr>
      <t>Apprenticies</t>
    </r>
  </si>
  <si>
    <r>
      <t>TARIM (2925 skg) (IV)</t>
    </r>
    <r>
      <rPr>
        <sz val="8"/>
        <rFont val="Arial"/>
        <family val="2"/>
        <charset val="162"/>
      </rPr>
      <t xml:space="preserve"> Insured in Agricultural Sector</t>
    </r>
  </si>
  <si>
    <r>
      <t>Y.DIŞI TOPLULUK SİGORTALILARI (VI)</t>
    </r>
    <r>
      <rPr>
        <sz val="8"/>
        <rFont val="Arial Tur"/>
        <charset val="162"/>
      </rPr>
      <t xml:space="preserve"> </t>
    </r>
    <r>
      <rPr>
        <sz val="9"/>
        <rFont val="Arial"/>
        <family val="2"/>
        <charset val="162"/>
      </rPr>
      <t>(Collective Insured)</t>
    </r>
  </si>
  <si>
    <t>Bir Önceki
Yılın Aynı Ayına Göre
 Değişim %</t>
  </si>
  <si>
    <r>
      <t xml:space="preserve">Aylık Veya Gelir  Alanlar </t>
    </r>
    <r>
      <rPr>
        <sz val="9"/>
        <rFont val="Arial"/>
        <family val="2"/>
      </rPr>
      <t xml:space="preserve">Pensioners </t>
    </r>
  </si>
  <si>
    <r>
      <t xml:space="preserve">MALULLÜK AYLIĞI ALANLAR (VII) </t>
    </r>
    <r>
      <rPr>
        <sz val="8"/>
        <color indexed="8"/>
        <rFont val="Arial"/>
        <family val="2"/>
        <charset val="162"/>
      </rPr>
      <t>Invalidity Pensioners</t>
    </r>
  </si>
  <si>
    <r>
      <t xml:space="preserve">YAŞLILIK AYLIĞI ALANLAR (VIII) </t>
    </r>
    <r>
      <rPr>
        <sz val="8"/>
        <color indexed="8"/>
        <rFont val="Arial"/>
        <family val="2"/>
        <charset val="162"/>
      </rPr>
      <t>Old-Age Pensioners</t>
    </r>
  </si>
  <si>
    <r>
      <t>ÖLÜM AYLIĞI ALANLAR (IX)
(Haksahibi)</t>
    </r>
    <r>
      <rPr>
        <sz val="8"/>
        <color indexed="8"/>
        <rFont val="Arial"/>
        <family val="2"/>
        <charset val="162"/>
      </rPr>
      <t xml:space="preserve"> Survivors receiving pension</t>
    </r>
  </si>
  <si>
    <r>
      <t>ÖLÜM AYLIĞI ALANLAR (X)
(Dosya)</t>
    </r>
    <r>
      <rPr>
        <sz val="8"/>
        <color indexed="8"/>
        <rFont val="Arial"/>
        <family val="2"/>
        <charset val="162"/>
      </rPr>
      <t xml:space="preserve"> Survivors receiving pension</t>
    </r>
  </si>
  <si>
    <r>
      <t>SÜREKLİ İŞ GÖREMEZLİK GELİRİ ALANLAR</t>
    </r>
    <r>
      <rPr>
        <b/>
        <sz val="7"/>
        <color indexed="8"/>
        <rFont val="Arial"/>
        <family val="2"/>
      </rPr>
      <t xml:space="preserve"> </t>
    </r>
    <r>
      <rPr>
        <b/>
        <sz val="7"/>
        <color indexed="8"/>
        <rFont val="Arial"/>
        <family val="2"/>
        <charset val="162"/>
      </rPr>
      <t>(XI)</t>
    </r>
    <r>
      <rPr>
        <b/>
        <sz val="7"/>
        <color indexed="8"/>
        <rFont val="Arial"/>
        <family val="2"/>
      </rPr>
      <t xml:space="preserve"> 
</t>
    </r>
    <r>
      <rPr>
        <sz val="9"/>
        <color indexed="8"/>
        <rFont val="Arial"/>
        <family val="2"/>
        <charset val="162"/>
      </rPr>
      <t>Those receiving permanent incapacity income</t>
    </r>
  </si>
  <si>
    <r>
      <t xml:space="preserve">ÖLÜM GELİRİ ALANLAR (XII) (Haksahibi) </t>
    </r>
    <r>
      <rPr>
        <sz val="8"/>
        <color indexed="8"/>
        <rFont val="Arial"/>
        <family val="2"/>
        <charset val="162"/>
      </rPr>
      <t>Survivors receiving income</t>
    </r>
  </si>
  <si>
    <r>
      <t xml:space="preserve">ÖLÜM GELİRİ ALANLAR (XIII) (Dosya) </t>
    </r>
    <r>
      <rPr>
        <sz val="8"/>
        <color indexed="8"/>
        <rFont val="Arial"/>
        <family val="2"/>
        <charset val="162"/>
      </rPr>
      <t>Survivors receiving income</t>
    </r>
  </si>
  <si>
    <r>
      <t xml:space="preserve">MALULLÜK AYLIĞI ALANLAR (XIV) </t>
    </r>
    <r>
      <rPr>
        <sz val="8"/>
        <color indexed="8"/>
        <rFont val="Arial"/>
        <family val="2"/>
        <charset val="162"/>
      </rPr>
      <t>Invalidity Pensioners</t>
    </r>
  </si>
  <si>
    <r>
      <t xml:space="preserve">YAŞLILIK AYLIĞI ALANLAR (XV) </t>
    </r>
    <r>
      <rPr>
        <sz val="8"/>
        <color indexed="8"/>
        <rFont val="Arial"/>
        <family val="2"/>
        <charset val="162"/>
      </rPr>
      <t>Old-Age Pensioners</t>
    </r>
  </si>
  <si>
    <r>
      <t>ÖLÜM AYLIĞI ALANLAR (XVI)
(Haksahibi)</t>
    </r>
    <r>
      <rPr>
        <sz val="8"/>
        <color indexed="8"/>
        <rFont val="Arial"/>
        <family val="2"/>
        <charset val="162"/>
      </rPr>
      <t xml:space="preserve"> Survivors receiving pension</t>
    </r>
  </si>
  <si>
    <r>
      <t>ÖLÜM AYLIĞI ALANLAR (XVII)
(Dosya)</t>
    </r>
    <r>
      <rPr>
        <sz val="8"/>
        <color indexed="8"/>
        <rFont val="Arial"/>
        <family val="2"/>
        <charset val="162"/>
      </rPr>
      <t xml:space="preserve"> </t>
    </r>
    <r>
      <rPr>
        <sz val="9"/>
        <color indexed="8"/>
        <rFont val="Arial"/>
        <family val="2"/>
        <charset val="162"/>
      </rPr>
      <t>Survivors receiving pension</t>
    </r>
  </si>
  <si>
    <r>
      <t>SÜREKLİ İŞ GÖREMEZLİK GELİRİ ALANLAR</t>
    </r>
    <r>
      <rPr>
        <b/>
        <sz val="7"/>
        <color indexed="8"/>
        <rFont val="Arial"/>
        <family val="2"/>
      </rPr>
      <t xml:space="preserve"> (XVIII) </t>
    </r>
    <r>
      <rPr>
        <b/>
        <sz val="9"/>
        <color indexed="8"/>
        <rFont val="Arial"/>
        <family val="2"/>
        <charset val="162"/>
      </rPr>
      <t>Those receiving permanent incapacity income</t>
    </r>
  </si>
  <si>
    <r>
      <t xml:space="preserve">ÖLÜM GELİRİ ALANLAR (Haksahibi) (XIX) </t>
    </r>
    <r>
      <rPr>
        <sz val="8"/>
        <color indexed="8"/>
        <rFont val="Arial"/>
        <family val="2"/>
        <charset val="162"/>
      </rPr>
      <t>Survivors receiving income</t>
    </r>
  </si>
  <si>
    <r>
      <t xml:space="preserve">ÖLÜM GELİRİ ALANLAR (Dosya) (XX) </t>
    </r>
    <r>
      <rPr>
        <sz val="8"/>
        <color indexed="8"/>
        <rFont val="Arial"/>
        <family val="2"/>
        <charset val="162"/>
      </rPr>
      <t>Survivors receiving income</t>
    </r>
  </si>
  <si>
    <r>
      <t xml:space="preserve">TOPLAM AYLIK VE GELİR ALANLAR (DOSYA) (VII+VIII+X+XI+XIII+XIV+XV+XVII+XVIII+XX)
 </t>
    </r>
    <r>
      <rPr>
        <sz val="8"/>
        <rFont val="Arial Tur"/>
        <charset val="162"/>
      </rPr>
      <t>Pensioners</t>
    </r>
  </si>
  <si>
    <r>
      <t xml:space="preserve">TOPLAM AYLIK VE GELİR ALANLAR (KİŞİ)  (VII+VIII+X+XI+XII+XIV+XV+XVI+XVIII+XIX)
</t>
    </r>
    <r>
      <rPr>
        <sz val="8"/>
        <rFont val="Arial Tur"/>
        <charset val="162"/>
      </rPr>
      <t>Pensioners</t>
    </r>
  </si>
  <si>
    <r>
      <t xml:space="preserve">Toplam Aktif Sigortalı (I+II+III+IV+V+VI)
</t>
    </r>
    <r>
      <rPr>
        <sz val="8"/>
        <rFont val="Arial"/>
        <family val="2"/>
        <charset val="162"/>
      </rPr>
      <t>Total</t>
    </r>
  </si>
  <si>
    <t>6-Stajer ve Kursiyerler(**)</t>
  </si>
  <si>
    <t>(**) 2004-2011 yılları arasındaki stajer ve kursiyerler zorunlu sigortalı içerisinde yer almaktadır.</t>
  </si>
  <si>
    <t>8-Stajer ve Kursiyerler(**)</t>
  </si>
  <si>
    <t>2022 Sayılı Kanuna Göre Aylık Alanlar (***)</t>
  </si>
  <si>
    <r>
      <t xml:space="preserve">3- Vat.Hiz.Ter </t>
    </r>
    <r>
      <rPr>
        <b/>
        <sz val="11"/>
        <rFont val="Arial"/>
        <family val="2"/>
        <charset val="162"/>
      </rPr>
      <t>(****)</t>
    </r>
  </si>
  <si>
    <t>Genel Sağlık Sigortası Kapsamında Tescil Edilenler(*****)</t>
  </si>
  <si>
    <t xml:space="preserve"> (***) 2022 sayılı kanuna göre aylık alanlar  01.11.2012 tarihi itibariyle Aile ve Sosyal Politikalar Bakanlığına devredilme işlemi tamamlanmıştır.</t>
  </si>
  <si>
    <t xml:space="preserve"> (****) 3292 ve 5774 sayılı kanunlara göre Vatani hizmet  aylığı alanlar olarak verilmiştir.</t>
  </si>
  <si>
    <t xml:space="preserve"> (*****) 1/1/2012 tarihinden itibaren herhangi bir sosyal güvence kapsamında olmayan ya da genel sağlık sigortalısının bakmakla yükümlü olduğu kişisi olmayanlar ile 5510 sayılı Kanun kapsamı dışında olan herkes zorunlu genel sağlık sigortalısı kapsamına alınır.</t>
  </si>
  <si>
    <r>
      <t xml:space="preserve">İL KODU  </t>
    </r>
    <r>
      <rPr>
        <sz val="11"/>
        <color indexed="8"/>
        <rFont val="Arial"/>
        <family val="2"/>
        <charset val="162"/>
      </rPr>
      <t>Provinces code</t>
    </r>
  </si>
  <si>
    <r>
      <t xml:space="preserve">İLLER </t>
    </r>
    <r>
      <rPr>
        <sz val="11"/>
        <color indexed="8"/>
        <rFont val="Arial"/>
        <family val="2"/>
        <charset val="162"/>
      </rPr>
      <t>Provinces</t>
    </r>
  </si>
  <si>
    <r>
      <t xml:space="preserve">1479 AKTİF SİGORTALI 
</t>
    </r>
    <r>
      <rPr>
        <sz val="11"/>
        <rFont val="Arial"/>
        <family val="2"/>
      </rPr>
      <t>Self Employed</t>
    </r>
    <r>
      <rPr>
        <b/>
        <sz val="11"/>
        <rFont val="Arial"/>
        <family val="2"/>
      </rPr>
      <t xml:space="preserve"> </t>
    </r>
    <r>
      <rPr>
        <sz val="11"/>
        <rFont val="Arial"/>
        <family val="2"/>
      </rPr>
      <t>Insured Person According to Act no:1479</t>
    </r>
  </si>
  <si>
    <r>
      <t>2926  AKTİF SİGORTALI</t>
    </r>
    <r>
      <rPr>
        <sz val="11"/>
        <rFont val="Arial"/>
        <family val="2"/>
      </rPr>
      <t xml:space="preserve"> 
Self Employed Insured Person According to Act no:2926</t>
    </r>
  </si>
  <si>
    <r>
      <t xml:space="preserve">Zorunlu Sigortalı (I) 
</t>
    </r>
    <r>
      <rPr>
        <sz val="11"/>
        <rFont val="Arial"/>
        <family val="2"/>
      </rPr>
      <t>Compulsory Insured</t>
    </r>
  </si>
  <si>
    <r>
      <t xml:space="preserve">İsteğe Bağlı (II)
 </t>
    </r>
    <r>
      <rPr>
        <sz val="11"/>
        <rFont val="Arial"/>
        <family val="2"/>
      </rPr>
      <t>Voluntarily Insured</t>
    </r>
  </si>
  <si>
    <r>
      <t xml:space="preserve">Muhtar (III) </t>
    </r>
    <r>
      <rPr>
        <sz val="11"/>
        <rFont val="Arial"/>
        <family val="2"/>
      </rPr>
      <t>Demarch</t>
    </r>
  </si>
  <si>
    <t>(**) 2004-2011 yılları arasındaki stajer ve kursiyerler zorunlu sigortalı içerisinde gösterilmektedir.</t>
  </si>
  <si>
    <t>Not: 2004-2012 yılları arasındaki isteğe bağlı ve Diğer(Ek 71,76 Geç 192) sigortalılar zorunlu sigortalı içerisinde gösterilmektedir.</t>
  </si>
  <si>
    <r>
      <t xml:space="preserve">Yıllar </t>
    </r>
    <r>
      <rPr>
        <i/>
        <sz val="18"/>
        <rFont val="Arial"/>
        <family val="2"/>
        <charset val="162"/>
      </rPr>
      <t>Years</t>
    </r>
  </si>
  <si>
    <t xml:space="preserve">      5- 2004-2012 yılları arasındaki isteğe bağlı ve Diğer(Ek 71,76 Geç 192) sigortalılar zorunlu sigortalı içerisinde gösterilmiştir.</t>
  </si>
  <si>
    <t>STAJER VE KURSİYERLER(II)</t>
  </si>
  <si>
    <r>
      <t>ERKEK</t>
    </r>
    <r>
      <rPr>
        <sz val="12"/>
        <rFont val="Arial"/>
        <family val="2"/>
        <charset val="162"/>
      </rPr>
      <t xml:space="preserve">  Male</t>
    </r>
  </si>
  <si>
    <r>
      <t xml:space="preserve">KADIN  </t>
    </r>
    <r>
      <rPr>
        <sz val="12"/>
        <rFont val="Arial"/>
        <family val="2"/>
        <charset val="162"/>
      </rPr>
      <t>Female</t>
    </r>
  </si>
  <si>
    <t>TOPLAM  Total</t>
  </si>
  <si>
    <r>
      <t xml:space="preserve">ERKEK </t>
    </r>
    <r>
      <rPr>
        <sz val="12"/>
        <rFont val="Arial"/>
        <family val="2"/>
        <charset val="162"/>
      </rPr>
      <t xml:space="preserve"> Male</t>
    </r>
  </si>
  <si>
    <r>
      <t>ERKEK</t>
    </r>
    <r>
      <rPr>
        <sz val="12"/>
        <rFont val="Arial"/>
        <family val="2"/>
        <charset val="162"/>
      </rPr>
      <t xml:space="preserve">   Male</t>
    </r>
  </si>
  <si>
    <r>
      <t xml:space="preserve">KADIN   </t>
    </r>
    <r>
      <rPr>
        <sz val="12"/>
        <rFont val="Arial"/>
        <family val="2"/>
        <charset val="162"/>
      </rPr>
      <t>Female</t>
    </r>
  </si>
  <si>
    <t>Demokrasi Şehitleri ( 667 Kendisi)</t>
  </si>
  <si>
    <t>Demokrasi Şehitleri ( 667 Hak Sahibi)</t>
  </si>
  <si>
    <t>Demokrasi Şehitleri ( 684 Hak Sahibi)</t>
  </si>
  <si>
    <t xml:space="preserve">    TOPLAM-Total</t>
  </si>
  <si>
    <t>7-  İsteğe Bağlı ve diğer sigortalılar (*)</t>
  </si>
  <si>
    <t>5  - Diğer  Sigortalılar(*)</t>
  </si>
  <si>
    <t>(*) 2011  öncesinde  isteğe bağlı sigortalılar verilirken  sonrası için  5510 sayılı Kanun'a göre Ek-5, Ek-6, Ek-9  Sigortalıları yer almaktadır.</t>
  </si>
  <si>
    <t>DİĞER SİGORTALILAR (V)</t>
  </si>
  <si>
    <t>(*) 5510 sayılı Kanun'a göre Ek-5, Ek-6, Ek-9  Sigortalıları yer almaktadır.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</si>
</sst>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164" formatCode="_-* #,##0\ &quot;TL&quot;_-;\-* #,##0\ &quot;TL&quot;_-;_-* &quot;-&quot;\ &quot;TL&quot;_-;_-@_-"/>
    <numFmt numFmtId="165" formatCode="_-* #,##0.00\ _T_L_-;\-* #,##0.00\ _T_L_-;_-* &quot;-&quot;??\ _T_L_-;_-@_-"/>
    <numFmt numFmtId="166" formatCode="_-* #,##0\ _T_L_-;\-* #,##0\ _T_L_-;_-* &quot;-&quot;??\ _T_L_-;_-@_-"/>
    <numFmt numFmtId="167" formatCode="_-* #,##0.0\ _T_L_-;\-* #,##0.0\ _T_L_-;_-* &quot;-&quot;??\ _T_L_-;_-@_-"/>
    <numFmt numFmtId="168" formatCode="#,##0.0"/>
    <numFmt numFmtId="169" formatCode="0.0"/>
    <numFmt numFmtId="170" formatCode="_(* #,##0_);_(* \(#,##0\);_(* &quot;-&quot;??_);_(@_)"/>
    <numFmt numFmtId="171" formatCode="0.0000"/>
    <numFmt numFmtId="172" formatCode="#,##0;[Red]#,##0"/>
    <numFmt numFmtId="173" formatCode="#,##0_ ;\-#,##0\ "/>
    <numFmt numFmtId="174" formatCode="0.0%"/>
    <numFmt numFmtId="175" formatCode="General_)"/>
    <numFmt numFmtId="176" formatCode="_-* #,##0.0000\ _T_L_-;\-* #,##0.0000\ _T_L_-;_-* &quot;-&quot;??\ _T_L_-;_-@_-"/>
  </numFmts>
  <fonts count="223">
    <font>
      <sz val="10"/>
      <name val="Arial"/>
      <charset val="162"/>
    </font>
    <font>
      <sz val="10"/>
      <name val="Arial"/>
      <family val="2"/>
      <charset val="162"/>
    </font>
    <font>
      <b/>
      <sz val="10"/>
      <name val="Arial"/>
      <family val="2"/>
    </font>
    <font>
      <u/>
      <sz val="10"/>
      <color indexed="12"/>
      <name val="Arial"/>
      <family val="2"/>
      <charset val="162"/>
    </font>
    <font>
      <sz val="10"/>
      <name val="Arial Tur"/>
      <charset val="162"/>
    </font>
    <font>
      <sz val="12"/>
      <name val="Arial"/>
      <family val="2"/>
      <charset val="162"/>
    </font>
    <font>
      <b/>
      <sz val="10"/>
      <name val="Arial"/>
      <family val="2"/>
      <charset val="162"/>
    </font>
    <font>
      <sz val="8"/>
      <name val="Arial"/>
      <family val="2"/>
      <charset val="162"/>
    </font>
    <font>
      <sz val="8"/>
      <name val="Arial Tur"/>
      <charset val="162"/>
    </font>
    <font>
      <b/>
      <sz val="9"/>
      <name val="Arial"/>
      <family val="2"/>
      <charset val="162"/>
    </font>
    <font>
      <sz val="10"/>
      <name val="Arial"/>
      <family val="2"/>
      <charset val="162"/>
    </font>
    <font>
      <b/>
      <i/>
      <sz val="10"/>
      <name val="Arial"/>
      <family val="2"/>
      <charset val="162"/>
    </font>
    <font>
      <b/>
      <sz val="8"/>
      <name val="Arial"/>
      <family val="2"/>
      <charset val="162"/>
    </font>
    <font>
      <sz val="9"/>
      <name val="Arial"/>
      <family val="2"/>
      <charset val="162"/>
    </font>
    <font>
      <b/>
      <sz val="12"/>
      <name val="Arial"/>
      <family val="2"/>
      <charset val="162"/>
    </font>
    <font>
      <b/>
      <i/>
      <sz val="10"/>
      <color indexed="23"/>
      <name val="Arial"/>
      <family val="2"/>
      <charset val="162"/>
    </font>
    <font>
      <b/>
      <sz val="11"/>
      <name val="Arial"/>
      <family val="2"/>
      <charset val="162"/>
    </font>
    <font>
      <sz val="11"/>
      <name val="Arial"/>
      <family val="2"/>
      <charset val="162"/>
    </font>
    <font>
      <sz val="8"/>
      <color indexed="8"/>
      <name val="Arial"/>
      <family val="2"/>
      <charset val="162"/>
    </font>
    <font>
      <b/>
      <i/>
      <sz val="9"/>
      <name val="Arial"/>
      <family val="2"/>
      <charset val="162"/>
    </font>
    <font>
      <sz val="10"/>
      <color indexed="9"/>
      <name val="Arial"/>
      <family val="2"/>
      <charset val="162"/>
    </font>
    <font>
      <i/>
      <sz val="8"/>
      <name val="Arial"/>
      <family val="2"/>
      <charset val="162"/>
    </font>
    <font>
      <b/>
      <i/>
      <sz val="8"/>
      <name val="Arial"/>
      <family val="2"/>
      <charset val="162"/>
    </font>
    <font>
      <b/>
      <sz val="8"/>
      <name val="Arial Tur"/>
      <charset val="162"/>
    </font>
    <font>
      <b/>
      <sz val="9"/>
      <name val="Arial Tur"/>
      <charset val="162"/>
    </font>
    <font>
      <sz val="7"/>
      <name val="Arial"/>
      <family val="2"/>
      <charset val="162"/>
    </font>
    <font>
      <u/>
      <sz val="10"/>
      <color indexed="12"/>
      <name val="Arial Tur"/>
      <charset val="162"/>
    </font>
    <font>
      <sz val="9"/>
      <name val="Arial"/>
      <family val="2"/>
    </font>
    <font>
      <sz val="10"/>
      <name val="Arial"/>
      <family val="2"/>
    </font>
    <font>
      <b/>
      <sz val="10"/>
      <name val="Arial Tur"/>
      <charset val="162"/>
    </font>
    <font>
      <b/>
      <sz val="8"/>
      <color indexed="8"/>
      <name val="Arial"/>
      <family val="2"/>
      <charset val="162"/>
    </font>
    <font>
      <i/>
      <sz val="11"/>
      <name val="Arial"/>
      <family val="2"/>
      <charset val="162"/>
    </font>
    <font>
      <b/>
      <i/>
      <sz val="11"/>
      <name val="Arial"/>
      <family val="2"/>
      <charset val="162"/>
    </font>
    <font>
      <sz val="8"/>
      <name val="Arial"/>
      <family val="2"/>
    </font>
    <font>
      <b/>
      <u/>
      <sz val="10"/>
      <name val="Arial"/>
      <family val="2"/>
    </font>
    <font>
      <b/>
      <sz val="9"/>
      <name val="Arial"/>
      <family val="2"/>
    </font>
    <font>
      <b/>
      <sz val="8"/>
      <color indexed="8"/>
      <name val="Arial"/>
      <family val="2"/>
    </font>
    <font>
      <sz val="10"/>
      <name val="Arial"/>
      <family val="2"/>
      <charset val="162"/>
    </font>
    <font>
      <sz val="8"/>
      <color indexed="8"/>
      <name val="Arial"/>
      <family val="2"/>
    </font>
    <font>
      <b/>
      <sz val="7"/>
      <color indexed="8"/>
      <name val="Arial"/>
      <family val="2"/>
    </font>
    <font>
      <b/>
      <sz val="11"/>
      <name val="Arial"/>
      <family val="2"/>
    </font>
    <font>
      <b/>
      <i/>
      <sz val="10"/>
      <color indexed="55"/>
      <name val="Arial"/>
      <family val="2"/>
      <charset val="162"/>
    </font>
    <font>
      <b/>
      <sz val="11"/>
      <name val="Arial Tur"/>
      <charset val="162"/>
    </font>
    <font>
      <b/>
      <sz val="7"/>
      <color indexed="8"/>
      <name val="Arial"/>
      <family val="2"/>
      <charset val="162"/>
    </font>
    <font>
      <b/>
      <sz val="8"/>
      <name val="Arial"/>
      <family val="2"/>
    </font>
    <font>
      <sz val="9"/>
      <color indexed="8"/>
      <name val="Arial"/>
      <family val="2"/>
      <charset val="162"/>
    </font>
    <font>
      <b/>
      <sz val="12"/>
      <name val="Arial TUR"/>
      <charset val="162"/>
    </font>
    <font>
      <sz val="11"/>
      <name val="Arial Tur"/>
      <charset val="162"/>
    </font>
    <font>
      <b/>
      <i/>
      <sz val="10"/>
      <name val="Arial Tur"/>
      <charset val="162"/>
    </font>
    <font>
      <sz val="11"/>
      <color indexed="8"/>
      <name val="Arial"/>
      <family val="2"/>
      <charset val="162"/>
    </font>
    <font>
      <b/>
      <i/>
      <sz val="10"/>
      <color indexed="63"/>
      <name val="Arial"/>
      <family val="2"/>
      <charset val="162"/>
    </font>
    <font>
      <b/>
      <i/>
      <sz val="9"/>
      <color indexed="63"/>
      <name val="Arial"/>
      <family val="2"/>
      <charset val="162"/>
    </font>
    <font>
      <b/>
      <sz val="14"/>
      <name val="Arial"/>
      <family val="2"/>
      <charset val="162"/>
    </font>
    <font>
      <sz val="14"/>
      <name val="Arial"/>
      <family val="2"/>
      <charset val="162"/>
    </font>
    <font>
      <sz val="14"/>
      <color indexed="10"/>
      <name val="Arial"/>
      <family val="2"/>
      <charset val="162"/>
    </font>
    <font>
      <b/>
      <sz val="16"/>
      <name val="Arial"/>
      <family val="2"/>
      <charset val="162"/>
    </font>
    <font>
      <i/>
      <sz val="14"/>
      <name val="Arial"/>
      <family val="2"/>
      <charset val="162"/>
    </font>
    <font>
      <sz val="9"/>
      <color indexed="9"/>
      <name val="Arial"/>
      <family val="2"/>
    </font>
    <font>
      <b/>
      <i/>
      <sz val="16"/>
      <name val="Arial"/>
      <family val="2"/>
      <charset val="162"/>
    </font>
    <font>
      <b/>
      <i/>
      <sz val="11"/>
      <color indexed="63"/>
      <name val="Arial"/>
      <family val="2"/>
      <charset val="162"/>
    </font>
    <font>
      <b/>
      <sz val="9"/>
      <color indexed="9"/>
      <name val="Arial Tur"/>
      <charset val="162"/>
    </font>
    <font>
      <sz val="10"/>
      <color indexed="8"/>
      <name val="Arial"/>
      <family val="2"/>
      <charset val="162"/>
    </font>
    <font>
      <b/>
      <sz val="10"/>
      <color indexed="8"/>
      <name val="Arial"/>
      <family val="2"/>
      <charset val="162"/>
    </font>
    <font>
      <i/>
      <sz val="10"/>
      <name val="Arial"/>
      <family val="2"/>
      <charset val="162"/>
    </font>
    <font>
      <i/>
      <sz val="9"/>
      <name val="Arial"/>
      <family val="2"/>
      <charset val="162"/>
    </font>
    <font>
      <b/>
      <i/>
      <sz val="11"/>
      <name val="Arial Tur"/>
      <charset val="162"/>
    </font>
    <font>
      <sz val="11"/>
      <name val="Arial"/>
      <family val="2"/>
    </font>
    <font>
      <i/>
      <sz val="16"/>
      <name val="Arial"/>
      <family val="2"/>
      <charset val="162"/>
    </font>
    <font>
      <sz val="11"/>
      <color indexed="8"/>
      <name val="Calibri"/>
      <family val="2"/>
      <charset val="162"/>
    </font>
    <font>
      <b/>
      <sz val="14"/>
      <color indexed="10"/>
      <name val="Arial"/>
      <family val="2"/>
      <charset val="162"/>
    </font>
    <font>
      <i/>
      <sz val="12"/>
      <name val="Arial"/>
      <family val="2"/>
      <charset val="162"/>
    </font>
    <font>
      <i/>
      <sz val="10"/>
      <name val="Arial Tur"/>
      <charset val="162"/>
    </font>
    <font>
      <sz val="7"/>
      <color indexed="8"/>
      <name val="Arial"/>
      <family val="2"/>
    </font>
    <font>
      <b/>
      <i/>
      <sz val="9"/>
      <name val="Arial Tur"/>
      <charset val="162"/>
    </font>
    <font>
      <sz val="9"/>
      <name val="Arial Tur"/>
      <charset val="162"/>
    </font>
    <font>
      <b/>
      <sz val="11"/>
      <color indexed="8"/>
      <name val="Arial"/>
      <family val="2"/>
      <charset val="162"/>
    </font>
    <font>
      <b/>
      <i/>
      <sz val="9"/>
      <name val="Arial Tur"/>
    </font>
    <font>
      <b/>
      <i/>
      <sz val="12"/>
      <color indexed="18"/>
      <name val="Arial"/>
      <family val="2"/>
      <charset val="162"/>
    </font>
    <font>
      <b/>
      <i/>
      <sz val="12"/>
      <color indexed="23"/>
      <name val="Arial"/>
      <family val="2"/>
      <charset val="162"/>
    </font>
    <font>
      <i/>
      <sz val="12"/>
      <color indexed="18"/>
      <name val="Arial"/>
      <family val="2"/>
      <charset val="162"/>
    </font>
    <font>
      <i/>
      <sz val="12"/>
      <color indexed="63"/>
      <name val="Arial"/>
      <family val="2"/>
      <charset val="162"/>
    </font>
    <font>
      <b/>
      <sz val="12"/>
      <name val="Arial"/>
      <family val="2"/>
    </font>
    <font>
      <sz val="10"/>
      <name val="Arial"/>
      <family val="2"/>
      <charset val="162"/>
    </font>
    <font>
      <sz val="11"/>
      <color indexed="8"/>
      <name val="Calibri"/>
      <family val="2"/>
      <charset val="162"/>
    </font>
    <font>
      <sz val="11"/>
      <color indexed="8"/>
      <name val="Calibri"/>
      <family val="2"/>
    </font>
    <font>
      <sz val="8"/>
      <name val="Arial"/>
      <family val="2"/>
      <charset val="162"/>
    </font>
    <font>
      <sz val="10"/>
      <name val="Arial"/>
      <family val="2"/>
      <charset val="162"/>
    </font>
    <font>
      <sz val="11"/>
      <color indexed="8"/>
      <name val="Arial"/>
      <family val="2"/>
    </font>
    <font>
      <b/>
      <sz val="11"/>
      <color indexed="8"/>
      <name val="Arial"/>
      <family val="2"/>
    </font>
    <font>
      <b/>
      <sz val="16"/>
      <color indexed="8"/>
      <name val="Times New Roman"/>
      <family val="1"/>
      <charset val="162"/>
    </font>
    <font>
      <sz val="16"/>
      <color indexed="8"/>
      <name val="Times New Roman"/>
      <family val="1"/>
      <charset val="162"/>
    </font>
    <font>
      <b/>
      <sz val="10"/>
      <color indexed="55"/>
      <name val="Arial"/>
      <family val="2"/>
      <charset val="162"/>
    </font>
    <font>
      <b/>
      <i/>
      <sz val="12"/>
      <color indexed="63"/>
      <name val="Arial"/>
      <family val="2"/>
    </font>
    <font>
      <i/>
      <sz val="10"/>
      <name val="Arial"/>
      <family val="2"/>
    </font>
    <font>
      <sz val="10"/>
      <name val="Arial"/>
      <family val="2"/>
      <charset val="162"/>
    </font>
    <font>
      <sz val="11"/>
      <color indexed="9"/>
      <name val="Calibri"/>
      <family val="2"/>
      <charset val="162"/>
    </font>
    <font>
      <i/>
      <sz val="11"/>
      <color indexed="23"/>
      <name val="Calibri"/>
      <family val="2"/>
      <charset val="162"/>
    </font>
    <font>
      <sz val="11"/>
      <color indexed="52"/>
      <name val="Calibri"/>
      <family val="2"/>
      <charset val="162"/>
    </font>
    <font>
      <b/>
      <sz val="11"/>
      <color indexed="63"/>
      <name val="Calibri"/>
      <family val="2"/>
      <charset val="162"/>
    </font>
    <font>
      <sz val="11"/>
      <color indexed="62"/>
      <name val="Calibri"/>
      <family val="2"/>
      <charset val="162"/>
    </font>
    <font>
      <b/>
      <sz val="11"/>
      <color indexed="52"/>
      <name val="Calibri"/>
      <family val="2"/>
      <charset val="162"/>
    </font>
    <font>
      <b/>
      <sz val="11"/>
      <color indexed="9"/>
      <name val="Calibri"/>
      <family val="2"/>
      <charset val="162"/>
    </font>
    <font>
      <sz val="11"/>
      <color indexed="17"/>
      <name val="Calibri"/>
      <family val="2"/>
      <charset val="162"/>
    </font>
    <font>
      <sz val="11"/>
      <color indexed="20"/>
      <name val="Calibri"/>
      <family val="2"/>
      <charset val="162"/>
    </font>
    <font>
      <sz val="11"/>
      <color indexed="60"/>
      <name val="Calibri"/>
      <family val="2"/>
      <charset val="162"/>
    </font>
    <font>
      <b/>
      <sz val="11"/>
      <color indexed="8"/>
      <name val="Calibri"/>
      <family val="2"/>
      <charset val="162"/>
    </font>
    <font>
      <sz val="11"/>
      <color indexed="10"/>
      <name val="Calibri"/>
      <family val="2"/>
      <charset val="162"/>
    </font>
    <font>
      <b/>
      <sz val="18"/>
      <color indexed="56"/>
      <name val="Cambria"/>
      <family val="2"/>
      <charset val="162"/>
    </font>
    <font>
      <b/>
      <sz val="15"/>
      <color indexed="56"/>
      <name val="Calibri"/>
      <family val="2"/>
      <charset val="162"/>
    </font>
    <font>
      <b/>
      <sz val="13"/>
      <color indexed="56"/>
      <name val="Calibri"/>
      <family val="2"/>
      <charset val="162"/>
    </font>
    <font>
      <b/>
      <sz val="11"/>
      <color indexed="56"/>
      <name val="Calibri"/>
      <family val="2"/>
      <charset val="162"/>
    </font>
    <font>
      <sz val="10"/>
      <name val="MS Sans Serif"/>
      <family val="2"/>
      <charset val="162"/>
    </font>
    <font>
      <sz val="10"/>
      <color indexed="8"/>
      <name val="Arial"/>
      <family val="2"/>
    </font>
    <font>
      <sz val="10"/>
      <name val="Geneva"/>
      <charset val="162"/>
    </font>
    <font>
      <sz val="10"/>
      <name val="Helv"/>
      <charset val="204"/>
    </font>
    <font>
      <i/>
      <sz val="11"/>
      <color indexed="63"/>
      <name val="Arial"/>
      <family val="2"/>
      <charset val="162"/>
    </font>
    <font>
      <i/>
      <sz val="11"/>
      <color indexed="8"/>
      <name val="Arial"/>
      <family val="2"/>
      <charset val="162"/>
    </font>
    <font>
      <sz val="11"/>
      <color indexed="9"/>
      <name val="Arial"/>
      <family val="2"/>
      <charset val="162"/>
    </font>
    <font>
      <i/>
      <sz val="11"/>
      <color indexed="63"/>
      <name val="Arial"/>
      <family val="2"/>
    </font>
    <font>
      <i/>
      <sz val="11"/>
      <color indexed="8"/>
      <name val="Times New Roman"/>
      <family val="1"/>
      <charset val="162"/>
    </font>
    <font>
      <b/>
      <i/>
      <sz val="11"/>
      <color indexed="23"/>
      <name val="Arial"/>
      <family val="2"/>
      <charset val="162"/>
    </font>
    <font>
      <b/>
      <sz val="11"/>
      <color indexed="9"/>
      <name val="Arial"/>
      <family val="2"/>
      <charset val="162"/>
    </font>
    <font>
      <b/>
      <sz val="11"/>
      <color indexed="18"/>
      <name val="Arial"/>
      <family val="2"/>
      <charset val="162"/>
    </font>
    <font>
      <i/>
      <sz val="10"/>
      <color indexed="12"/>
      <name val="Arial"/>
      <family val="2"/>
      <charset val="162"/>
    </font>
    <font>
      <b/>
      <sz val="11"/>
      <color indexed="23"/>
      <name val="Arial"/>
      <family val="2"/>
      <charset val="162"/>
    </font>
    <font>
      <b/>
      <i/>
      <sz val="8"/>
      <color indexed="23"/>
      <name val="Arial"/>
      <family val="2"/>
      <charset val="162"/>
    </font>
    <font>
      <b/>
      <sz val="8.5"/>
      <name val="Arial"/>
      <family val="2"/>
      <charset val="162"/>
    </font>
    <font>
      <sz val="10"/>
      <name val="Arial"/>
      <family val="2"/>
      <charset val="162"/>
    </font>
    <font>
      <sz val="10"/>
      <name val="Arial"/>
      <family val="2"/>
      <charset val="162"/>
    </font>
    <font>
      <i/>
      <sz val="10"/>
      <color indexed="10"/>
      <name val="Arial"/>
      <family val="2"/>
      <charset val="162"/>
    </font>
    <font>
      <sz val="10"/>
      <name val="Arial"/>
      <family val="2"/>
      <charset val="162"/>
    </font>
    <font>
      <sz val="9.8000000000000007"/>
      <name val="Arial"/>
      <family val="2"/>
      <charset val="162"/>
    </font>
    <font>
      <sz val="12"/>
      <name val="Arial"/>
      <family val="2"/>
    </font>
    <font>
      <sz val="9"/>
      <color indexed="8"/>
      <name val="Arial"/>
      <family val="2"/>
    </font>
    <font>
      <b/>
      <sz val="9"/>
      <color indexed="8"/>
      <name val="Arial"/>
      <family val="2"/>
      <charset val="162"/>
    </font>
    <font>
      <b/>
      <sz val="11"/>
      <color indexed="8"/>
      <name val="Arial Tur"/>
      <charset val="162"/>
    </font>
    <font>
      <b/>
      <sz val="12"/>
      <color indexed="10"/>
      <name val="Arial"/>
      <family val="2"/>
      <charset val="162"/>
    </font>
    <font>
      <b/>
      <u/>
      <sz val="12"/>
      <name val="Arial"/>
      <family val="2"/>
      <charset val="162"/>
    </font>
    <font>
      <b/>
      <i/>
      <sz val="12"/>
      <name val="Arial"/>
      <family val="2"/>
      <charset val="162"/>
    </font>
    <font>
      <b/>
      <i/>
      <sz val="12"/>
      <color indexed="8"/>
      <name val="Arial"/>
      <family val="2"/>
      <charset val="162"/>
    </font>
    <font>
      <sz val="12"/>
      <color indexed="8"/>
      <name val="Arial Tur"/>
      <charset val="162"/>
    </font>
    <font>
      <b/>
      <i/>
      <sz val="12"/>
      <color indexed="63"/>
      <name val="Arial"/>
      <family val="2"/>
      <charset val="162"/>
    </font>
    <font>
      <b/>
      <sz val="12"/>
      <name val="&quot;"/>
      <charset val="162"/>
    </font>
    <font>
      <b/>
      <sz val="22"/>
      <name val="Arial"/>
      <family val="2"/>
      <charset val="162"/>
    </font>
    <font>
      <sz val="22"/>
      <name val="Arial"/>
      <family val="2"/>
      <charset val="162"/>
    </font>
    <font>
      <b/>
      <i/>
      <sz val="22"/>
      <color indexed="63"/>
      <name val="Arial"/>
      <family val="2"/>
      <charset val="162"/>
    </font>
    <font>
      <b/>
      <sz val="22"/>
      <color indexed="10"/>
      <name val="Arial"/>
      <family val="2"/>
      <charset val="162"/>
    </font>
    <font>
      <b/>
      <i/>
      <sz val="22"/>
      <name val="Arial"/>
      <family val="2"/>
      <charset val="162"/>
    </font>
    <font>
      <i/>
      <sz val="22"/>
      <name val="Arial"/>
      <family val="2"/>
      <charset val="162"/>
    </font>
    <font>
      <b/>
      <sz val="22"/>
      <color indexed="8"/>
      <name val="Arial"/>
      <family val="2"/>
      <charset val="162"/>
    </font>
    <font>
      <sz val="12"/>
      <name val="Arial Tur"/>
      <charset val="162"/>
    </font>
    <font>
      <b/>
      <sz val="12"/>
      <color indexed="8"/>
      <name val="Arial"/>
      <family val="2"/>
    </font>
    <font>
      <sz val="14"/>
      <color indexed="8"/>
      <name val="Arial"/>
      <family val="2"/>
      <charset val="162"/>
    </font>
    <font>
      <sz val="12"/>
      <color indexed="9"/>
      <name val="Arial"/>
      <family val="2"/>
    </font>
    <font>
      <b/>
      <i/>
      <sz val="12"/>
      <color indexed="55"/>
      <name val="Arial"/>
      <family val="2"/>
    </font>
    <font>
      <b/>
      <sz val="12"/>
      <color indexed="8"/>
      <name val="Arial"/>
      <family val="2"/>
      <charset val="162"/>
    </font>
    <font>
      <sz val="12"/>
      <color indexed="55"/>
      <name val="Arial"/>
      <family val="2"/>
      <charset val="162"/>
    </font>
    <font>
      <i/>
      <sz val="11"/>
      <color indexed="12"/>
      <name val="Arial"/>
      <family val="2"/>
      <charset val="162"/>
    </font>
    <font>
      <b/>
      <shadow/>
      <sz val="12"/>
      <name val="Arial"/>
      <family val="2"/>
      <charset val="162"/>
    </font>
    <font>
      <i/>
      <shadow/>
      <sz val="12"/>
      <name val="Arial"/>
      <family val="2"/>
      <charset val="162"/>
    </font>
    <font>
      <sz val="12"/>
      <name val="Times New Roman"/>
      <family val="1"/>
      <charset val="162"/>
    </font>
    <font>
      <b/>
      <i/>
      <sz val="11"/>
      <color indexed="55"/>
      <name val="Arial"/>
      <family val="2"/>
      <charset val="162"/>
    </font>
    <font>
      <b/>
      <i/>
      <sz val="11"/>
      <color indexed="10"/>
      <name val="Arial"/>
      <family val="2"/>
      <charset val="162"/>
    </font>
    <font>
      <sz val="11"/>
      <color indexed="10"/>
      <name val="Arial"/>
      <family val="2"/>
      <charset val="162"/>
    </font>
    <font>
      <b/>
      <i/>
      <sz val="18"/>
      <name val="Arial"/>
      <family val="2"/>
      <charset val="162"/>
    </font>
    <font>
      <sz val="18"/>
      <name val="Arial"/>
      <family val="2"/>
      <charset val="162"/>
    </font>
    <font>
      <b/>
      <sz val="18"/>
      <name val="Arial"/>
      <family val="2"/>
      <charset val="162"/>
    </font>
    <font>
      <i/>
      <sz val="18"/>
      <name val="Arial"/>
      <family val="2"/>
      <charset val="162"/>
    </font>
    <font>
      <sz val="11"/>
      <color theme="1"/>
      <name val="Calibri"/>
      <family val="2"/>
      <charset val="162"/>
      <scheme val="minor"/>
    </font>
    <font>
      <sz val="11"/>
      <color theme="1"/>
      <name val="Calibri"/>
      <family val="2"/>
      <scheme val="minor"/>
    </font>
    <font>
      <sz val="11"/>
      <color theme="0"/>
      <name val="Calibri"/>
      <family val="2"/>
      <charset val="162"/>
      <scheme val="minor"/>
    </font>
    <font>
      <sz val="11"/>
      <color theme="0"/>
      <name val="Calibri"/>
      <family val="2"/>
      <scheme val="minor"/>
    </font>
    <font>
      <i/>
      <sz val="11"/>
      <color rgb="FF7F7F7F"/>
      <name val="Calibri"/>
      <family val="2"/>
      <charset val="162"/>
      <scheme val="minor"/>
    </font>
    <font>
      <i/>
      <sz val="11"/>
      <color rgb="FF7F7F7F"/>
      <name val="Calibri"/>
      <family val="2"/>
      <scheme val="minor"/>
    </font>
    <font>
      <b/>
      <sz val="18"/>
      <color indexed="62"/>
      <name val="Cambria"/>
      <family val="2"/>
      <charset val="162"/>
      <scheme val="major"/>
    </font>
    <font>
      <b/>
      <sz val="18"/>
      <color indexed="62"/>
      <name val="Cambria"/>
      <family val="2"/>
      <scheme val="major"/>
    </font>
    <font>
      <sz val="11"/>
      <color rgb="FFFA7D00"/>
      <name val="Calibri"/>
      <family val="2"/>
      <charset val="162"/>
      <scheme val="minor"/>
    </font>
    <font>
      <sz val="11"/>
      <color rgb="FFFA7D00"/>
      <name val="Calibri"/>
      <family val="2"/>
      <scheme val="minor"/>
    </font>
    <font>
      <b/>
      <sz val="15"/>
      <color indexed="62"/>
      <name val="Calibri"/>
      <family val="2"/>
      <charset val="162"/>
      <scheme val="minor"/>
    </font>
    <font>
      <b/>
      <sz val="15"/>
      <color indexed="62"/>
      <name val="Calibri"/>
      <family val="2"/>
      <scheme val="minor"/>
    </font>
    <font>
      <b/>
      <sz val="13"/>
      <color indexed="62"/>
      <name val="Calibri"/>
      <family val="2"/>
      <charset val="162"/>
      <scheme val="minor"/>
    </font>
    <font>
      <b/>
      <sz val="13"/>
      <color indexed="62"/>
      <name val="Calibri"/>
      <family val="2"/>
      <scheme val="minor"/>
    </font>
    <font>
      <b/>
      <sz val="11"/>
      <color indexed="62"/>
      <name val="Calibri"/>
      <family val="2"/>
      <charset val="162"/>
      <scheme val="minor"/>
    </font>
    <font>
      <b/>
      <sz val="11"/>
      <color indexed="62"/>
      <name val="Calibri"/>
      <family val="2"/>
      <scheme val="minor"/>
    </font>
    <font>
      <b/>
      <sz val="11"/>
      <color rgb="FF3F3F3F"/>
      <name val="Calibri"/>
      <family val="2"/>
      <charset val="162"/>
      <scheme val="minor"/>
    </font>
    <font>
      <b/>
      <sz val="11"/>
      <color rgb="FF3F3F3F"/>
      <name val="Calibri"/>
      <family val="2"/>
      <scheme val="minor"/>
    </font>
    <font>
      <sz val="11"/>
      <color rgb="FF3F3F76"/>
      <name val="Calibri"/>
      <family val="2"/>
      <charset val="162"/>
      <scheme val="minor"/>
    </font>
    <font>
      <sz val="11"/>
      <color rgb="FF3F3F76"/>
      <name val="Calibri"/>
      <family val="2"/>
      <scheme val="minor"/>
    </font>
    <font>
      <b/>
      <sz val="11"/>
      <color rgb="FFFA7D00"/>
      <name val="Calibri"/>
      <family val="2"/>
      <charset val="162"/>
      <scheme val="minor"/>
    </font>
    <font>
      <b/>
      <sz val="11"/>
      <color rgb="FFFA7D00"/>
      <name val="Calibri"/>
      <family val="2"/>
      <scheme val="minor"/>
    </font>
    <font>
      <b/>
      <sz val="11"/>
      <color theme="0"/>
      <name val="Calibri"/>
      <family val="2"/>
      <charset val="162"/>
      <scheme val="minor"/>
    </font>
    <font>
      <b/>
      <sz val="11"/>
      <color theme="0"/>
      <name val="Calibri"/>
      <family val="2"/>
      <scheme val="minor"/>
    </font>
    <font>
      <sz val="11"/>
      <color rgb="FF006100"/>
      <name val="Calibri"/>
      <family val="2"/>
      <charset val="162"/>
      <scheme val="minor"/>
    </font>
    <font>
      <sz val="11"/>
      <color rgb="FF006100"/>
      <name val="Calibri"/>
      <family val="2"/>
      <scheme val="minor"/>
    </font>
    <font>
      <u/>
      <sz val="8"/>
      <color rgb="FF800080"/>
      <name val="Calibri"/>
      <family val="2"/>
      <charset val="162"/>
      <scheme val="minor"/>
    </font>
    <font>
      <u/>
      <sz val="8"/>
      <color indexed="39"/>
      <name val="Calibri"/>
      <family val="2"/>
      <charset val="162"/>
      <scheme val="minor"/>
    </font>
    <font>
      <sz val="11"/>
      <color rgb="FF9C0006"/>
      <name val="Calibri"/>
      <family val="2"/>
      <charset val="162"/>
      <scheme val="minor"/>
    </font>
    <font>
      <sz val="11"/>
      <color rgb="FF9C0006"/>
      <name val="Calibri"/>
      <family val="2"/>
      <scheme val="minor"/>
    </font>
    <font>
      <sz val="11"/>
      <color rgb="FF9C6500"/>
      <name val="Calibri"/>
      <family val="2"/>
      <charset val="162"/>
      <scheme val="minor"/>
    </font>
    <font>
      <sz val="11"/>
      <color rgb="FF9C6500"/>
      <name val="Calibri"/>
      <family val="2"/>
      <scheme val="minor"/>
    </font>
    <font>
      <b/>
      <sz val="11"/>
      <color theme="1"/>
      <name val="Calibri"/>
      <family val="2"/>
      <charset val="162"/>
      <scheme val="minor"/>
    </font>
    <font>
      <b/>
      <sz val="11"/>
      <color theme="1"/>
      <name val="Calibri"/>
      <family val="2"/>
      <scheme val="minor"/>
    </font>
    <font>
      <sz val="11"/>
      <color rgb="FFFF0000"/>
      <name val="Calibri"/>
      <family val="2"/>
      <charset val="162"/>
      <scheme val="minor"/>
    </font>
    <font>
      <sz val="11"/>
      <color rgb="FFFF0000"/>
      <name val="Calibri"/>
      <family val="2"/>
      <scheme val="minor"/>
    </font>
    <font>
      <sz val="10"/>
      <color theme="0"/>
      <name val="Arial"/>
      <family val="2"/>
      <charset val="162"/>
    </font>
    <font>
      <sz val="9"/>
      <color theme="0"/>
      <name val="Arial"/>
      <family val="2"/>
      <charset val="162"/>
    </font>
    <font>
      <b/>
      <sz val="10"/>
      <color theme="0"/>
      <name val="Arial"/>
      <family val="2"/>
      <charset val="162"/>
    </font>
    <font>
      <b/>
      <sz val="9"/>
      <color theme="0"/>
      <name val="Arial"/>
      <family val="2"/>
      <charset val="162"/>
    </font>
    <font>
      <sz val="10"/>
      <color theme="1"/>
      <name val="Arial"/>
      <family val="2"/>
      <charset val="162"/>
    </font>
    <font>
      <sz val="8"/>
      <color rgb="FF000000"/>
      <name val="Arial Rounded MT Bold"/>
      <family val="2"/>
    </font>
    <font>
      <sz val="8"/>
      <color theme="6" tint="-0.249977111117893"/>
      <name val="Arial Rounded MT Bold"/>
      <family val="2"/>
    </font>
    <font>
      <sz val="8"/>
      <color rgb="FF000000"/>
      <name val="Arial"/>
      <family val="2"/>
      <charset val="162"/>
    </font>
    <font>
      <sz val="8"/>
      <color theme="6" tint="-0.249977111117893"/>
      <name val="Arial"/>
      <family val="2"/>
      <charset val="162"/>
    </font>
    <font>
      <b/>
      <u/>
      <sz val="10"/>
      <color rgb="FFFF0000"/>
      <name val="Arial"/>
      <family val="2"/>
      <charset val="162"/>
    </font>
    <font>
      <b/>
      <sz val="10"/>
      <color rgb="FFFF0000"/>
      <name val="Arial"/>
      <family val="2"/>
      <charset val="162"/>
    </font>
    <font>
      <i/>
      <sz val="10"/>
      <color rgb="FFFF0000"/>
      <name val="Arial"/>
      <family val="2"/>
      <charset val="162"/>
    </font>
    <font>
      <sz val="10"/>
      <color rgb="FFFF0000"/>
      <name val="Arial"/>
      <family val="2"/>
      <charset val="162"/>
    </font>
    <font>
      <b/>
      <sz val="9"/>
      <color rgb="FFFF0000"/>
      <name val="Arial"/>
      <family val="2"/>
      <charset val="162"/>
    </font>
    <font>
      <sz val="9"/>
      <color rgb="FFFF0000"/>
      <name val="Arial"/>
      <family val="2"/>
      <charset val="162"/>
    </font>
    <font>
      <b/>
      <sz val="11"/>
      <name val="Calibri"/>
      <family val="2"/>
      <charset val="162"/>
      <scheme val="minor"/>
    </font>
    <font>
      <sz val="9"/>
      <color theme="1"/>
      <name val="Arial"/>
      <family val="2"/>
      <charset val="162"/>
    </font>
    <font>
      <b/>
      <i/>
      <sz val="14"/>
      <name val="Arial"/>
      <family val="2"/>
      <charset val="162"/>
    </font>
    <font>
      <b/>
      <sz val="11"/>
      <color theme="0"/>
      <name val="Calibri"/>
      <family val="2"/>
      <charset val="162"/>
    </font>
  </fonts>
  <fills count="63">
    <fill>
      <patternFill patternType="none"/>
    </fill>
    <fill>
      <patternFill patternType="gray125"/>
    </fill>
    <fill>
      <patternFill patternType="solid">
        <fgColor indexed="21"/>
      </patternFill>
    </fill>
    <fill>
      <patternFill patternType="solid">
        <fgColor indexed="31"/>
      </patternFill>
    </fill>
    <fill>
      <patternFill patternType="solid">
        <fgColor indexed="29"/>
      </patternFill>
    </fill>
    <fill>
      <patternFill patternType="solid">
        <fgColor indexed="45"/>
      </patternFill>
    </fill>
    <fill>
      <patternFill patternType="solid">
        <fgColor indexed="26"/>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43"/>
      </patternFill>
    </fill>
    <fill>
      <patternFill patternType="solid">
        <fgColor indexed="11"/>
      </patternFill>
    </fill>
    <fill>
      <patternFill patternType="solid">
        <fgColor indexed="12"/>
      </patternFill>
    </fill>
    <fill>
      <patternFill patternType="solid">
        <fgColor indexed="51"/>
      </patternFill>
    </fill>
    <fill>
      <patternFill patternType="solid">
        <fgColor indexed="30"/>
      </patternFill>
    </fill>
    <fill>
      <patternFill patternType="solid">
        <fgColor indexed="22"/>
      </patternFill>
    </fill>
    <fill>
      <patternFill patternType="solid">
        <fgColor indexed="36"/>
      </patternFill>
    </fill>
    <fill>
      <patternFill patternType="solid">
        <fgColor indexed="49"/>
      </patternFill>
    </fill>
    <fill>
      <patternFill patternType="solid">
        <fgColor indexed="5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13"/>
        <bgColor indexed="64"/>
      </patternFill>
    </fill>
    <fill>
      <patternFill patternType="solid">
        <fgColor indexed="44"/>
        <bgColor indexed="64"/>
      </patternFill>
    </fill>
    <fill>
      <patternFill patternType="solid">
        <fgColor indexed="9"/>
        <bgColor indexed="64"/>
      </patternFill>
    </fill>
    <fill>
      <patternFill patternType="solid">
        <fgColor indexed="47"/>
        <bgColor indexed="64"/>
      </patternFill>
    </fill>
    <fill>
      <patternFill patternType="solid">
        <fgColor indexed="12"/>
        <bgColor indexed="64"/>
      </patternFill>
    </fill>
    <fill>
      <patternFill patternType="solid">
        <fgColor indexed="49"/>
        <bgColor indexed="64"/>
      </patternFill>
    </fill>
    <fill>
      <patternFill patternType="solid">
        <fgColor indexed="45"/>
        <bgColor indexed="64"/>
      </patternFill>
    </fill>
    <fill>
      <patternFill patternType="solid">
        <fgColor indexed="27"/>
        <bgColor indexed="64"/>
      </patternFill>
    </fill>
    <fill>
      <patternFill patternType="solid">
        <fgColor indexed="9"/>
      </patternFill>
    </fill>
    <fill>
      <patternFill patternType="solid">
        <fgColor indexed="22"/>
        <bgColor indexed="64"/>
      </patternFill>
    </fill>
    <fill>
      <patternFill patternType="solid">
        <fgColor indexed="21"/>
        <bgColor indexed="64"/>
      </patternFill>
    </fill>
    <fill>
      <patternFill patternType="solid">
        <fgColor indexed="26"/>
        <bgColor indexed="64"/>
      </patternFill>
    </fill>
    <fill>
      <patternFill patternType="solid">
        <fgColor theme="5" tint="0.59999389629810485"/>
        <bgColor indexed="65"/>
      </patternFill>
    </fill>
    <fill>
      <patternFill patternType="solid">
        <fgColor theme="5" tint="0.39997558519241921"/>
        <bgColor indexed="65"/>
      </patternFill>
    </fill>
    <fill>
      <patternFill patternType="solid">
        <fgColor theme="8" tint="0.39997558519241921"/>
        <bgColor indexed="65"/>
      </patternFill>
    </fill>
    <fill>
      <patternFill patternType="solid">
        <fgColor rgb="FFA5A5A5"/>
      </patternFill>
    </fill>
    <fill>
      <patternFill patternType="solid">
        <fgColor rgb="FFC6EFCE"/>
      </patternFill>
    </fill>
    <fill>
      <patternFill patternType="solid">
        <fgColor rgb="FFFFC7CE"/>
      </patternFill>
    </fill>
    <fill>
      <patternFill patternType="solid">
        <fgColor rgb="FFFFFFCC"/>
      </patternFill>
    </fill>
    <fill>
      <patternFill patternType="solid">
        <fgColor rgb="FFFFEB9C"/>
      </patternFill>
    </fill>
    <fill>
      <patternFill patternType="solid">
        <fgColor theme="5"/>
      </patternFill>
    </fill>
    <fill>
      <patternFill patternType="solid">
        <fgColor theme="6"/>
      </patternFill>
    </fill>
    <fill>
      <patternFill patternType="solid">
        <fgColor theme="8"/>
      </patternFill>
    </fill>
    <fill>
      <patternFill patternType="solid">
        <fgColor theme="9"/>
      </patternFill>
    </fill>
    <fill>
      <patternFill patternType="solid">
        <fgColor theme="7"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rgb="FFDC94CE"/>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7" tint="0.79998168889431442"/>
        <bgColor theme="4" tint="0.79998168889431442"/>
      </patternFill>
    </fill>
    <fill>
      <patternFill patternType="solid">
        <fgColor theme="7" tint="0.59999389629810485"/>
        <bgColor indexed="64"/>
      </patternFill>
    </fill>
    <fill>
      <patternFill patternType="solid">
        <fgColor theme="6" tint="0.39997558519241921"/>
        <bgColor indexed="64"/>
      </patternFill>
    </fill>
    <fill>
      <patternFill patternType="solid">
        <fgColor rgb="FFD785C7"/>
        <bgColor indexed="64"/>
      </patternFill>
    </fill>
    <fill>
      <patternFill patternType="solid">
        <fgColor rgb="FFFFC000"/>
        <bgColor indexed="64"/>
      </patternFill>
    </fill>
    <fill>
      <patternFill patternType="solid">
        <fgColor theme="4" tint="0.59999389629810485"/>
        <bgColor indexed="64"/>
      </patternFill>
    </fill>
  </fills>
  <borders count="231">
    <border>
      <left/>
      <right/>
      <top/>
      <bottom/>
      <diagonal/>
    </border>
    <border>
      <left/>
      <right/>
      <top/>
      <bottom style="double">
        <color indexed="52"/>
      </bottom>
      <diagonal/>
    </border>
    <border>
      <left/>
      <right/>
      <top/>
      <bottom style="thick">
        <color indexed="49"/>
      </bottom>
      <diagonal/>
    </border>
    <border>
      <left/>
      <right/>
      <top/>
      <bottom style="thick">
        <color indexed="62"/>
      </bottom>
      <diagonal/>
    </border>
    <border>
      <left/>
      <right/>
      <top/>
      <bottom style="thick">
        <color indexed="21"/>
      </bottom>
      <diagonal/>
    </border>
    <border>
      <left/>
      <right/>
      <top/>
      <bottom style="thick">
        <color indexed="22"/>
      </bottom>
      <diagonal/>
    </border>
    <border>
      <left/>
      <right/>
      <top/>
      <bottom style="medium">
        <color indexed="21"/>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style="thin">
        <color indexed="49"/>
      </top>
      <bottom style="double">
        <color indexed="49"/>
      </bottom>
      <diagonal/>
    </border>
    <border>
      <left/>
      <right/>
      <top style="thin">
        <color indexed="62"/>
      </top>
      <bottom style="double">
        <color indexed="62"/>
      </bottom>
      <diagonal/>
    </border>
    <border>
      <left/>
      <right/>
      <top/>
      <bottom style="medium">
        <color indexed="64"/>
      </bottom>
      <diagonal/>
    </border>
    <border>
      <left/>
      <right/>
      <top style="thin">
        <color indexed="64"/>
      </top>
      <bottom/>
      <diagonal/>
    </border>
    <border>
      <left style="hair">
        <color indexed="64"/>
      </left>
      <right style="medium">
        <color indexed="64"/>
      </right>
      <top/>
      <bottom style="medium">
        <color indexed="64"/>
      </bottom>
      <diagonal/>
    </border>
    <border>
      <left/>
      <right/>
      <top style="hair">
        <color indexed="64"/>
      </top>
      <bottom style="hair">
        <color indexed="64"/>
      </bottom>
      <diagonal/>
    </border>
    <border>
      <left/>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medium">
        <color indexed="64"/>
      </left>
      <right style="hair">
        <color indexed="64"/>
      </right>
      <top style="medium">
        <color indexed="64"/>
      </top>
      <bottom style="hair">
        <color indexed="64"/>
      </bottom>
      <diagonal/>
    </border>
    <border>
      <left style="medium">
        <color indexed="64"/>
      </left>
      <right/>
      <top style="hair">
        <color indexed="64"/>
      </top>
      <bottom style="hair">
        <color indexed="64"/>
      </bottom>
      <diagonal/>
    </border>
    <border>
      <left/>
      <right/>
      <top style="hair">
        <color indexed="64"/>
      </top>
      <bottom style="medium">
        <color indexed="64"/>
      </bottom>
      <diagonal/>
    </border>
    <border>
      <left style="medium">
        <color indexed="64"/>
      </left>
      <right/>
      <top style="medium">
        <color indexed="64"/>
      </top>
      <bottom style="hair">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style="hair">
        <color indexed="64"/>
      </right>
      <top style="hair">
        <color indexed="64"/>
      </top>
      <bottom style="medium">
        <color indexed="64"/>
      </bottom>
      <diagonal/>
    </border>
    <border>
      <left style="medium">
        <color indexed="64"/>
      </left>
      <right/>
      <top/>
      <bottom style="hair">
        <color indexed="64"/>
      </bottom>
      <diagonal/>
    </border>
    <border>
      <left/>
      <right/>
      <top/>
      <bottom style="hair">
        <color indexed="64"/>
      </bottom>
      <diagonal/>
    </border>
    <border>
      <left style="medium">
        <color indexed="64"/>
      </left>
      <right/>
      <top style="hair">
        <color indexed="64"/>
      </top>
      <bottom style="medium">
        <color indexed="64"/>
      </bottom>
      <diagonal/>
    </border>
    <border>
      <left style="hair">
        <color indexed="64"/>
      </left>
      <right/>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bottom style="hair">
        <color indexed="64"/>
      </bottom>
      <diagonal/>
    </border>
    <border>
      <left/>
      <right style="thin">
        <color indexed="64"/>
      </right>
      <top style="thin">
        <color indexed="64"/>
      </top>
      <bottom style="hair">
        <color indexed="64"/>
      </bottom>
      <diagonal/>
    </border>
    <border>
      <left style="medium">
        <color indexed="64"/>
      </left>
      <right style="hair">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right style="thin">
        <color indexed="64"/>
      </right>
      <top style="thin">
        <color indexed="64"/>
      </top>
      <bottom/>
      <diagonal/>
    </border>
    <border>
      <left/>
      <right style="medium">
        <color indexed="64"/>
      </right>
      <top style="medium">
        <color indexed="64"/>
      </top>
      <bottom/>
      <diagonal/>
    </border>
    <border>
      <left/>
      <right/>
      <top style="thin">
        <color indexed="64"/>
      </top>
      <bottom style="medium">
        <color indexed="64"/>
      </bottom>
      <diagonal/>
    </border>
    <border>
      <left style="medium">
        <color indexed="64"/>
      </left>
      <right style="hair">
        <color indexed="64"/>
      </right>
      <top style="medium">
        <color indexed="64"/>
      </top>
      <bottom style="thin">
        <color indexed="64"/>
      </bottom>
      <diagonal/>
    </border>
    <border>
      <left style="hair">
        <color indexed="64"/>
      </left>
      <right style="hair">
        <color indexed="64"/>
      </right>
      <top style="medium">
        <color indexed="64"/>
      </top>
      <bottom style="thin">
        <color indexed="64"/>
      </bottom>
      <diagonal/>
    </border>
    <border>
      <left style="hair">
        <color indexed="64"/>
      </left>
      <right/>
      <top style="medium">
        <color indexed="64"/>
      </top>
      <bottom style="thin">
        <color indexed="64"/>
      </bottom>
      <diagonal/>
    </border>
    <border>
      <left style="hair">
        <color indexed="64"/>
      </left>
      <right style="medium">
        <color indexed="64"/>
      </right>
      <top style="medium">
        <color indexed="64"/>
      </top>
      <bottom style="thin">
        <color indexed="64"/>
      </bottom>
      <diagonal/>
    </border>
    <border>
      <left/>
      <right/>
      <top style="medium">
        <color indexed="64"/>
      </top>
      <bottom/>
      <diagonal/>
    </border>
    <border>
      <left style="hair">
        <color indexed="64"/>
      </left>
      <right/>
      <top style="hair">
        <color indexed="64"/>
      </top>
      <bottom style="hair">
        <color indexed="64"/>
      </bottom>
      <diagonal/>
    </border>
    <border>
      <left style="hair">
        <color indexed="64"/>
      </left>
      <right/>
      <top style="hair">
        <color indexed="64"/>
      </top>
      <bottom style="medium">
        <color indexed="64"/>
      </bottom>
      <diagonal/>
    </border>
    <border>
      <left style="medium">
        <color indexed="64"/>
      </left>
      <right style="hair">
        <color indexed="64"/>
      </right>
      <top/>
      <bottom style="medium">
        <color indexed="64"/>
      </bottom>
      <diagonal/>
    </border>
    <border>
      <left/>
      <right style="medium">
        <color indexed="64"/>
      </right>
      <top style="hair">
        <color indexed="64"/>
      </top>
      <bottom style="hair">
        <color indexed="64"/>
      </bottom>
      <diagonal/>
    </border>
    <border>
      <left style="medium">
        <color indexed="64"/>
      </left>
      <right/>
      <top/>
      <bottom/>
      <diagonal/>
    </border>
    <border>
      <left style="medium">
        <color indexed="64"/>
      </left>
      <right/>
      <top style="medium">
        <color indexed="64"/>
      </top>
      <bottom/>
      <diagonal/>
    </border>
    <border>
      <left style="medium">
        <color indexed="64"/>
      </left>
      <right/>
      <top/>
      <bottom style="medium">
        <color indexed="64"/>
      </bottom>
      <diagonal/>
    </border>
    <border>
      <left/>
      <right style="medium">
        <color indexed="64"/>
      </right>
      <top style="medium">
        <color indexed="64"/>
      </top>
      <bottom style="hair">
        <color indexed="64"/>
      </bottom>
      <diagonal/>
    </border>
    <border>
      <left style="medium">
        <color indexed="64"/>
      </left>
      <right/>
      <top style="hair">
        <color indexed="64"/>
      </top>
      <bottom/>
      <diagonal/>
    </border>
    <border>
      <left/>
      <right/>
      <top style="hair">
        <color indexed="64"/>
      </top>
      <bottom/>
      <diagonal/>
    </border>
    <border>
      <left/>
      <right style="medium">
        <color indexed="64"/>
      </right>
      <top style="hair">
        <color indexed="64"/>
      </top>
      <bottom/>
      <diagonal/>
    </border>
    <border>
      <left/>
      <right style="medium">
        <color indexed="64"/>
      </right>
      <top/>
      <bottom style="hair">
        <color indexed="64"/>
      </bottom>
      <diagonal/>
    </border>
    <border>
      <left/>
      <right style="medium">
        <color indexed="64"/>
      </right>
      <top style="hair">
        <color indexed="64"/>
      </top>
      <bottom style="medium">
        <color indexed="64"/>
      </bottom>
      <diagonal/>
    </border>
    <border>
      <left style="medium">
        <color indexed="64"/>
      </left>
      <right style="hair">
        <color indexed="64"/>
      </right>
      <top style="medium">
        <color indexed="64"/>
      </top>
      <bottom style="medium">
        <color indexed="64"/>
      </bottom>
      <diagonal/>
    </border>
    <border>
      <left/>
      <right/>
      <top/>
      <bottom style="thin">
        <color indexed="64"/>
      </bottom>
      <diagonal/>
    </border>
    <border>
      <left style="hair">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medium">
        <color indexed="64"/>
      </top>
      <bottom style="hair">
        <color indexed="64"/>
      </bottom>
      <diagonal/>
    </border>
    <border>
      <left style="hair">
        <color indexed="64"/>
      </left>
      <right/>
      <top/>
      <bottom style="hair">
        <color indexed="64"/>
      </bottom>
      <diagonal/>
    </border>
    <border>
      <left style="medium">
        <color indexed="64"/>
      </left>
      <right style="medium">
        <color indexed="64"/>
      </right>
      <top/>
      <bottom style="hair">
        <color indexed="64"/>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right style="hair">
        <color indexed="64"/>
      </right>
      <top/>
      <bottom style="hair">
        <color indexed="64"/>
      </bottom>
      <diagonal/>
    </border>
    <border>
      <left style="medium">
        <color indexed="64"/>
      </left>
      <right style="medium">
        <color indexed="64"/>
      </right>
      <top/>
      <bottom style="medium">
        <color indexed="64"/>
      </bottom>
      <diagonal/>
    </border>
    <border>
      <left style="hair">
        <color indexed="64"/>
      </left>
      <right style="hair">
        <color indexed="64"/>
      </right>
      <top/>
      <bottom style="medium">
        <color indexed="64"/>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thin">
        <color indexed="64"/>
      </top>
      <bottom style="hair">
        <color indexed="64"/>
      </bottom>
      <diagonal/>
    </border>
    <border>
      <left/>
      <right style="hair">
        <color indexed="64"/>
      </right>
      <top style="thin">
        <color indexed="64"/>
      </top>
      <bottom style="hair">
        <color indexed="64"/>
      </bottom>
      <diagonal/>
    </border>
    <border>
      <left/>
      <right style="hair">
        <color indexed="64"/>
      </right>
      <top style="hair">
        <color indexed="64"/>
      </top>
      <bottom/>
      <diagonal/>
    </border>
    <border>
      <left style="hair">
        <color indexed="64"/>
      </left>
      <right/>
      <top style="hair">
        <color indexed="64"/>
      </top>
      <bottom/>
      <diagonal/>
    </border>
    <border>
      <left style="hair">
        <color indexed="64"/>
      </left>
      <right/>
      <top/>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hair">
        <color indexed="64"/>
      </bottom>
      <diagonal/>
    </border>
    <border>
      <left/>
      <right style="hair">
        <color indexed="64"/>
      </right>
      <top style="medium">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style="thin">
        <color indexed="64"/>
      </right>
      <top style="hair">
        <color indexed="64"/>
      </top>
      <bottom style="hair">
        <color indexed="64"/>
      </bottom>
      <diagonal/>
    </border>
    <border>
      <left style="hair">
        <color indexed="64"/>
      </left>
      <right style="medium">
        <color indexed="64"/>
      </right>
      <top style="hair">
        <color indexed="64"/>
      </top>
      <bottom/>
      <diagonal/>
    </border>
    <border>
      <left style="thin">
        <color indexed="64"/>
      </left>
      <right/>
      <top style="hair">
        <color indexed="64"/>
      </top>
      <bottom style="medium">
        <color indexed="64"/>
      </bottom>
      <diagonal/>
    </border>
    <border>
      <left/>
      <right style="hair">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right/>
      <top style="medium">
        <color indexed="64"/>
      </top>
      <bottom style="thin">
        <color indexed="64"/>
      </bottom>
      <diagonal/>
    </border>
    <border>
      <left/>
      <right style="hair">
        <color indexed="64"/>
      </right>
      <top style="medium">
        <color indexed="64"/>
      </top>
      <bottom style="thin">
        <color indexed="64"/>
      </bottom>
      <diagonal/>
    </border>
    <border>
      <left style="medium">
        <color indexed="64"/>
      </left>
      <right style="thin">
        <color indexed="64"/>
      </right>
      <top style="thin">
        <color indexed="64"/>
      </top>
      <bottom style="hair">
        <color indexed="64"/>
      </bottom>
      <diagonal/>
    </border>
    <border>
      <left style="medium">
        <color indexed="64"/>
      </left>
      <right style="thin">
        <color indexed="64"/>
      </right>
      <top style="hair">
        <color indexed="64"/>
      </top>
      <bottom style="thin">
        <color indexed="64"/>
      </bottom>
      <diagonal/>
    </border>
    <border>
      <left style="thin">
        <color indexed="64"/>
      </left>
      <right style="hair">
        <color indexed="64"/>
      </right>
      <top style="thin">
        <color indexed="64"/>
      </top>
      <bottom style="medium">
        <color indexed="64"/>
      </bottom>
      <diagonal/>
    </border>
    <border>
      <left style="medium">
        <color indexed="64"/>
      </left>
      <right style="thin">
        <color indexed="64"/>
      </right>
      <top/>
      <bottom style="hair">
        <color indexed="64"/>
      </bottom>
      <diagonal/>
    </border>
    <border>
      <left style="thin">
        <color indexed="64"/>
      </left>
      <right style="medium">
        <color indexed="64"/>
      </right>
      <top style="thin">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style="thin">
        <color indexed="64"/>
      </top>
      <bottom style="medium">
        <color indexed="64"/>
      </bottom>
      <diagonal/>
    </border>
    <border>
      <left style="thin">
        <color indexed="64"/>
      </left>
      <right style="hair">
        <color indexed="64"/>
      </right>
      <top style="thin">
        <color indexed="64"/>
      </top>
      <bottom/>
      <diagonal/>
    </border>
    <border>
      <left/>
      <right style="hair">
        <color indexed="64"/>
      </right>
      <top style="thin">
        <color indexed="64"/>
      </top>
      <bottom/>
      <diagonal/>
    </border>
    <border>
      <left style="thin">
        <color indexed="64"/>
      </left>
      <right style="medium">
        <color indexed="64"/>
      </right>
      <top style="thin">
        <color indexed="64"/>
      </top>
      <bottom/>
      <diagonal/>
    </border>
    <border>
      <left style="thin">
        <color indexed="64"/>
      </left>
      <right style="hair">
        <color indexed="64"/>
      </right>
      <top/>
      <bottom style="thin">
        <color indexed="64"/>
      </bottom>
      <diagonal/>
    </border>
    <border>
      <left/>
      <right style="hair">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style="hair">
        <color indexed="64"/>
      </left>
      <right style="hair">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hair">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hair">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hair">
        <color indexed="64"/>
      </bottom>
      <diagonal/>
    </border>
    <border>
      <left/>
      <right style="medium">
        <color indexed="64"/>
      </right>
      <top/>
      <bottom style="thin">
        <color indexed="64"/>
      </bottom>
      <diagonal/>
    </border>
    <border>
      <left style="thin">
        <color indexed="64"/>
      </left>
      <right style="medium">
        <color indexed="64"/>
      </right>
      <top style="hair">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medium">
        <color indexed="64"/>
      </right>
      <top style="thin">
        <color indexed="64"/>
      </top>
      <bottom style="hair">
        <color indexed="64"/>
      </bottom>
      <diagonal/>
    </border>
    <border>
      <left style="thin">
        <color indexed="64"/>
      </left>
      <right/>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right style="hair">
        <color indexed="64"/>
      </right>
      <top/>
      <bottom style="medium">
        <color indexed="64"/>
      </bottom>
      <diagonal/>
    </border>
    <border>
      <left style="hair">
        <color indexed="64"/>
      </left>
      <right/>
      <top style="medium">
        <color indexed="64"/>
      </top>
      <bottom style="hair">
        <color indexed="64"/>
      </bottom>
      <diagonal/>
    </border>
    <border>
      <left style="medium">
        <color indexed="64"/>
      </left>
      <right style="hair">
        <color indexed="64"/>
      </right>
      <top/>
      <bottom/>
      <diagonal/>
    </border>
    <border>
      <left style="hair">
        <color indexed="64"/>
      </left>
      <right/>
      <top style="medium">
        <color indexed="64"/>
      </top>
      <bottom/>
      <diagonal/>
    </border>
    <border>
      <left style="hair">
        <color indexed="64"/>
      </left>
      <right style="medium">
        <color indexed="64"/>
      </right>
      <top/>
      <bottom/>
      <diagonal/>
    </border>
    <border>
      <left style="medium">
        <color indexed="64"/>
      </left>
      <right style="medium">
        <color indexed="64"/>
      </right>
      <top style="medium">
        <color indexed="64"/>
      </top>
      <bottom/>
      <diagonal/>
    </border>
    <border>
      <left style="thin">
        <color indexed="64"/>
      </left>
      <right style="hair">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top style="medium">
        <color indexed="64"/>
      </top>
      <bottom style="medium">
        <color indexed="64"/>
      </bottom>
      <diagonal/>
    </border>
    <border>
      <left style="medium">
        <color indexed="64"/>
      </left>
      <right/>
      <top/>
      <bottom style="thin">
        <color indexed="64"/>
      </bottom>
      <diagonal/>
    </border>
    <border>
      <left/>
      <right/>
      <top style="thin">
        <color indexed="64"/>
      </top>
      <bottom style="hair">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hair">
        <color indexed="64"/>
      </bottom>
      <diagonal/>
    </border>
    <border>
      <left style="medium">
        <color indexed="64"/>
      </left>
      <right/>
      <top style="hair">
        <color indexed="64"/>
      </top>
      <bottom style="thin">
        <color indexed="64"/>
      </bottom>
      <diagonal/>
    </border>
    <border>
      <left/>
      <right/>
      <top style="hair">
        <color indexed="64"/>
      </top>
      <bottom style="thin">
        <color indexed="64"/>
      </bottom>
      <diagonal/>
    </border>
    <border>
      <left style="medium">
        <color indexed="64"/>
      </left>
      <right style="medium">
        <color indexed="64"/>
      </right>
      <top style="medium">
        <color indexed="64"/>
      </top>
      <bottom style="medium">
        <color indexed="64"/>
      </bottom>
      <diagonal/>
    </border>
    <border>
      <left/>
      <right style="hair">
        <color indexed="64"/>
      </right>
      <top/>
      <bottom/>
      <diagonal/>
    </border>
    <border>
      <left style="hair">
        <color indexed="64"/>
      </left>
      <right style="hair">
        <color indexed="64"/>
      </right>
      <top/>
      <bottom/>
      <diagonal/>
    </border>
    <border>
      <left style="medium">
        <color indexed="64"/>
      </left>
      <right style="thin">
        <color indexed="64"/>
      </right>
      <top/>
      <bottom style="medium">
        <color indexed="64"/>
      </bottom>
      <diagonal/>
    </border>
    <border>
      <left style="hair">
        <color indexed="64"/>
      </left>
      <right style="hair">
        <color indexed="64"/>
      </right>
      <top style="thin">
        <color indexed="64"/>
      </top>
      <bottom style="medium">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medium">
        <color indexed="64"/>
      </left>
      <right style="thin">
        <color indexed="64"/>
      </right>
      <top style="hair">
        <color indexed="64"/>
      </top>
      <bottom style="medium">
        <color indexed="64"/>
      </bottom>
      <diagonal/>
    </border>
    <border>
      <left style="thin">
        <color indexed="64"/>
      </left>
      <right style="hair">
        <color indexed="64"/>
      </right>
      <top/>
      <bottom style="medium">
        <color indexed="64"/>
      </bottom>
      <diagonal/>
    </border>
    <border>
      <left style="hair">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diagonal/>
    </border>
    <border>
      <left style="thin">
        <color indexed="64"/>
      </left>
      <right style="hair">
        <color indexed="64"/>
      </right>
      <top style="hair">
        <color indexed="64"/>
      </top>
      <bottom/>
      <diagonal/>
    </border>
    <border>
      <left/>
      <right style="thin">
        <color indexed="64"/>
      </right>
      <top style="hair">
        <color indexed="64"/>
      </top>
      <bottom/>
      <diagonal/>
    </border>
    <border>
      <left/>
      <right style="hair">
        <color indexed="64"/>
      </right>
      <top style="thin">
        <color indexed="64"/>
      </top>
      <bottom style="medium">
        <color indexed="64"/>
      </bottom>
      <diagonal/>
    </border>
    <border>
      <left style="hair">
        <color indexed="64"/>
      </left>
      <right style="thin">
        <color indexed="64"/>
      </right>
      <top style="thin">
        <color indexed="64"/>
      </top>
      <bottom style="medium">
        <color indexed="64"/>
      </bottom>
      <diagonal/>
    </border>
    <border>
      <left style="thin">
        <color indexed="64"/>
      </left>
      <right style="thin">
        <color indexed="64"/>
      </right>
      <top style="hair">
        <color indexed="64"/>
      </top>
      <bottom style="thin">
        <color indexed="64"/>
      </bottom>
      <diagonal/>
    </border>
    <border>
      <left/>
      <right style="thin">
        <color indexed="64"/>
      </right>
      <top style="medium">
        <color indexed="64"/>
      </top>
      <bottom/>
      <diagonal/>
    </border>
    <border>
      <left style="hair">
        <color indexed="64"/>
      </left>
      <right style="hair">
        <color indexed="64"/>
      </right>
      <top style="thin">
        <color indexed="64"/>
      </top>
      <bottom/>
      <diagonal/>
    </border>
    <border>
      <left style="hair">
        <color indexed="64"/>
      </left>
      <right style="thin">
        <color indexed="64"/>
      </right>
      <top style="thin">
        <color indexed="64"/>
      </top>
      <bottom/>
      <diagonal/>
    </border>
    <border>
      <left style="hair">
        <color indexed="64"/>
      </left>
      <right/>
      <top style="thin">
        <color indexed="64"/>
      </top>
      <bottom/>
      <diagonal/>
    </border>
    <border>
      <left style="hair">
        <color indexed="64"/>
      </left>
      <right style="medium">
        <color indexed="64"/>
      </right>
      <top style="thin">
        <color indexed="64"/>
      </top>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hair">
        <color indexed="64"/>
      </left>
      <right/>
      <top/>
      <bottom style="thin">
        <color indexed="64"/>
      </bottom>
      <diagonal/>
    </border>
    <border>
      <left style="hair">
        <color indexed="64"/>
      </left>
      <right style="medium">
        <color indexed="64"/>
      </right>
      <top/>
      <bottom style="thin">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medium">
        <color indexed="64"/>
      </bottom>
      <diagonal/>
    </border>
    <border>
      <left style="hair">
        <color indexed="64"/>
      </left>
      <right/>
      <top style="thin">
        <color indexed="64"/>
      </top>
      <bottom style="thin">
        <color indexed="64"/>
      </bottom>
      <diagonal/>
    </border>
    <border>
      <left style="thin">
        <color indexed="64"/>
      </left>
      <right style="medium">
        <color indexed="64"/>
      </right>
      <top/>
      <bottom style="medium">
        <color indexed="64"/>
      </bottom>
      <diagonal/>
    </border>
    <border>
      <left style="hair">
        <color indexed="64"/>
      </left>
      <right style="hair">
        <color indexed="64"/>
      </right>
      <top style="hair">
        <color indexed="64"/>
      </top>
      <bottom/>
      <diagonal/>
    </border>
    <border>
      <left style="hair">
        <color indexed="64"/>
      </left>
      <right style="medium">
        <color indexed="64"/>
      </right>
      <top style="thin">
        <color indexed="64"/>
      </top>
      <bottom style="medium">
        <color indexed="64"/>
      </bottom>
      <diagonal/>
    </border>
    <border>
      <left style="medium">
        <color indexed="64"/>
      </left>
      <right style="thin">
        <color indexed="64"/>
      </right>
      <top style="hair">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hair">
        <color indexed="64"/>
      </right>
      <top/>
      <bottom/>
      <diagonal/>
    </border>
    <border>
      <left style="thin">
        <color indexed="64"/>
      </left>
      <right style="medium">
        <color indexed="64"/>
      </right>
      <top/>
      <bottom style="hair">
        <color indexed="64"/>
      </bottom>
      <diagonal/>
    </border>
    <border>
      <left style="hair">
        <color indexed="64"/>
      </left>
      <right style="thin">
        <color indexed="64"/>
      </right>
      <top style="hair">
        <color indexed="64"/>
      </top>
      <bottom style="thin">
        <color indexed="64"/>
      </bottom>
      <diagonal/>
    </border>
    <border>
      <left style="medium">
        <color indexed="64"/>
      </left>
      <right style="hair">
        <color indexed="64"/>
      </right>
      <top style="hair">
        <color indexed="64"/>
      </top>
      <bottom style="thin">
        <color indexed="64"/>
      </bottom>
      <diagonal/>
    </border>
    <border>
      <left style="hair">
        <color indexed="64"/>
      </left>
      <right style="thin">
        <color indexed="64"/>
      </right>
      <top/>
      <bottom style="medium">
        <color indexed="64"/>
      </bottom>
      <diagonal/>
    </border>
    <border>
      <left/>
      <right style="medium">
        <color indexed="64"/>
      </right>
      <top style="medium">
        <color indexed="64"/>
      </top>
      <bottom style="thin">
        <color indexed="64"/>
      </bottom>
      <diagonal/>
    </border>
    <border>
      <left/>
      <right style="hair">
        <color indexed="64"/>
      </right>
      <top style="medium">
        <color indexed="64"/>
      </top>
      <bottom style="medium">
        <color indexed="64"/>
      </bottom>
      <diagonal/>
    </border>
    <border>
      <left style="medium">
        <color indexed="64"/>
      </left>
      <right style="hair">
        <color indexed="64"/>
      </right>
      <top style="medium">
        <color indexed="64"/>
      </top>
      <bottom/>
      <diagonal/>
    </border>
    <border>
      <left style="medium">
        <color indexed="64"/>
      </left>
      <right style="medium">
        <color indexed="64"/>
      </right>
      <top/>
      <bottom/>
      <diagonal/>
    </border>
    <border>
      <left style="hair">
        <color indexed="64"/>
      </left>
      <right style="medium">
        <color indexed="64"/>
      </right>
      <top style="medium">
        <color indexed="64"/>
      </top>
      <bottom/>
      <diagonal/>
    </border>
    <border>
      <left/>
      <right style="hair">
        <color indexed="64"/>
      </right>
      <top style="medium">
        <color indexed="64"/>
      </top>
      <bottom/>
      <diagonal/>
    </border>
    <border>
      <left style="hair">
        <color indexed="64"/>
      </left>
      <right style="thin">
        <color indexed="64"/>
      </right>
      <top style="medium">
        <color indexed="64"/>
      </top>
      <bottom/>
      <diagonal/>
    </border>
    <border>
      <left style="hair">
        <color indexed="64"/>
      </left>
      <right style="thin">
        <color indexed="64"/>
      </right>
      <top/>
      <bottom/>
      <diagonal/>
    </border>
    <border>
      <left style="medium">
        <color indexed="64"/>
      </left>
      <right style="hair">
        <color indexed="64"/>
      </right>
      <top/>
      <bottom style="thin">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hair">
        <color indexed="64"/>
      </right>
      <top style="medium">
        <color indexed="64"/>
      </top>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top style="thin">
        <color indexed="64"/>
      </top>
      <bottom style="medium">
        <color indexed="64"/>
      </bottom>
      <diagonal/>
    </border>
    <border>
      <left style="thin">
        <color indexed="64"/>
      </left>
      <right/>
      <top style="medium">
        <color indexed="64"/>
      </top>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thin">
        <color theme="4" tint="0.39997558519241921"/>
      </bottom>
      <diagonal/>
    </border>
    <border>
      <left style="thin">
        <color indexed="64"/>
      </left>
      <right/>
      <top style="thin">
        <color indexed="64"/>
      </top>
      <bottom style="medium">
        <color indexed="64"/>
      </bottom>
      <diagonal/>
    </border>
    <border>
      <left style="medium">
        <color rgb="FFFFFFFF"/>
      </left>
      <right style="medium">
        <color rgb="FFFFFFFF"/>
      </right>
      <top style="medium">
        <color rgb="FFFFFFFF"/>
      </top>
      <bottom style="thick">
        <color rgb="FFFFFFFF"/>
      </bottom>
      <diagonal/>
    </border>
  </borders>
  <cellStyleXfs count="855">
    <xf numFmtId="0" fontId="0" fillId="0" borderId="0"/>
    <xf numFmtId="0" fontId="168" fillId="2" borderId="0" applyNumberFormat="0" applyBorder="0" applyAlignment="0" applyProtection="0"/>
    <xf numFmtId="0" fontId="169" fillId="2" borderId="0" applyNumberFormat="0" applyBorder="0" applyAlignment="0" applyProtection="0"/>
    <xf numFmtId="0" fontId="68" fillId="3" borderId="0" applyNumberFormat="0" applyBorder="0" applyAlignment="0" applyProtection="0"/>
    <xf numFmtId="0" fontId="68" fillId="3" borderId="0" applyNumberFormat="0" applyBorder="0" applyAlignment="0" applyProtection="0"/>
    <xf numFmtId="0" fontId="68" fillId="3" borderId="0" applyNumberFormat="0" applyBorder="0" applyAlignment="0" applyProtection="0"/>
    <xf numFmtId="0" fontId="68" fillId="3" borderId="0" applyNumberFormat="0" applyBorder="0" applyAlignment="0" applyProtection="0"/>
    <xf numFmtId="0" fontId="68" fillId="3" borderId="0" applyNumberFormat="0" applyBorder="0" applyAlignment="0" applyProtection="0"/>
    <xf numFmtId="0" fontId="68" fillId="3" borderId="0" applyNumberFormat="0" applyBorder="0" applyAlignment="0" applyProtection="0"/>
    <xf numFmtId="0" fontId="68" fillId="3" borderId="0" applyNumberFormat="0" applyBorder="0" applyAlignment="0" applyProtection="0"/>
    <xf numFmtId="0" fontId="68" fillId="3" borderId="0" applyNumberFormat="0" applyBorder="0" applyAlignment="0" applyProtection="0"/>
    <xf numFmtId="0" fontId="68" fillId="3" borderId="0" applyNumberFormat="0" applyBorder="0" applyAlignment="0" applyProtection="0"/>
    <xf numFmtId="0" fontId="168" fillId="4" borderId="0" applyNumberFormat="0" applyBorder="0" applyAlignment="0" applyProtection="0"/>
    <xf numFmtId="0" fontId="169" fillId="4" borderId="0" applyNumberFormat="0" applyBorder="0" applyAlignment="0" applyProtection="0"/>
    <xf numFmtId="0" fontId="68" fillId="5" borderId="0" applyNumberFormat="0" applyBorder="0" applyAlignment="0" applyProtection="0"/>
    <xf numFmtId="0" fontId="68" fillId="5" borderId="0" applyNumberFormat="0" applyBorder="0" applyAlignment="0" applyProtection="0"/>
    <xf numFmtId="0" fontId="68" fillId="5" borderId="0" applyNumberFormat="0" applyBorder="0" applyAlignment="0" applyProtection="0"/>
    <xf numFmtId="0" fontId="68" fillId="5" borderId="0" applyNumberFormat="0" applyBorder="0" applyAlignment="0" applyProtection="0"/>
    <xf numFmtId="0" fontId="68" fillId="5" borderId="0" applyNumberFormat="0" applyBorder="0" applyAlignment="0" applyProtection="0"/>
    <xf numFmtId="0" fontId="68" fillId="5" borderId="0" applyNumberFormat="0" applyBorder="0" applyAlignment="0" applyProtection="0"/>
    <xf numFmtId="0" fontId="68" fillId="5" borderId="0" applyNumberFormat="0" applyBorder="0" applyAlignment="0" applyProtection="0"/>
    <xf numFmtId="0" fontId="68" fillId="5" borderId="0" applyNumberFormat="0" applyBorder="0" applyAlignment="0" applyProtection="0"/>
    <xf numFmtId="0" fontId="68" fillId="5" borderId="0" applyNumberFormat="0" applyBorder="0" applyAlignment="0" applyProtection="0"/>
    <xf numFmtId="0" fontId="168" fillId="6" borderId="0" applyNumberFormat="0" applyBorder="0" applyAlignment="0" applyProtection="0"/>
    <xf numFmtId="0" fontId="169" fillId="6" borderId="0" applyNumberFormat="0" applyBorder="0" applyAlignment="0" applyProtection="0"/>
    <xf numFmtId="0" fontId="68" fillId="7" borderId="0" applyNumberFormat="0" applyBorder="0" applyAlignment="0" applyProtection="0"/>
    <xf numFmtId="0" fontId="68" fillId="7" borderId="0" applyNumberFormat="0" applyBorder="0" applyAlignment="0" applyProtection="0"/>
    <xf numFmtId="0" fontId="68" fillId="7" borderId="0" applyNumberFormat="0" applyBorder="0" applyAlignment="0" applyProtection="0"/>
    <xf numFmtId="0" fontId="68" fillId="7" borderId="0" applyNumberFormat="0" applyBorder="0" applyAlignment="0" applyProtection="0"/>
    <xf numFmtId="0" fontId="68" fillId="7" borderId="0" applyNumberFormat="0" applyBorder="0" applyAlignment="0" applyProtection="0"/>
    <xf numFmtId="0" fontId="68" fillId="7" borderId="0" applyNumberFormat="0" applyBorder="0" applyAlignment="0" applyProtection="0"/>
    <xf numFmtId="0" fontId="68" fillId="7" borderId="0" applyNumberFormat="0" applyBorder="0" applyAlignment="0" applyProtection="0"/>
    <xf numFmtId="0" fontId="68" fillId="7" borderId="0" applyNumberFormat="0" applyBorder="0" applyAlignment="0" applyProtection="0"/>
    <xf numFmtId="0" fontId="68" fillId="7" borderId="0" applyNumberFormat="0" applyBorder="0" applyAlignment="0" applyProtection="0"/>
    <xf numFmtId="0" fontId="168" fillId="2" borderId="0" applyNumberFormat="0" applyBorder="0" applyAlignment="0" applyProtection="0"/>
    <xf numFmtId="0" fontId="169" fillId="2" borderId="0" applyNumberFormat="0" applyBorder="0" applyAlignment="0" applyProtection="0"/>
    <xf numFmtId="0" fontId="68" fillId="8" borderId="0" applyNumberFormat="0" applyBorder="0" applyAlignment="0" applyProtection="0"/>
    <xf numFmtId="0" fontId="68" fillId="8" borderId="0" applyNumberFormat="0" applyBorder="0" applyAlignment="0" applyProtection="0"/>
    <xf numFmtId="0" fontId="68" fillId="8" borderId="0" applyNumberFormat="0" applyBorder="0" applyAlignment="0" applyProtection="0"/>
    <xf numFmtId="0" fontId="68" fillId="8" borderId="0" applyNumberFormat="0" applyBorder="0" applyAlignment="0" applyProtection="0"/>
    <xf numFmtId="0" fontId="68" fillId="8" borderId="0" applyNumberFormat="0" applyBorder="0" applyAlignment="0" applyProtection="0"/>
    <xf numFmtId="0" fontId="68" fillId="8" borderId="0" applyNumberFormat="0" applyBorder="0" applyAlignment="0" applyProtection="0"/>
    <xf numFmtId="0" fontId="68" fillId="8" borderId="0" applyNumberFormat="0" applyBorder="0" applyAlignment="0" applyProtection="0"/>
    <xf numFmtId="0" fontId="68" fillId="8" borderId="0" applyNumberFormat="0" applyBorder="0" applyAlignment="0" applyProtection="0"/>
    <xf numFmtId="0" fontId="68" fillId="8" borderId="0" applyNumberFormat="0" applyBorder="0" applyAlignment="0" applyProtection="0"/>
    <xf numFmtId="0" fontId="168" fillId="2" borderId="0" applyNumberFormat="0" applyBorder="0" applyAlignment="0" applyProtection="0"/>
    <xf numFmtId="0" fontId="169" fillId="2" borderId="0" applyNumberFormat="0" applyBorder="0" applyAlignment="0" applyProtection="0"/>
    <xf numFmtId="0" fontId="68" fillId="9" borderId="0" applyNumberFormat="0" applyBorder="0" applyAlignment="0" applyProtection="0"/>
    <xf numFmtId="0" fontId="68" fillId="9" borderId="0" applyNumberFormat="0" applyBorder="0" applyAlignment="0" applyProtection="0"/>
    <xf numFmtId="0" fontId="68" fillId="9" borderId="0" applyNumberFormat="0" applyBorder="0" applyAlignment="0" applyProtection="0"/>
    <xf numFmtId="0" fontId="68" fillId="9" borderId="0" applyNumberFormat="0" applyBorder="0" applyAlignment="0" applyProtection="0"/>
    <xf numFmtId="0" fontId="68" fillId="9" borderId="0" applyNumberFormat="0" applyBorder="0" applyAlignment="0" applyProtection="0"/>
    <xf numFmtId="0" fontId="68" fillId="9" borderId="0" applyNumberFormat="0" applyBorder="0" applyAlignment="0" applyProtection="0"/>
    <xf numFmtId="0" fontId="68" fillId="9" borderId="0" applyNumberFormat="0" applyBorder="0" applyAlignment="0" applyProtection="0"/>
    <xf numFmtId="0" fontId="68" fillId="9" borderId="0" applyNumberFormat="0" applyBorder="0" applyAlignment="0" applyProtection="0"/>
    <xf numFmtId="0" fontId="68" fillId="9" borderId="0" applyNumberFormat="0" applyBorder="0" applyAlignment="0" applyProtection="0"/>
    <xf numFmtId="0" fontId="168" fillId="6" borderId="0" applyNumberFormat="0" applyBorder="0" applyAlignment="0" applyProtection="0"/>
    <xf numFmtId="0" fontId="169" fillId="6" borderId="0" applyNumberFormat="0" applyBorder="0" applyAlignment="0" applyProtection="0"/>
    <xf numFmtId="0" fontId="68" fillId="10" borderId="0" applyNumberFormat="0" applyBorder="0" applyAlignment="0" applyProtection="0"/>
    <xf numFmtId="0" fontId="68" fillId="10" borderId="0" applyNumberFormat="0" applyBorder="0" applyAlignment="0" applyProtection="0"/>
    <xf numFmtId="0" fontId="68" fillId="10" borderId="0" applyNumberFormat="0" applyBorder="0" applyAlignment="0" applyProtection="0"/>
    <xf numFmtId="0" fontId="68" fillId="10" borderId="0" applyNumberFormat="0" applyBorder="0" applyAlignment="0" applyProtection="0"/>
    <xf numFmtId="0" fontId="68" fillId="10" borderId="0" applyNumberFormat="0" applyBorder="0" applyAlignment="0" applyProtection="0"/>
    <xf numFmtId="0" fontId="68" fillId="10" borderId="0" applyNumberFormat="0" applyBorder="0" applyAlignment="0" applyProtection="0"/>
    <xf numFmtId="0" fontId="68" fillId="10" borderId="0" applyNumberFormat="0" applyBorder="0" applyAlignment="0" applyProtection="0"/>
    <xf numFmtId="0" fontId="68" fillId="10" borderId="0" applyNumberFormat="0" applyBorder="0" applyAlignment="0" applyProtection="0"/>
    <xf numFmtId="0" fontId="68" fillId="10" borderId="0" applyNumberFormat="0" applyBorder="0" applyAlignment="0" applyProtection="0"/>
    <xf numFmtId="0" fontId="168" fillId="2" borderId="0" applyNumberFormat="0" applyBorder="0" applyAlignment="0" applyProtection="0"/>
    <xf numFmtId="0" fontId="169" fillId="2" borderId="0" applyNumberFormat="0" applyBorder="0" applyAlignment="0" applyProtection="0"/>
    <xf numFmtId="0" fontId="68" fillId="11" borderId="0" applyNumberFormat="0" applyBorder="0" applyAlignment="0" applyProtection="0"/>
    <xf numFmtId="0" fontId="68" fillId="11" borderId="0" applyNumberFormat="0" applyBorder="0" applyAlignment="0" applyProtection="0"/>
    <xf numFmtId="0" fontId="68" fillId="11" borderId="0" applyNumberFormat="0" applyBorder="0" applyAlignment="0" applyProtection="0"/>
    <xf numFmtId="0" fontId="68" fillId="11" borderId="0" applyNumberFormat="0" applyBorder="0" applyAlignment="0" applyProtection="0"/>
    <xf numFmtId="0" fontId="68" fillId="11" borderId="0" applyNumberFormat="0" applyBorder="0" applyAlignment="0" applyProtection="0"/>
    <xf numFmtId="0" fontId="68" fillId="11" borderId="0" applyNumberFormat="0" applyBorder="0" applyAlignment="0" applyProtection="0"/>
    <xf numFmtId="0" fontId="68" fillId="11" borderId="0" applyNumberFormat="0" applyBorder="0" applyAlignment="0" applyProtection="0"/>
    <xf numFmtId="0" fontId="68" fillId="11" borderId="0" applyNumberFormat="0" applyBorder="0" applyAlignment="0" applyProtection="0"/>
    <xf numFmtId="0" fontId="68" fillId="11" borderId="0" applyNumberFormat="0" applyBorder="0" applyAlignment="0" applyProtection="0"/>
    <xf numFmtId="0" fontId="168" fillId="39" borderId="0" applyNumberFormat="0" applyBorder="0" applyAlignment="0" applyProtection="0"/>
    <xf numFmtId="0" fontId="169" fillId="39" borderId="0" applyNumberFormat="0" applyBorder="0" applyAlignment="0" applyProtection="0"/>
    <xf numFmtId="0" fontId="68" fillId="4" borderId="0" applyNumberFormat="0" applyBorder="0" applyAlignment="0" applyProtection="0"/>
    <xf numFmtId="0" fontId="68" fillId="4" borderId="0" applyNumberFormat="0" applyBorder="0" applyAlignment="0" applyProtection="0"/>
    <xf numFmtId="0" fontId="68" fillId="4" borderId="0" applyNumberFormat="0" applyBorder="0" applyAlignment="0" applyProtection="0"/>
    <xf numFmtId="0" fontId="68" fillId="4" borderId="0" applyNumberFormat="0" applyBorder="0" applyAlignment="0" applyProtection="0"/>
    <xf numFmtId="0" fontId="68" fillId="4" borderId="0" applyNumberFormat="0" applyBorder="0" applyAlignment="0" applyProtection="0"/>
    <xf numFmtId="0" fontId="68" fillId="4" borderId="0" applyNumberFormat="0" applyBorder="0" applyAlignment="0" applyProtection="0"/>
    <xf numFmtId="0" fontId="68" fillId="4" borderId="0" applyNumberFormat="0" applyBorder="0" applyAlignment="0" applyProtection="0"/>
    <xf numFmtId="0" fontId="68" fillId="4" borderId="0" applyNumberFormat="0" applyBorder="0" applyAlignment="0" applyProtection="0"/>
    <xf numFmtId="0" fontId="68" fillId="4" borderId="0" applyNumberFormat="0" applyBorder="0" applyAlignment="0" applyProtection="0"/>
    <xf numFmtId="0" fontId="168" fillId="12" borderId="0" applyNumberFormat="0" applyBorder="0" applyAlignment="0" applyProtection="0"/>
    <xf numFmtId="0" fontId="169" fillId="12" borderId="0" applyNumberFormat="0" applyBorder="0" applyAlignment="0" applyProtection="0"/>
    <xf numFmtId="0" fontId="68" fillId="13" borderId="0" applyNumberFormat="0" applyBorder="0" applyAlignment="0" applyProtection="0"/>
    <xf numFmtId="0" fontId="68" fillId="13" borderId="0" applyNumberFormat="0" applyBorder="0" applyAlignment="0" applyProtection="0"/>
    <xf numFmtId="0" fontId="68" fillId="13" borderId="0" applyNumberFormat="0" applyBorder="0" applyAlignment="0" applyProtection="0"/>
    <xf numFmtId="0" fontId="68" fillId="13" borderId="0" applyNumberFormat="0" applyBorder="0" applyAlignment="0" applyProtection="0"/>
    <xf numFmtId="0" fontId="68" fillId="13" borderId="0" applyNumberFormat="0" applyBorder="0" applyAlignment="0" applyProtection="0"/>
    <xf numFmtId="0" fontId="68" fillId="13" borderId="0" applyNumberFormat="0" applyBorder="0" applyAlignment="0" applyProtection="0"/>
    <xf numFmtId="0" fontId="68" fillId="13" borderId="0" applyNumberFormat="0" applyBorder="0" applyAlignment="0" applyProtection="0"/>
    <xf numFmtId="0" fontId="68" fillId="13" borderId="0" applyNumberFormat="0" applyBorder="0" applyAlignment="0" applyProtection="0"/>
    <xf numFmtId="0" fontId="68" fillId="13" borderId="0" applyNumberFormat="0" applyBorder="0" applyAlignment="0" applyProtection="0"/>
    <xf numFmtId="0" fontId="168" fillId="14" borderId="0" applyNumberFormat="0" applyBorder="0" applyAlignment="0" applyProtection="0"/>
    <xf numFmtId="0" fontId="169" fillId="14" borderId="0" applyNumberFormat="0" applyBorder="0" applyAlignment="0" applyProtection="0"/>
    <xf numFmtId="0" fontId="68" fillId="8" borderId="0" applyNumberFormat="0" applyBorder="0" applyAlignment="0" applyProtection="0"/>
    <xf numFmtId="0" fontId="68" fillId="8" borderId="0" applyNumberFormat="0" applyBorder="0" applyAlignment="0" applyProtection="0"/>
    <xf numFmtId="0" fontId="68" fillId="8" borderId="0" applyNumberFormat="0" applyBorder="0" applyAlignment="0" applyProtection="0"/>
    <xf numFmtId="0" fontId="68" fillId="8" borderId="0" applyNumberFormat="0" applyBorder="0" applyAlignment="0" applyProtection="0"/>
    <xf numFmtId="0" fontId="68" fillId="8" borderId="0" applyNumberFormat="0" applyBorder="0" applyAlignment="0" applyProtection="0"/>
    <xf numFmtId="0" fontId="68" fillId="8" borderId="0" applyNumberFormat="0" applyBorder="0" applyAlignment="0" applyProtection="0"/>
    <xf numFmtId="0" fontId="68" fillId="8" borderId="0" applyNumberFormat="0" applyBorder="0" applyAlignment="0" applyProtection="0"/>
    <xf numFmtId="0" fontId="68" fillId="8" borderId="0" applyNumberFormat="0" applyBorder="0" applyAlignment="0" applyProtection="0"/>
    <xf numFmtId="0" fontId="68" fillId="8" borderId="0" applyNumberFormat="0" applyBorder="0" applyAlignment="0" applyProtection="0"/>
    <xf numFmtId="0" fontId="168" fillId="2" borderId="0" applyNumberFormat="0" applyBorder="0" applyAlignment="0" applyProtection="0"/>
    <xf numFmtId="0" fontId="169" fillId="2" borderId="0" applyNumberFormat="0" applyBorder="0" applyAlignment="0" applyProtection="0"/>
    <xf numFmtId="0" fontId="68" fillId="11" borderId="0" applyNumberFormat="0" applyBorder="0" applyAlignment="0" applyProtection="0"/>
    <xf numFmtId="0" fontId="68" fillId="11" borderId="0" applyNumberFormat="0" applyBorder="0" applyAlignment="0" applyProtection="0"/>
    <xf numFmtId="0" fontId="68" fillId="11" borderId="0" applyNumberFormat="0" applyBorder="0" applyAlignment="0" applyProtection="0"/>
    <xf numFmtId="0" fontId="68" fillId="11" borderId="0" applyNumberFormat="0" applyBorder="0" applyAlignment="0" applyProtection="0"/>
    <xf numFmtId="0" fontId="68" fillId="11" borderId="0" applyNumberFormat="0" applyBorder="0" applyAlignment="0" applyProtection="0"/>
    <xf numFmtId="0" fontId="68" fillId="11" borderId="0" applyNumberFormat="0" applyBorder="0" applyAlignment="0" applyProtection="0"/>
    <xf numFmtId="0" fontId="68" fillId="11" borderId="0" applyNumberFormat="0" applyBorder="0" applyAlignment="0" applyProtection="0"/>
    <xf numFmtId="0" fontId="68" fillId="11" borderId="0" applyNumberFormat="0" applyBorder="0" applyAlignment="0" applyProtection="0"/>
    <xf numFmtId="0" fontId="68" fillId="11" borderId="0" applyNumberFormat="0" applyBorder="0" applyAlignment="0" applyProtection="0"/>
    <xf numFmtId="0" fontId="168" fillId="12" borderId="0" applyNumberFormat="0" applyBorder="0" applyAlignment="0" applyProtection="0"/>
    <xf numFmtId="0" fontId="169" fillId="12" borderId="0" applyNumberFormat="0" applyBorder="0" applyAlignment="0" applyProtection="0"/>
    <xf numFmtId="0" fontId="68" fillId="15" borderId="0" applyNumberFormat="0" applyBorder="0" applyAlignment="0" applyProtection="0"/>
    <xf numFmtId="0" fontId="68" fillId="15" borderId="0" applyNumberFormat="0" applyBorder="0" applyAlignment="0" applyProtection="0"/>
    <xf numFmtId="0" fontId="68" fillId="15" borderId="0" applyNumberFormat="0" applyBorder="0" applyAlignment="0" applyProtection="0"/>
    <xf numFmtId="0" fontId="68" fillId="15" borderId="0" applyNumberFormat="0" applyBorder="0" applyAlignment="0" applyProtection="0"/>
    <xf numFmtId="0" fontId="68" fillId="15" borderId="0" applyNumberFormat="0" applyBorder="0" applyAlignment="0" applyProtection="0"/>
    <xf numFmtId="0" fontId="68" fillId="15" borderId="0" applyNumberFormat="0" applyBorder="0" applyAlignment="0" applyProtection="0"/>
    <xf numFmtId="0" fontId="68" fillId="15" borderId="0" applyNumberFormat="0" applyBorder="0" applyAlignment="0" applyProtection="0"/>
    <xf numFmtId="0" fontId="68" fillId="15" borderId="0" applyNumberFormat="0" applyBorder="0" applyAlignment="0" applyProtection="0"/>
    <xf numFmtId="0" fontId="68" fillId="15" borderId="0" applyNumberFormat="0" applyBorder="0" applyAlignment="0" applyProtection="0"/>
    <xf numFmtId="0" fontId="170" fillId="2" borderId="0" applyNumberFormat="0" applyBorder="0" applyAlignment="0" applyProtection="0"/>
    <xf numFmtId="0" fontId="171" fillId="2" borderId="0" applyNumberFormat="0" applyBorder="0" applyAlignment="0" applyProtection="0"/>
    <xf numFmtId="0" fontId="95" fillId="16" borderId="0" applyNumberFormat="0" applyBorder="0" applyAlignment="0" applyProtection="0"/>
    <xf numFmtId="0" fontId="95" fillId="16" borderId="0" applyNumberFormat="0" applyBorder="0" applyAlignment="0" applyProtection="0"/>
    <xf numFmtId="0" fontId="170" fillId="40" borderId="0" applyNumberFormat="0" applyBorder="0" applyAlignment="0" applyProtection="0"/>
    <xf numFmtId="0" fontId="171" fillId="40" borderId="0" applyNumberFormat="0" applyBorder="0" applyAlignment="0" applyProtection="0"/>
    <xf numFmtId="0" fontId="95" fillId="4" borderId="0" applyNumberFormat="0" applyBorder="0" applyAlignment="0" applyProtection="0"/>
    <xf numFmtId="0" fontId="95" fillId="4" borderId="0" applyNumberFormat="0" applyBorder="0" applyAlignment="0" applyProtection="0"/>
    <xf numFmtId="0" fontId="170" fillId="12" borderId="0" applyNumberFormat="0" applyBorder="0" applyAlignment="0" applyProtection="0"/>
    <xf numFmtId="0" fontId="171" fillId="12" borderId="0" applyNumberFormat="0" applyBorder="0" applyAlignment="0" applyProtection="0"/>
    <xf numFmtId="0" fontId="95" fillId="13" borderId="0" applyNumberFormat="0" applyBorder="0" applyAlignment="0" applyProtection="0"/>
    <xf numFmtId="0" fontId="95" fillId="13" borderId="0" applyNumberFormat="0" applyBorder="0" applyAlignment="0" applyProtection="0"/>
    <xf numFmtId="0" fontId="170" fillId="17" borderId="0" applyNumberFormat="0" applyBorder="0" applyAlignment="0" applyProtection="0"/>
    <xf numFmtId="0" fontId="171" fillId="17" borderId="0" applyNumberFormat="0" applyBorder="0" applyAlignment="0" applyProtection="0"/>
    <xf numFmtId="0" fontId="95" fillId="18" borderId="0" applyNumberFormat="0" applyBorder="0" applyAlignment="0" applyProtection="0"/>
    <xf numFmtId="0" fontId="95" fillId="18" borderId="0" applyNumberFormat="0" applyBorder="0" applyAlignment="0" applyProtection="0"/>
    <xf numFmtId="0" fontId="170" fillId="41" borderId="0" applyNumberFormat="0" applyBorder="0" applyAlignment="0" applyProtection="0"/>
    <xf numFmtId="0" fontId="171" fillId="41" borderId="0" applyNumberFormat="0" applyBorder="0" applyAlignment="0" applyProtection="0"/>
    <xf numFmtId="0" fontId="95" fillId="19" borderId="0" applyNumberFormat="0" applyBorder="0" applyAlignment="0" applyProtection="0"/>
    <xf numFmtId="0" fontId="95" fillId="19" borderId="0" applyNumberFormat="0" applyBorder="0" applyAlignment="0" applyProtection="0"/>
    <xf numFmtId="0" fontId="170" fillId="4" borderId="0" applyNumberFormat="0" applyBorder="0" applyAlignment="0" applyProtection="0"/>
    <xf numFmtId="0" fontId="171" fillId="4" borderId="0" applyNumberFormat="0" applyBorder="0" applyAlignment="0" applyProtection="0"/>
    <xf numFmtId="0" fontId="95" fillId="20" borderId="0" applyNumberFormat="0" applyBorder="0" applyAlignment="0" applyProtection="0"/>
    <xf numFmtId="0" fontId="95" fillId="20" borderId="0" applyNumberFormat="0" applyBorder="0" applyAlignment="0" applyProtection="0"/>
    <xf numFmtId="0" fontId="172" fillId="0" borderId="0" applyNumberFormat="0" applyFill="0" applyBorder="0" applyAlignment="0" applyProtection="0"/>
    <xf numFmtId="0" fontId="173"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174" fillId="0" borderId="0" applyNumberFormat="0" applyFill="0" applyBorder="0" applyAlignment="0" applyProtection="0"/>
    <xf numFmtId="0" fontId="175" fillId="0" borderId="0" applyNumberFormat="0" applyFill="0" applyBorder="0" applyAlignment="0" applyProtection="0"/>
    <xf numFmtId="0" fontId="107" fillId="0" borderId="0" applyNumberFormat="0" applyFill="0" applyBorder="0" applyAlignment="0" applyProtection="0"/>
    <xf numFmtId="0" fontId="107" fillId="0" borderId="0" applyNumberFormat="0" applyFill="0" applyBorder="0" applyAlignment="0" applyProtection="0"/>
    <xf numFmtId="0" fontId="176" fillId="0" borderId="223" applyNumberFormat="0" applyFill="0" applyAlignment="0" applyProtection="0"/>
    <xf numFmtId="0" fontId="177" fillId="0" borderId="223" applyNumberFormat="0" applyFill="0" applyAlignment="0" applyProtection="0"/>
    <xf numFmtId="0" fontId="97" fillId="0" borderId="1" applyNumberFormat="0" applyFill="0" applyAlignment="0" applyProtection="0"/>
    <xf numFmtId="0" fontId="97" fillId="0" borderId="1" applyNumberFormat="0" applyFill="0" applyAlignment="0" applyProtection="0"/>
    <xf numFmtId="0" fontId="178" fillId="0" borderId="2" applyNumberFormat="0" applyFill="0" applyAlignment="0" applyProtection="0"/>
    <xf numFmtId="0" fontId="179" fillId="0" borderId="2" applyNumberFormat="0" applyFill="0" applyAlignment="0" applyProtection="0"/>
    <xf numFmtId="0" fontId="108" fillId="0" borderId="3" applyNumberFormat="0" applyFill="0" applyAlignment="0" applyProtection="0"/>
    <xf numFmtId="0" fontId="108" fillId="0" borderId="3" applyNumberFormat="0" applyFill="0" applyAlignment="0" applyProtection="0"/>
    <xf numFmtId="0" fontId="180" fillId="0" borderId="4" applyNumberFormat="0" applyFill="0" applyAlignment="0" applyProtection="0"/>
    <xf numFmtId="0" fontId="181" fillId="0" borderId="4" applyNumberFormat="0" applyFill="0" applyAlignment="0" applyProtection="0"/>
    <xf numFmtId="0" fontId="109" fillId="0" borderId="5" applyNumberFormat="0" applyFill="0" applyAlignment="0" applyProtection="0"/>
    <xf numFmtId="0" fontId="109" fillId="0" borderId="5" applyNumberFormat="0" applyFill="0" applyAlignment="0" applyProtection="0"/>
    <xf numFmtId="0" fontId="182" fillId="0" borderId="6" applyNumberFormat="0" applyFill="0" applyAlignment="0" applyProtection="0"/>
    <xf numFmtId="0" fontId="183" fillId="0" borderId="6" applyNumberFormat="0" applyFill="0" applyAlignment="0" applyProtection="0"/>
    <xf numFmtId="0" fontId="110" fillId="0" borderId="7" applyNumberFormat="0" applyFill="0" applyAlignment="0" applyProtection="0"/>
    <xf numFmtId="0" fontId="110" fillId="0" borderId="7" applyNumberFormat="0" applyFill="0" applyAlignment="0" applyProtection="0"/>
    <xf numFmtId="0" fontId="182" fillId="0" borderId="0" applyNumberFormat="0" applyFill="0" applyBorder="0" applyAlignment="0" applyProtection="0"/>
    <xf numFmtId="0" fontId="183"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1" fillId="0" borderId="0" applyFont="0" applyFill="0" applyBorder="0" applyAlignment="0" applyProtection="0"/>
    <xf numFmtId="0" fontId="111" fillId="0" borderId="0" applyFont="0" applyFill="0" applyBorder="0" applyAlignment="0" applyProtection="0"/>
    <xf numFmtId="165" fontId="37" fillId="0" borderId="0" applyFont="0" applyFill="0" applyBorder="0" applyAlignment="0" applyProtection="0"/>
    <xf numFmtId="175" fontId="10" fillId="0" borderId="0"/>
    <xf numFmtId="0" fontId="10" fillId="0" borderId="0"/>
    <xf numFmtId="0" fontId="184" fillId="2" borderId="224" applyNumberFormat="0" applyAlignment="0" applyProtection="0"/>
    <xf numFmtId="0" fontId="185" fillId="2" borderId="224" applyNumberFormat="0" applyAlignment="0" applyProtection="0"/>
    <xf numFmtId="0" fontId="98" fillId="17" borderId="8" applyNumberFormat="0" applyAlignment="0" applyProtection="0"/>
    <xf numFmtId="0" fontId="98" fillId="17" borderId="8" applyNumberFormat="0" applyAlignment="0" applyProtection="0"/>
    <xf numFmtId="0" fontId="186" fillId="12" borderId="225" applyNumberFormat="0" applyAlignment="0" applyProtection="0"/>
    <xf numFmtId="0" fontId="187" fillId="12" borderId="225" applyNumberFormat="0" applyAlignment="0" applyProtection="0"/>
    <xf numFmtId="0" fontId="99" fillId="10" borderId="9" applyNumberFormat="0" applyAlignment="0" applyProtection="0"/>
    <xf numFmtId="0" fontId="99" fillId="10" borderId="9" applyNumberFormat="0" applyAlignment="0" applyProtection="0"/>
    <xf numFmtId="0" fontId="188" fillId="2" borderId="225" applyNumberFormat="0" applyAlignment="0" applyProtection="0"/>
    <xf numFmtId="0" fontId="189" fillId="2" borderId="225" applyNumberFormat="0" applyAlignment="0" applyProtection="0"/>
    <xf numFmtId="0" fontId="100" fillId="17" borderId="9" applyNumberFormat="0" applyAlignment="0" applyProtection="0"/>
    <xf numFmtId="0" fontId="100" fillId="17" borderId="9" applyNumberFormat="0" applyAlignment="0" applyProtection="0"/>
    <xf numFmtId="0" fontId="26" fillId="0" borderId="0" applyNumberFormat="0" applyFill="0" applyBorder="0" applyAlignment="0" applyProtection="0">
      <alignment vertical="top"/>
      <protection locked="0"/>
    </xf>
    <xf numFmtId="0" fontId="190" fillId="42" borderId="226" applyNumberFormat="0" applyAlignment="0" applyProtection="0"/>
    <xf numFmtId="0" fontId="191" fillId="42" borderId="226" applyNumberFormat="0" applyAlignment="0" applyProtection="0"/>
    <xf numFmtId="0" fontId="101" fillId="21" borderId="10" applyNumberFormat="0" applyAlignment="0" applyProtection="0"/>
    <xf numFmtId="0" fontId="101" fillId="21" borderId="10" applyNumberFormat="0" applyAlignment="0" applyProtection="0"/>
    <xf numFmtId="0" fontId="192" fillId="43" borderId="0" applyNumberFormat="0" applyBorder="0" applyAlignment="0" applyProtection="0"/>
    <xf numFmtId="0" fontId="193" fillId="43" borderId="0" applyNumberFormat="0" applyBorder="0" applyAlignment="0" applyProtection="0"/>
    <xf numFmtId="0" fontId="102" fillId="7" borderId="0" applyNumberFormat="0" applyBorder="0" applyAlignment="0" applyProtection="0"/>
    <xf numFmtId="0" fontId="102" fillId="7" borderId="0" applyNumberFormat="0" applyBorder="0" applyAlignment="0" applyProtection="0"/>
    <xf numFmtId="0" fontId="194" fillId="0" borderId="0" applyNumberFormat="0" applyFill="0" applyBorder="0" applyAlignment="0" applyProtection="0"/>
    <xf numFmtId="0" fontId="3" fillId="0" borderId="0" applyNumberFormat="0" applyFill="0" applyBorder="0" applyAlignment="0" applyProtection="0">
      <alignment vertical="top"/>
      <protection locked="0"/>
    </xf>
    <xf numFmtId="0" fontId="195" fillId="0" borderId="0" applyNumberFormat="0" applyFill="0" applyBorder="0" applyAlignment="0" applyProtection="0"/>
    <xf numFmtId="0" fontId="196" fillId="44" borderId="0" applyNumberFormat="0" applyBorder="0" applyAlignment="0" applyProtection="0"/>
    <xf numFmtId="0" fontId="197" fillId="44" borderId="0" applyNumberFormat="0" applyBorder="0" applyAlignment="0" applyProtection="0"/>
    <xf numFmtId="0" fontId="103" fillId="5" borderId="0" applyNumberFormat="0" applyBorder="0" applyAlignment="0" applyProtection="0"/>
    <xf numFmtId="0" fontId="103" fillId="5" borderId="0" applyNumberFormat="0" applyBorder="0" applyAlignment="0" applyProtection="0"/>
    <xf numFmtId="0" fontId="4" fillId="0" borderId="0"/>
    <xf numFmtId="0" fontId="68" fillId="0" borderId="0"/>
    <xf numFmtId="0" fontId="111" fillId="0" borderId="0"/>
    <xf numFmtId="0" fontId="111" fillId="0" borderId="0"/>
    <xf numFmtId="0" fontId="111" fillId="0" borderId="0"/>
    <xf numFmtId="0" fontId="111" fillId="0" borderId="0"/>
    <xf numFmtId="0" fontId="10" fillId="0" borderId="0"/>
    <xf numFmtId="0" fontId="10" fillId="0" borderId="0"/>
    <xf numFmtId="0" fontId="10" fillId="0" borderId="0"/>
    <xf numFmtId="0" fontId="10" fillId="0" borderId="0"/>
    <xf numFmtId="0" fontId="127" fillId="0" borderId="0"/>
    <xf numFmtId="0" fontId="10" fillId="0" borderId="0"/>
    <xf numFmtId="0" fontId="128" fillId="0" borderId="0"/>
    <xf numFmtId="0" fontId="168" fillId="0" borderId="0"/>
    <xf numFmtId="0" fontId="168" fillId="0" borderId="0"/>
    <xf numFmtId="0" fontId="168" fillId="0" borderId="0"/>
    <xf numFmtId="0" fontId="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30" fillId="0" borderId="0"/>
    <xf numFmtId="0" fontId="10" fillId="0" borderId="0"/>
    <xf numFmtId="0" fontId="168" fillId="0" borderId="0"/>
    <xf numFmtId="0" fontId="168" fillId="0" borderId="0"/>
    <xf numFmtId="0" fontId="168" fillId="0" borderId="0"/>
    <xf numFmtId="0" fontId="169" fillId="0" borderId="0"/>
    <xf numFmtId="0" fontId="68" fillId="0" borderId="0"/>
    <xf numFmtId="0" fontId="4" fillId="0" borderId="0"/>
    <xf numFmtId="0" fontId="168" fillId="0" borderId="0"/>
    <xf numFmtId="0" fontId="168" fillId="0" borderId="0"/>
    <xf numFmtId="0" fontId="168" fillId="0" borderId="0"/>
    <xf numFmtId="0" fontId="10" fillId="0" borderId="0"/>
    <xf numFmtId="0" fontId="68" fillId="0" borderId="0"/>
    <xf numFmtId="0" fontId="10" fillId="0" borderId="0"/>
    <xf numFmtId="0" fontId="168" fillId="0" borderId="0"/>
    <xf numFmtId="0" fontId="168" fillId="0" borderId="0"/>
    <xf numFmtId="0" fontId="168" fillId="0" borderId="0"/>
    <xf numFmtId="0" fontId="68" fillId="0" borderId="0"/>
    <xf numFmtId="0" fontId="4" fillId="0" borderId="0"/>
    <xf numFmtId="0" fontId="68" fillId="0" borderId="0"/>
    <xf numFmtId="0" fontId="4" fillId="0" borderId="0"/>
    <xf numFmtId="0" fontId="168" fillId="0" borderId="0"/>
    <xf numFmtId="0" fontId="168" fillId="0" borderId="0"/>
    <xf numFmtId="0" fontId="168" fillId="0" borderId="0"/>
    <xf numFmtId="0" fontId="68" fillId="0" borderId="0"/>
    <xf numFmtId="0" fontId="4" fillId="0" borderId="0"/>
    <xf numFmtId="0" fontId="168" fillId="0" borderId="0"/>
    <xf numFmtId="0" fontId="168" fillId="0" borderId="0"/>
    <xf numFmtId="0" fontId="168" fillId="0" borderId="0"/>
    <xf numFmtId="0" fontId="68" fillId="0" borderId="0"/>
    <xf numFmtId="0" fontId="168" fillId="0" borderId="0"/>
    <xf numFmtId="0" fontId="168" fillId="0" borderId="0"/>
    <xf numFmtId="0" fontId="168" fillId="0" borderId="0"/>
    <xf numFmtId="0" fontId="68" fillId="0" borderId="0"/>
    <xf numFmtId="0" fontId="168" fillId="0" borderId="0"/>
    <xf numFmtId="0" fontId="168" fillId="0" borderId="0"/>
    <xf numFmtId="0" fontId="168" fillId="0" borderId="0"/>
    <xf numFmtId="0" fontId="68" fillId="0" borderId="0"/>
    <xf numFmtId="0" fontId="10" fillId="0" borderId="0"/>
    <xf numFmtId="175" fontId="10" fillId="0" borderId="0"/>
    <xf numFmtId="0" fontId="4" fillId="0" borderId="0"/>
    <xf numFmtId="0" fontId="4" fillId="0" borderId="0"/>
    <xf numFmtId="175" fontId="10" fillId="0" borderId="0"/>
    <xf numFmtId="175" fontId="10" fillId="0" borderId="0"/>
    <xf numFmtId="175" fontId="10" fillId="0" borderId="0"/>
    <xf numFmtId="175" fontId="10" fillId="0" borderId="0"/>
    <xf numFmtId="0" fontId="168" fillId="0" borderId="0"/>
    <xf numFmtId="0" fontId="112" fillId="0" borderId="0"/>
    <xf numFmtId="175" fontId="10" fillId="0" borderId="0"/>
    <xf numFmtId="175" fontId="10" fillId="0" borderId="0"/>
    <xf numFmtId="0" fontId="68" fillId="0" borderId="0"/>
    <xf numFmtId="0" fontId="10" fillId="0" borderId="0"/>
    <xf numFmtId="0" fontId="4" fillId="0" borderId="0"/>
    <xf numFmtId="0" fontId="169" fillId="0" borderId="0"/>
    <xf numFmtId="0" fontId="10" fillId="0" borderId="0"/>
    <xf numFmtId="0" fontId="10" fillId="0" borderId="0"/>
    <xf numFmtId="0" fontId="168" fillId="0" borderId="0"/>
    <xf numFmtId="0" fontId="4" fillId="0" borderId="0"/>
    <xf numFmtId="0" fontId="4" fillId="0" borderId="0"/>
    <xf numFmtId="0" fontId="168" fillId="0" borderId="0"/>
    <xf numFmtId="0" fontId="168" fillId="0" borderId="0"/>
    <xf numFmtId="0" fontId="168" fillId="0" borderId="0"/>
    <xf numFmtId="0" fontId="4" fillId="0" borderId="0"/>
    <xf numFmtId="0" fontId="168" fillId="0" borderId="0"/>
    <xf numFmtId="0" fontId="168" fillId="0" borderId="0"/>
    <xf numFmtId="0" fontId="168" fillId="0" borderId="0"/>
    <xf numFmtId="0" fontId="168" fillId="0" borderId="0"/>
    <xf numFmtId="0" fontId="4"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175" fontId="10" fillId="0" borderId="0"/>
    <xf numFmtId="0" fontId="168" fillId="0" borderId="0"/>
    <xf numFmtId="0" fontId="4" fillId="0" borderId="0"/>
    <xf numFmtId="0" fontId="4" fillId="0" borderId="0"/>
    <xf numFmtId="175" fontId="10" fillId="0" borderId="0"/>
    <xf numFmtId="0" fontId="169" fillId="0" borderId="0"/>
    <xf numFmtId="0" fontId="4" fillId="0" borderId="0"/>
    <xf numFmtId="0" fontId="4" fillId="0" borderId="0"/>
    <xf numFmtId="175" fontId="10" fillId="0" borderId="0"/>
    <xf numFmtId="0" fontId="4" fillId="0" borderId="0"/>
    <xf numFmtId="0" fontId="4" fillId="0" borderId="0"/>
    <xf numFmtId="175" fontId="10" fillId="0" borderId="0"/>
    <xf numFmtId="0" fontId="4" fillId="0" borderId="0"/>
    <xf numFmtId="0" fontId="4" fillId="0" borderId="0"/>
    <xf numFmtId="175" fontId="10" fillId="0" borderId="0"/>
    <xf numFmtId="0" fontId="4" fillId="0" borderId="0"/>
    <xf numFmtId="0" fontId="4" fillId="0" borderId="0"/>
    <xf numFmtId="0" fontId="168" fillId="0" borderId="0"/>
    <xf numFmtId="0" fontId="168" fillId="0" borderId="0"/>
    <xf numFmtId="0" fontId="168" fillId="0" borderId="0"/>
    <xf numFmtId="0" fontId="68" fillId="0" borderId="0"/>
    <xf numFmtId="0" fontId="168" fillId="0" borderId="0"/>
    <xf numFmtId="0" fontId="168" fillId="0" borderId="0"/>
    <xf numFmtId="0" fontId="168" fillId="0" borderId="0"/>
    <xf numFmtId="0" fontId="68" fillId="0" borderId="0"/>
    <xf numFmtId="0" fontId="168" fillId="0" borderId="0"/>
    <xf numFmtId="0" fontId="168" fillId="0" borderId="0"/>
    <xf numFmtId="0" fontId="168" fillId="0" borderId="0"/>
    <xf numFmtId="0" fontId="68" fillId="0" borderId="0"/>
    <xf numFmtId="0" fontId="168" fillId="0" borderId="0"/>
    <xf numFmtId="0" fontId="168" fillId="0" borderId="0"/>
    <xf numFmtId="0" fontId="168" fillId="0" borderId="0"/>
    <xf numFmtId="0" fontId="68" fillId="0" borderId="0"/>
    <xf numFmtId="0" fontId="168" fillId="0" borderId="0"/>
    <xf numFmtId="0" fontId="168" fillId="0" borderId="0"/>
    <xf numFmtId="0" fontId="68" fillId="0" borderId="0"/>
    <xf numFmtId="0" fontId="168" fillId="0" borderId="0"/>
    <xf numFmtId="0" fontId="68" fillId="0" borderId="0"/>
    <xf numFmtId="0" fontId="68" fillId="0" borderId="0"/>
    <xf numFmtId="0" fontId="68" fillId="0" borderId="0"/>
    <xf numFmtId="0" fontId="68" fillId="0" borderId="0"/>
    <xf numFmtId="0" fontId="10" fillId="0" borderId="0"/>
    <xf numFmtId="0" fontId="168" fillId="0" borderId="0"/>
    <xf numFmtId="0" fontId="168" fillId="0" borderId="0"/>
    <xf numFmtId="0" fontId="1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68" fillId="0" borderId="0"/>
    <xf numFmtId="0" fontId="168" fillId="0" borderId="0"/>
    <xf numFmtId="0" fontId="168" fillId="0" borderId="0"/>
    <xf numFmtId="0" fontId="68" fillId="0" borderId="0"/>
    <xf numFmtId="0" fontId="10" fillId="0" borderId="0"/>
    <xf numFmtId="0" fontId="168" fillId="0" borderId="0"/>
    <xf numFmtId="0" fontId="168" fillId="0" borderId="0"/>
    <xf numFmtId="0" fontId="168" fillId="0" borderId="0"/>
    <xf numFmtId="0" fontId="68" fillId="0" borderId="0"/>
    <xf numFmtId="0" fontId="10" fillId="0" borderId="0"/>
    <xf numFmtId="0" fontId="168" fillId="0" borderId="0"/>
    <xf numFmtId="0" fontId="168" fillId="0" borderId="0"/>
    <xf numFmtId="0" fontId="168" fillId="0" borderId="0"/>
    <xf numFmtId="0" fontId="68" fillId="0" borderId="0"/>
    <xf numFmtId="0" fontId="10" fillId="0" borderId="0"/>
    <xf numFmtId="0" fontId="168" fillId="0" borderId="0"/>
    <xf numFmtId="0" fontId="168" fillId="0" borderId="0"/>
    <xf numFmtId="0" fontId="168" fillId="0" borderId="0"/>
    <xf numFmtId="0" fontId="68" fillId="0" borderId="0"/>
    <xf numFmtId="0" fontId="68" fillId="0" borderId="0"/>
    <xf numFmtId="0" fontId="68" fillId="0" borderId="0"/>
    <xf numFmtId="0" fontId="68" fillId="0" borderId="0"/>
    <xf numFmtId="0" fontId="10" fillId="0" borderId="0"/>
    <xf numFmtId="0" fontId="168" fillId="0" borderId="0"/>
    <xf numFmtId="0" fontId="4" fillId="0" borderId="0"/>
    <xf numFmtId="0" fontId="4" fillId="0" borderId="0"/>
    <xf numFmtId="0" fontId="169" fillId="0" borderId="0"/>
    <xf numFmtId="0" fontId="4" fillId="0" borderId="0"/>
    <xf numFmtId="0" fontId="4" fillId="0" borderId="0"/>
    <xf numFmtId="0" fontId="169" fillId="0" borderId="0"/>
    <xf numFmtId="0" fontId="4" fillId="0" borderId="0"/>
    <xf numFmtId="0" fontId="4" fillId="0" borderId="0"/>
    <xf numFmtId="0" fontId="169" fillId="0" borderId="0"/>
    <xf numFmtId="0" fontId="4" fillId="0" borderId="0"/>
    <xf numFmtId="0" fontId="4" fillId="0" borderId="0"/>
    <xf numFmtId="0" fontId="4" fillId="0" borderId="0"/>
    <xf numFmtId="0" fontId="68" fillId="0" borderId="0"/>
    <xf numFmtId="0" fontId="168" fillId="0" borderId="0"/>
    <xf numFmtId="0" fontId="168" fillId="0" borderId="0"/>
    <xf numFmtId="0" fontId="168" fillId="0" borderId="0"/>
    <xf numFmtId="0" fontId="68" fillId="0" borderId="0"/>
    <xf numFmtId="0" fontId="168" fillId="0" borderId="0"/>
    <xf numFmtId="0" fontId="168" fillId="0" borderId="0"/>
    <xf numFmtId="0" fontId="168" fillId="0" borderId="0"/>
    <xf numFmtId="0" fontId="68" fillId="0" borderId="0"/>
    <xf numFmtId="0" fontId="168" fillId="0" borderId="0"/>
    <xf numFmtId="0" fontId="168" fillId="0" borderId="0"/>
    <xf numFmtId="0" fontId="168" fillId="0" borderId="0"/>
    <xf numFmtId="0" fontId="68" fillId="0" borderId="0"/>
    <xf numFmtId="0" fontId="168" fillId="0" borderId="0"/>
    <xf numFmtId="0" fontId="168" fillId="0" borderId="0"/>
    <xf numFmtId="0" fontId="168" fillId="0" borderId="0"/>
    <xf numFmtId="0" fontId="68" fillId="0" borderId="0"/>
    <xf numFmtId="0" fontId="168" fillId="0" borderId="0"/>
    <xf numFmtId="0" fontId="168" fillId="0" borderId="0"/>
    <xf numFmtId="0" fontId="168" fillId="0" borderId="0"/>
    <xf numFmtId="0" fontId="68" fillId="0" borderId="0"/>
    <xf numFmtId="0" fontId="168" fillId="0" borderId="0"/>
    <xf numFmtId="0" fontId="168" fillId="0" borderId="0"/>
    <xf numFmtId="0" fontId="168" fillId="0" borderId="0"/>
    <xf numFmtId="0" fontId="68" fillId="0" borderId="0"/>
    <xf numFmtId="0" fontId="168" fillId="0" borderId="0"/>
    <xf numFmtId="0" fontId="168" fillId="0" borderId="0"/>
    <xf numFmtId="0" fontId="168" fillId="0" borderId="0"/>
    <xf numFmtId="0" fontId="68" fillId="0" borderId="0"/>
    <xf numFmtId="0" fontId="168" fillId="0" borderId="0"/>
    <xf numFmtId="0" fontId="168" fillId="0" borderId="0"/>
    <xf numFmtId="0" fontId="168" fillId="0" borderId="0"/>
    <xf numFmtId="0" fontId="10"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82" fillId="0" borderId="0"/>
    <xf numFmtId="0" fontId="10" fillId="0" borderId="0"/>
    <xf numFmtId="0" fontId="68" fillId="0" borderId="0"/>
    <xf numFmtId="0" fontId="169"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13"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9" fillId="0" borderId="0"/>
    <xf numFmtId="0" fontId="169" fillId="0" borderId="0"/>
    <xf numFmtId="0" fontId="169" fillId="0" borderId="0"/>
    <xf numFmtId="0" fontId="169" fillId="0" borderId="0"/>
    <xf numFmtId="0" fontId="169" fillId="0" borderId="0"/>
    <xf numFmtId="0" fontId="10" fillId="0" borderId="0"/>
    <xf numFmtId="0" fontId="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68" fillId="0" borderId="0"/>
    <xf numFmtId="0" fontId="168" fillId="0" borderId="0"/>
    <xf numFmtId="0" fontId="168" fillId="0" borderId="0"/>
    <xf numFmtId="0" fontId="168" fillId="0" borderId="0"/>
    <xf numFmtId="0" fontId="169" fillId="0" borderId="0"/>
    <xf numFmtId="0" fontId="168" fillId="0" borderId="0"/>
    <xf numFmtId="0" fontId="168" fillId="0" borderId="0"/>
    <xf numFmtId="0" fontId="168" fillId="0" borderId="0"/>
    <xf numFmtId="0" fontId="169" fillId="0" borderId="0"/>
    <xf numFmtId="0" fontId="168" fillId="0" borderId="0"/>
    <xf numFmtId="0" fontId="168" fillId="0" borderId="0"/>
    <xf numFmtId="0" fontId="168" fillId="0" borderId="0"/>
    <xf numFmtId="0" fontId="169"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0"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9" fillId="0" borderId="0"/>
    <xf numFmtId="0" fontId="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9" fillId="0" borderId="0"/>
    <xf numFmtId="0" fontId="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0" fillId="0" borderId="0"/>
    <xf numFmtId="0" fontId="168" fillId="0" borderId="0"/>
    <xf numFmtId="0" fontId="168" fillId="0" borderId="0"/>
    <xf numFmtId="0" fontId="168" fillId="0" borderId="0"/>
    <xf numFmtId="0" fontId="168" fillId="0" borderId="0"/>
    <xf numFmtId="0" fontId="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68" fillId="0" borderId="0"/>
    <xf numFmtId="0" fontId="111" fillId="0" borderId="0"/>
    <xf numFmtId="0" fontId="86" fillId="0" borderId="0"/>
    <xf numFmtId="0" fontId="1" fillId="0" borderId="0"/>
    <xf numFmtId="0" fontId="10" fillId="0" borderId="0"/>
    <xf numFmtId="0" fontId="111" fillId="0" borderId="0"/>
    <xf numFmtId="0" fontId="111" fillId="0" borderId="0"/>
    <xf numFmtId="0" fontId="68" fillId="0" borderId="0"/>
    <xf numFmtId="0" fontId="1" fillId="0" borderId="0"/>
    <xf numFmtId="0" fontId="1" fillId="0" borderId="0"/>
    <xf numFmtId="0" fontId="4" fillId="0" borderId="0"/>
    <xf numFmtId="0" fontId="10" fillId="0" borderId="0"/>
    <xf numFmtId="37" fontId="5" fillId="0" borderId="0"/>
    <xf numFmtId="3" fontId="37" fillId="0" borderId="0">
      <alignment vertical="center" wrapText="1"/>
    </xf>
    <xf numFmtId="0" fontId="4" fillId="0" borderId="0"/>
    <xf numFmtId="0" fontId="1" fillId="0" borderId="0"/>
    <xf numFmtId="0" fontId="1" fillId="0" borderId="0"/>
    <xf numFmtId="37" fontId="5" fillId="0" borderId="0"/>
    <xf numFmtId="0" fontId="4" fillId="0" borderId="0"/>
    <xf numFmtId="0" fontId="84" fillId="45" borderId="227" applyNumberFormat="0" applyFont="0" applyAlignment="0" applyProtection="0"/>
    <xf numFmtId="0" fontId="83" fillId="45" borderId="227" applyNumberFormat="0" applyFont="0" applyAlignment="0" applyProtection="0"/>
    <xf numFmtId="0" fontId="68" fillId="45" borderId="227" applyNumberFormat="0" applyFont="0" applyAlignment="0" applyProtection="0"/>
    <xf numFmtId="0" fontId="10" fillId="6" borderId="11" applyNumberFormat="0" applyFont="0" applyAlignment="0" applyProtection="0"/>
    <xf numFmtId="0" fontId="10" fillId="6" borderId="11" applyNumberFormat="0" applyFont="0" applyAlignment="0" applyProtection="0"/>
    <xf numFmtId="0" fontId="198" fillId="46" borderId="0" applyNumberFormat="0" applyBorder="0" applyAlignment="0" applyProtection="0"/>
    <xf numFmtId="0" fontId="199" fillId="46" borderId="0" applyNumberFormat="0" applyBorder="0" applyAlignment="0" applyProtection="0"/>
    <xf numFmtId="0" fontId="104" fillId="12" borderId="0" applyNumberFormat="0" applyBorder="0" applyAlignment="0" applyProtection="0"/>
    <xf numFmtId="0" fontId="104" fillId="12" borderId="0" applyNumberFormat="0" applyBorder="0" applyAlignment="0" applyProtection="0"/>
    <xf numFmtId="0" fontId="114" fillId="0" borderId="0"/>
    <xf numFmtId="0" fontId="200" fillId="0" borderId="12" applyNumberFormat="0" applyFill="0" applyAlignment="0" applyProtection="0"/>
    <xf numFmtId="0" fontId="201" fillId="0" borderId="12" applyNumberFormat="0" applyFill="0" applyAlignment="0" applyProtection="0"/>
    <xf numFmtId="0" fontId="105" fillId="0" borderId="13" applyNumberFormat="0" applyFill="0" applyAlignment="0" applyProtection="0"/>
    <xf numFmtId="0" fontId="105" fillId="0" borderId="13" applyNumberFormat="0" applyFill="0" applyAlignment="0" applyProtection="0"/>
    <xf numFmtId="0" fontId="202" fillId="0" borderId="0" applyNumberFormat="0" applyFill="0" applyBorder="0" applyAlignment="0" applyProtection="0"/>
    <xf numFmtId="0" fontId="203"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165" fontId="1" fillId="0" borderId="0" applyFont="0" applyFill="0" applyBorder="0" applyAlignment="0" applyProtection="0"/>
    <xf numFmtId="165" fontId="82"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 fillId="0" borderId="0" applyFont="0" applyFill="0" applyBorder="0" applyAlignment="0" applyProtection="0"/>
    <xf numFmtId="165" fontId="94" fillId="0" borderId="0" applyFont="0" applyFill="0" applyBorder="0" applyAlignment="0" applyProtection="0"/>
    <xf numFmtId="165" fontId="10" fillId="0" borderId="0" applyFont="0" applyFill="0" applyBorder="0" applyAlignment="0" applyProtection="0"/>
    <xf numFmtId="165" fontId="4" fillId="0" borderId="0" applyFont="0" applyFill="0" applyBorder="0" applyAlignment="0" applyProtection="0"/>
    <xf numFmtId="165" fontId="127" fillId="0" borderId="0" applyFont="0" applyFill="0" applyBorder="0" applyAlignment="0" applyProtection="0"/>
    <xf numFmtId="0" fontId="170" fillId="19" borderId="0" applyNumberFormat="0" applyBorder="0" applyAlignment="0" applyProtection="0"/>
    <xf numFmtId="0" fontId="171" fillId="19" borderId="0" applyNumberFormat="0" applyBorder="0" applyAlignment="0" applyProtection="0"/>
    <xf numFmtId="0" fontId="95" fillId="22" borderId="0" applyNumberFormat="0" applyBorder="0" applyAlignment="0" applyProtection="0"/>
    <xf numFmtId="0" fontId="95" fillId="22" borderId="0" applyNumberFormat="0" applyBorder="0" applyAlignment="0" applyProtection="0"/>
    <xf numFmtId="0" fontId="170" fillId="47" borderId="0" applyNumberFormat="0" applyBorder="0" applyAlignment="0" applyProtection="0"/>
    <xf numFmtId="0" fontId="171" fillId="47" borderId="0" applyNumberFormat="0" applyBorder="0" applyAlignment="0" applyProtection="0"/>
    <xf numFmtId="0" fontId="95" fillId="23" borderId="0" applyNumberFormat="0" applyBorder="0" applyAlignment="0" applyProtection="0"/>
    <xf numFmtId="0" fontId="95" fillId="23" borderId="0" applyNumberFormat="0" applyBorder="0" applyAlignment="0" applyProtection="0"/>
    <xf numFmtId="0" fontId="170" fillId="48" borderId="0" applyNumberFormat="0" applyBorder="0" applyAlignment="0" applyProtection="0"/>
    <xf numFmtId="0" fontId="171" fillId="48" borderId="0" applyNumberFormat="0" applyBorder="0" applyAlignment="0" applyProtection="0"/>
    <xf numFmtId="0" fontId="95" fillId="24" borderId="0" applyNumberFormat="0" applyBorder="0" applyAlignment="0" applyProtection="0"/>
    <xf numFmtId="0" fontId="95" fillId="24" borderId="0" applyNumberFormat="0" applyBorder="0" applyAlignment="0" applyProtection="0"/>
    <xf numFmtId="0" fontId="170" fillId="25" borderId="0" applyNumberFormat="0" applyBorder="0" applyAlignment="0" applyProtection="0"/>
    <xf numFmtId="0" fontId="171" fillId="25" borderId="0" applyNumberFormat="0" applyBorder="0" applyAlignment="0" applyProtection="0"/>
    <xf numFmtId="0" fontId="95" fillId="18" borderId="0" applyNumberFormat="0" applyBorder="0" applyAlignment="0" applyProtection="0"/>
    <xf numFmtId="0" fontId="95" fillId="18" borderId="0" applyNumberFormat="0" applyBorder="0" applyAlignment="0" applyProtection="0"/>
    <xf numFmtId="0" fontId="170" fillId="49" borderId="0" applyNumberFormat="0" applyBorder="0" applyAlignment="0" applyProtection="0"/>
    <xf numFmtId="0" fontId="171" fillId="49" borderId="0" applyNumberFormat="0" applyBorder="0" applyAlignment="0" applyProtection="0"/>
    <xf numFmtId="0" fontId="95" fillId="19" borderId="0" applyNumberFormat="0" applyBorder="0" applyAlignment="0" applyProtection="0"/>
    <xf numFmtId="0" fontId="95" fillId="19" borderId="0" applyNumberFormat="0" applyBorder="0" applyAlignment="0" applyProtection="0"/>
    <xf numFmtId="0" fontId="170" fillId="50" borderId="0" applyNumberFormat="0" applyBorder="0" applyAlignment="0" applyProtection="0"/>
    <xf numFmtId="0" fontId="171" fillId="50" borderId="0" applyNumberFormat="0" applyBorder="0" applyAlignment="0" applyProtection="0"/>
    <xf numFmtId="0" fontId="95" fillId="26" borderId="0" applyNumberFormat="0" applyBorder="0" applyAlignment="0" applyProtection="0"/>
    <xf numFmtId="0" fontId="95" fillId="26" borderId="0" applyNumberFormat="0" applyBorder="0" applyAlignment="0" applyProtection="0"/>
    <xf numFmtId="9" fontId="82" fillId="0" borderId="0" applyFont="0" applyFill="0" applyBorder="0" applyAlignment="0" applyProtection="0"/>
    <xf numFmtId="9" fontId="10" fillId="0" borderId="0" applyFont="0" applyFill="0" applyBorder="0" applyAlignment="0" applyProtection="0"/>
    <xf numFmtId="9" fontId="4" fillId="0" borderId="0" applyFont="0" applyFill="0" applyBorder="0" applyAlignment="0" applyProtection="0"/>
    <xf numFmtId="9" fontId="10" fillId="0" borderId="0" applyFont="0" applyFill="0" applyBorder="0" applyAlignment="0" applyProtection="0"/>
    <xf numFmtId="9" fontId="94" fillId="0" borderId="0" applyFont="0" applyFill="0" applyBorder="0" applyAlignment="0" applyProtection="0"/>
    <xf numFmtId="9" fontId="10" fillId="0" borderId="0" applyFont="0" applyFill="0" applyBorder="0" applyAlignment="0" applyProtection="0"/>
  </cellStyleXfs>
  <cellXfs count="2109">
    <xf numFmtId="0" fontId="0" fillId="0" borderId="0" xfId="0"/>
    <xf numFmtId="0" fontId="0" fillId="0" borderId="0" xfId="0" applyBorder="1"/>
    <xf numFmtId="0" fontId="6" fillId="0" borderId="0" xfId="0" applyFont="1"/>
    <xf numFmtId="0" fontId="10" fillId="0" borderId="0" xfId="0" applyFont="1"/>
    <xf numFmtId="0" fontId="17" fillId="0" borderId="0" xfId="0" applyFont="1"/>
    <xf numFmtId="0" fontId="13" fillId="0" borderId="0" xfId="0" applyFont="1"/>
    <xf numFmtId="0" fontId="13" fillId="0" borderId="0" xfId="0" applyFont="1" applyFill="1" applyBorder="1"/>
    <xf numFmtId="3" fontId="0" fillId="0" borderId="0" xfId="0" applyNumberFormat="1"/>
    <xf numFmtId="0" fontId="10" fillId="0" borderId="14" xfId="790" applyBorder="1"/>
    <xf numFmtId="0" fontId="10" fillId="0" borderId="0" xfId="790" applyBorder="1"/>
    <xf numFmtId="0" fontId="10" fillId="0" borderId="0" xfId="790" applyFont="1" applyBorder="1"/>
    <xf numFmtId="3" fontId="10" fillId="0" borderId="0" xfId="790" applyNumberFormat="1" applyFont="1" applyBorder="1"/>
    <xf numFmtId="0" fontId="10" fillId="0" borderId="0" xfId="790" applyFill="1" applyBorder="1"/>
    <xf numFmtId="0" fontId="2" fillId="0" borderId="0" xfId="0" applyFont="1"/>
    <xf numFmtId="0" fontId="0" fillId="0" borderId="0" xfId="0" applyFill="1"/>
    <xf numFmtId="0" fontId="0" fillId="0" borderId="0" xfId="0" applyFill="1" applyBorder="1"/>
    <xf numFmtId="0" fontId="17" fillId="0" borderId="0" xfId="0" applyFont="1" applyBorder="1"/>
    <xf numFmtId="0" fontId="10" fillId="0" borderId="0" xfId="790"/>
    <xf numFmtId="0" fontId="10" fillId="0" borderId="0" xfId="790" applyFill="1"/>
    <xf numFmtId="0" fontId="2" fillId="0" borderId="0" xfId="790" applyFont="1" applyBorder="1"/>
    <xf numFmtId="3" fontId="10" fillId="0" borderId="0" xfId="790" applyNumberFormat="1" applyBorder="1"/>
    <xf numFmtId="0" fontId="8" fillId="0" borderId="0" xfId="0" applyFont="1"/>
    <xf numFmtId="3" fontId="8" fillId="0" borderId="0" xfId="0" applyNumberFormat="1" applyFont="1"/>
    <xf numFmtId="2" fontId="8" fillId="0" borderId="0" xfId="0" applyNumberFormat="1" applyFont="1"/>
    <xf numFmtId="4" fontId="8" fillId="27" borderId="15" xfId="797" applyNumberFormat="1" applyFont="1" applyFill="1" applyBorder="1"/>
    <xf numFmtId="3" fontId="23" fillId="27" borderId="15" xfId="797" applyNumberFormat="1" applyFont="1" applyFill="1" applyBorder="1"/>
    <xf numFmtId="0" fontId="23" fillId="0" borderId="0" xfId="0" applyFont="1"/>
    <xf numFmtId="0" fontId="29" fillId="0" borderId="0" xfId="0" applyFont="1"/>
    <xf numFmtId="0" fontId="4" fillId="0" borderId="0" xfId="0" applyFont="1"/>
    <xf numFmtId="0" fontId="10" fillId="0" borderId="0" xfId="790" applyFont="1"/>
    <xf numFmtId="3" fontId="23" fillId="0" borderId="0" xfId="0" applyNumberFormat="1" applyFont="1" applyFill="1"/>
    <xf numFmtId="0" fontId="8" fillId="0" borderId="0" xfId="0" applyFont="1" applyFill="1"/>
    <xf numFmtId="0" fontId="42" fillId="0" borderId="0" xfId="0" applyFont="1"/>
    <xf numFmtId="0" fontId="41" fillId="0" borderId="0" xfId="0" applyFont="1"/>
    <xf numFmtId="166" fontId="0" fillId="0" borderId="0" xfId="816" applyNumberFormat="1" applyFont="1"/>
    <xf numFmtId="0" fontId="28" fillId="0" borderId="0" xfId="0" applyFont="1"/>
    <xf numFmtId="0" fontId="27" fillId="0" borderId="0" xfId="0" applyFont="1"/>
    <xf numFmtId="2" fontId="8" fillId="28" borderId="0" xfId="0" applyNumberFormat="1" applyFont="1" applyFill="1"/>
    <xf numFmtId="0" fontId="40" fillId="0" borderId="0" xfId="0" applyFont="1" applyAlignment="1">
      <alignment horizontal="left"/>
    </xf>
    <xf numFmtId="1" fontId="8" fillId="0" borderId="0" xfId="0" applyNumberFormat="1" applyFont="1"/>
    <xf numFmtId="0" fontId="8" fillId="29" borderId="0" xfId="0" applyFont="1" applyFill="1"/>
    <xf numFmtId="4" fontId="8" fillId="0" borderId="15" xfId="797" applyNumberFormat="1" applyFont="1" applyFill="1" applyBorder="1"/>
    <xf numFmtId="3" fontId="8" fillId="29" borderId="0" xfId="0" applyNumberFormat="1" applyFont="1" applyFill="1" applyBorder="1"/>
    <xf numFmtId="3" fontId="23" fillId="30" borderId="16" xfId="0" applyNumberFormat="1" applyFont="1" applyFill="1" applyBorder="1"/>
    <xf numFmtId="3" fontId="36" fillId="0" borderId="17" xfId="792" quotePrefix="1" applyFont="1" applyFill="1" applyBorder="1" applyAlignment="1">
      <alignment vertical="center"/>
    </xf>
    <xf numFmtId="3" fontId="36" fillId="0" borderId="17" xfId="792" applyFont="1" applyFill="1" applyBorder="1" applyAlignment="1">
      <alignment vertical="center"/>
    </xf>
    <xf numFmtId="3" fontId="36" fillId="29" borderId="17" xfId="792" quotePrefix="1" applyFont="1" applyFill="1" applyBorder="1" applyAlignment="1">
      <alignment vertical="center"/>
    </xf>
    <xf numFmtId="0" fontId="23" fillId="0" borderId="18" xfId="0" applyNumberFormat="1" applyFont="1" applyBorder="1"/>
    <xf numFmtId="3" fontId="36" fillId="30" borderId="19" xfId="187" quotePrefix="1" applyNumberFormat="1" applyFont="1" applyFill="1" applyBorder="1" applyAlignment="1">
      <alignment horizontal="center" vertical="center"/>
    </xf>
    <xf numFmtId="3" fontId="36" fillId="30" borderId="19" xfId="187" applyNumberFormat="1" applyFont="1" applyFill="1" applyBorder="1" applyAlignment="1">
      <alignment horizontal="center" vertical="center"/>
    </xf>
    <xf numFmtId="3" fontId="23" fillId="27" borderId="0" xfId="797" applyNumberFormat="1" applyFont="1" applyFill="1" applyBorder="1"/>
    <xf numFmtId="3" fontId="23" fillId="0" borderId="0" xfId="797" applyNumberFormat="1" applyFont="1" applyFill="1" applyBorder="1"/>
    <xf numFmtId="3" fontId="8" fillId="29" borderId="0" xfId="797" applyNumberFormat="1" applyFont="1" applyFill="1" applyBorder="1" applyAlignment="1">
      <alignment horizontal="right"/>
    </xf>
    <xf numFmtId="0" fontId="42" fillId="0" borderId="0" xfId="0" applyFont="1" applyFill="1" applyBorder="1" applyAlignment="1"/>
    <xf numFmtId="0" fontId="40" fillId="0" borderId="0" xfId="790" applyFont="1"/>
    <xf numFmtId="0" fontId="23" fillId="30" borderId="20" xfId="0" applyNumberFormat="1" applyFont="1" applyFill="1" applyBorder="1" applyAlignment="1">
      <alignment horizontal="center"/>
    </xf>
    <xf numFmtId="3" fontId="36" fillId="30" borderId="21" xfId="187" quotePrefix="1" applyNumberFormat="1" applyFont="1" applyFill="1" applyBorder="1" applyAlignment="1">
      <alignment horizontal="center" vertical="center"/>
    </xf>
    <xf numFmtId="3" fontId="36" fillId="30" borderId="21" xfId="187" applyNumberFormat="1" applyFont="1" applyFill="1" applyBorder="1" applyAlignment="1">
      <alignment horizontal="center" vertical="center"/>
    </xf>
    <xf numFmtId="3" fontId="8" fillId="0" borderId="0" xfId="0" applyNumberFormat="1" applyFont="1" applyBorder="1"/>
    <xf numFmtId="3" fontId="36" fillId="0" borderId="22" xfId="792" quotePrefix="1" applyFont="1" applyFill="1" applyBorder="1" applyAlignment="1">
      <alignment vertical="center"/>
    </xf>
    <xf numFmtId="3" fontId="8" fillId="0" borderId="0" xfId="0" applyNumberFormat="1" applyFont="1" applyFill="1" applyBorder="1"/>
    <xf numFmtId="3" fontId="36" fillId="30" borderId="23" xfId="187" quotePrefix="1" applyNumberFormat="1" applyFont="1" applyFill="1" applyBorder="1" applyAlignment="1">
      <alignment horizontal="center" vertical="center"/>
    </xf>
    <xf numFmtId="3" fontId="36" fillId="0" borderId="18" xfId="792" quotePrefix="1" applyFont="1" applyFill="1" applyBorder="1" applyAlignment="1">
      <alignment vertical="center"/>
    </xf>
    <xf numFmtId="3" fontId="8" fillId="29" borderId="24" xfId="0" applyNumberFormat="1" applyFont="1" applyFill="1" applyBorder="1"/>
    <xf numFmtId="3" fontId="8" fillId="29" borderId="25" xfId="0" applyNumberFormat="1" applyFont="1" applyFill="1" applyBorder="1"/>
    <xf numFmtId="3" fontId="36" fillId="0" borderId="0" xfId="792" applyFont="1" applyFill="1" applyBorder="1" applyAlignment="1">
      <alignment vertical="center"/>
    </xf>
    <xf numFmtId="3" fontId="8" fillId="0" borderId="14" xfId="797" applyNumberFormat="1" applyFont="1" applyFill="1" applyBorder="1" applyAlignment="1">
      <alignment horizontal="right"/>
    </xf>
    <xf numFmtId="3" fontId="8" fillId="0" borderId="0" xfId="797" applyNumberFormat="1" applyFont="1" applyFill="1" applyBorder="1" applyAlignment="1">
      <alignment horizontal="right"/>
    </xf>
    <xf numFmtId="3" fontId="10" fillId="0" borderId="0" xfId="789" applyNumberFormat="1" applyFont="1" applyFill="1" applyBorder="1"/>
    <xf numFmtId="3" fontId="6" fillId="0" borderId="0" xfId="789" applyNumberFormat="1" applyFont="1" applyFill="1" applyBorder="1"/>
    <xf numFmtId="4" fontId="6" fillId="0" borderId="0" xfId="789" applyNumberFormat="1" applyFont="1" applyFill="1" applyBorder="1"/>
    <xf numFmtId="0" fontId="16" fillId="0" borderId="0" xfId="789" applyFont="1" applyFill="1" applyBorder="1" applyAlignment="1">
      <alignment wrapText="1"/>
    </xf>
    <xf numFmtId="0" fontId="15" fillId="0" borderId="0" xfId="790" applyFont="1" applyBorder="1"/>
    <xf numFmtId="3" fontId="36" fillId="30" borderId="26" xfId="187" applyNumberFormat="1" applyFont="1" applyFill="1" applyBorder="1" applyAlignment="1">
      <alignment horizontal="center" vertical="center"/>
    </xf>
    <xf numFmtId="0" fontId="8" fillId="28" borderId="0" xfId="0" applyFont="1" applyFill="1"/>
    <xf numFmtId="0" fontId="50" fillId="0" borderId="0" xfId="790" applyFont="1" applyFill="1"/>
    <xf numFmtId="0" fontId="50" fillId="0" borderId="0" xfId="790" applyFont="1" applyBorder="1"/>
    <xf numFmtId="0" fontId="8" fillId="0" borderId="0" xfId="0" applyFont="1" applyBorder="1"/>
    <xf numFmtId="166" fontId="8" fillId="0" borderId="0" xfId="0" applyNumberFormat="1" applyFont="1" applyBorder="1"/>
    <xf numFmtId="0" fontId="42" fillId="0" borderId="0" xfId="0" applyFont="1" applyFill="1"/>
    <xf numFmtId="0" fontId="29" fillId="0" borderId="0" xfId="0" applyFont="1" applyFill="1"/>
    <xf numFmtId="0" fontId="4" fillId="0" borderId="0" xfId="0" applyFont="1" applyFill="1"/>
    <xf numFmtId="17" fontId="29" fillId="0" borderId="0" xfId="0" quotePrefix="1" applyNumberFormat="1" applyFont="1" applyFill="1"/>
    <xf numFmtId="0" fontId="4" fillId="0" borderId="0" xfId="0" applyFont="1" applyFill="1" applyBorder="1"/>
    <xf numFmtId="0" fontId="50" fillId="0" borderId="0" xfId="0" applyFont="1" applyFill="1"/>
    <xf numFmtId="0" fontId="4" fillId="0" borderId="0" xfId="782" applyFont="1"/>
    <xf numFmtId="17" fontId="4" fillId="0" borderId="0" xfId="782" applyNumberFormat="1" applyFont="1"/>
    <xf numFmtId="17" fontId="29" fillId="0" borderId="0" xfId="782" quotePrefix="1" applyNumberFormat="1" applyFont="1"/>
    <xf numFmtId="0" fontId="8" fillId="0" borderId="0" xfId="782" applyFont="1"/>
    <xf numFmtId="3" fontId="36" fillId="30" borderId="27" xfId="187" quotePrefix="1" applyNumberFormat="1" applyFont="1" applyFill="1" applyBorder="1" applyAlignment="1">
      <alignment horizontal="center" vertical="center"/>
    </xf>
    <xf numFmtId="3" fontId="36" fillId="0" borderId="28" xfId="792" quotePrefix="1" applyFont="1" applyFill="1" applyBorder="1" applyAlignment="1">
      <alignment vertical="center"/>
    </xf>
    <xf numFmtId="3" fontId="36" fillId="30" borderId="29" xfId="187" applyNumberFormat="1" applyFont="1" applyFill="1" applyBorder="1" applyAlignment="1">
      <alignment horizontal="center" vertical="center"/>
    </xf>
    <xf numFmtId="0" fontId="53" fillId="0" borderId="0" xfId="0" applyFont="1"/>
    <xf numFmtId="3" fontId="53" fillId="0" borderId="0" xfId="0" applyNumberFormat="1" applyFont="1" applyFill="1" applyBorder="1"/>
    <xf numFmtId="0" fontId="52" fillId="0" borderId="0" xfId="0" applyFont="1" applyFill="1" applyBorder="1" applyAlignment="1">
      <alignment horizontal="left" wrapText="1"/>
    </xf>
    <xf numFmtId="0" fontId="52" fillId="0" borderId="0" xfId="0" applyFont="1" applyFill="1" applyBorder="1" applyAlignment="1">
      <alignment horizontal="right" wrapText="1"/>
    </xf>
    <xf numFmtId="0" fontId="52" fillId="0" borderId="0" xfId="790" applyFont="1" applyAlignment="1">
      <alignment horizontal="left" indent="1"/>
    </xf>
    <xf numFmtId="0" fontId="54" fillId="0" borderId="0" xfId="0" applyFont="1"/>
    <xf numFmtId="0" fontId="52" fillId="0" borderId="0" xfId="790" applyFont="1" applyFill="1" applyAlignment="1">
      <alignment horizontal="left" indent="1"/>
    </xf>
    <xf numFmtId="0" fontId="52" fillId="0" borderId="0" xfId="0" applyFont="1" applyFill="1" applyBorder="1" applyAlignment="1">
      <alignment wrapText="1"/>
    </xf>
    <xf numFmtId="3" fontId="29" fillId="30" borderId="30" xfId="0" applyNumberFormat="1" applyFont="1" applyFill="1" applyBorder="1"/>
    <xf numFmtId="0" fontId="50" fillId="0" borderId="0" xfId="0" applyFont="1" applyBorder="1" applyAlignment="1"/>
    <xf numFmtId="0" fontId="41" fillId="0" borderId="0" xfId="0" applyFont="1" applyBorder="1" applyAlignment="1"/>
    <xf numFmtId="3" fontId="23" fillId="30" borderId="25" xfId="0" applyNumberFormat="1" applyFont="1" applyFill="1" applyBorder="1"/>
    <xf numFmtId="0" fontId="11" fillId="0" borderId="0" xfId="0" applyFont="1" applyBorder="1" applyAlignment="1"/>
    <xf numFmtId="17" fontId="60" fillId="29" borderId="0" xfId="0" quotePrefix="1" applyNumberFormat="1" applyFont="1" applyFill="1" applyAlignment="1">
      <alignment horizontal="center"/>
    </xf>
    <xf numFmtId="0" fontId="57" fillId="29" borderId="0" xfId="0" applyFont="1" applyFill="1"/>
    <xf numFmtId="1" fontId="57" fillId="29" borderId="0" xfId="0" applyNumberFormat="1" applyFont="1" applyFill="1"/>
    <xf numFmtId="0" fontId="9" fillId="29" borderId="0" xfId="0" applyFont="1" applyFill="1" applyBorder="1" applyAlignment="1">
      <alignment horizontal="center" wrapText="1"/>
    </xf>
    <xf numFmtId="3" fontId="27" fillId="29" borderId="0" xfId="0" applyNumberFormat="1" applyFont="1" applyFill="1"/>
    <xf numFmtId="0" fontId="27" fillId="29" borderId="0" xfId="0" applyFont="1" applyFill="1"/>
    <xf numFmtId="0" fontId="35" fillId="29" borderId="31" xfId="0" applyFont="1" applyFill="1" applyBorder="1" applyAlignment="1">
      <alignment horizontal="centerContinuous"/>
    </xf>
    <xf numFmtId="0" fontId="35" fillId="29" borderId="32" xfId="0" applyFont="1" applyFill="1" applyBorder="1" applyAlignment="1">
      <alignment horizontal="centerContinuous"/>
    </xf>
    <xf numFmtId="0" fontId="35" fillId="29" borderId="33" xfId="0" applyFont="1" applyFill="1" applyBorder="1" applyAlignment="1">
      <alignment horizontal="centerContinuous"/>
    </xf>
    <xf numFmtId="0" fontId="35" fillId="29" borderId="34" xfId="0" applyFont="1" applyFill="1" applyBorder="1" applyAlignment="1">
      <alignment horizontal="centerContinuous"/>
    </xf>
    <xf numFmtId="0" fontId="35" fillId="29" borderId="33" xfId="0" applyFont="1" applyFill="1" applyBorder="1" applyAlignment="1">
      <alignment horizontal="center"/>
    </xf>
    <xf numFmtId="0" fontId="35" fillId="29" borderId="34" xfId="0" applyFont="1" applyFill="1" applyBorder="1" applyAlignment="1">
      <alignment horizontal="center"/>
    </xf>
    <xf numFmtId="3" fontId="44" fillId="30" borderId="20" xfId="187" applyNumberFormat="1" applyFont="1" applyFill="1" applyBorder="1" applyAlignment="1">
      <alignment horizontal="center" vertical="center"/>
    </xf>
    <xf numFmtId="3" fontId="44" fillId="0" borderId="17" xfId="792" quotePrefix="1" applyFont="1" applyFill="1" applyBorder="1" applyAlignment="1">
      <alignment vertical="center"/>
    </xf>
    <xf numFmtId="3" fontId="27" fillId="29" borderId="35" xfId="0" quotePrefix="1" applyNumberFormat="1" applyFont="1" applyFill="1" applyBorder="1" applyAlignment="1" applyProtection="1">
      <alignment horizontal="left"/>
    </xf>
    <xf numFmtId="168" fontId="27" fillId="29" borderId="36" xfId="0" applyNumberFormat="1" applyFont="1" applyFill="1" applyBorder="1"/>
    <xf numFmtId="168" fontId="27" fillId="29" borderId="0" xfId="0" applyNumberFormat="1" applyFont="1" applyFill="1"/>
    <xf numFmtId="3" fontId="27" fillId="29" borderId="0" xfId="0" applyNumberFormat="1" applyFont="1" applyFill="1" applyBorder="1" applyAlignment="1" applyProtection="1">
      <alignment horizontal="right" indent="2"/>
    </xf>
    <xf numFmtId="1" fontId="27" fillId="29" borderId="0" xfId="0" applyNumberFormat="1" applyFont="1" applyFill="1"/>
    <xf numFmtId="3" fontId="44" fillId="30" borderId="19" xfId="187" applyNumberFormat="1" applyFont="1" applyFill="1" applyBorder="1" applyAlignment="1">
      <alignment horizontal="center" vertical="center"/>
    </xf>
    <xf numFmtId="3" fontId="44" fillId="0" borderId="17" xfId="792" applyFont="1" applyFill="1" applyBorder="1" applyAlignment="1">
      <alignment vertical="center"/>
    </xf>
    <xf numFmtId="3" fontId="44" fillId="30" borderId="37" xfId="187" applyNumberFormat="1" applyFont="1" applyFill="1" applyBorder="1" applyAlignment="1">
      <alignment horizontal="center" vertical="center"/>
    </xf>
    <xf numFmtId="3" fontId="44" fillId="0" borderId="28" xfId="792" applyFont="1" applyFill="1" applyBorder="1" applyAlignment="1">
      <alignment vertical="center"/>
    </xf>
    <xf numFmtId="3" fontId="44" fillId="30" borderId="19" xfId="187" quotePrefix="1" applyNumberFormat="1" applyFont="1" applyFill="1" applyBorder="1" applyAlignment="1">
      <alignment horizontal="center" vertical="center"/>
    </xf>
    <xf numFmtId="3" fontId="27" fillId="29" borderId="35" xfId="0" applyNumberFormat="1" applyFont="1" applyFill="1" applyBorder="1" applyAlignment="1" applyProtection="1">
      <alignment horizontal="left"/>
    </xf>
    <xf numFmtId="3" fontId="27" fillId="29" borderId="38" xfId="0" applyNumberFormat="1" applyFont="1" applyFill="1" applyBorder="1" applyProtection="1"/>
    <xf numFmtId="3" fontId="27" fillId="29" borderId="39" xfId="0" quotePrefix="1" applyNumberFormat="1" applyFont="1" applyFill="1" applyBorder="1" applyAlignment="1" applyProtection="1">
      <alignment horizontal="left"/>
    </xf>
    <xf numFmtId="3" fontId="23" fillId="29" borderId="0" xfId="0" applyNumberFormat="1" applyFont="1" applyFill="1" applyBorder="1"/>
    <xf numFmtId="3" fontId="35" fillId="29" borderId="40" xfId="0" applyNumberFormat="1" applyFont="1" applyFill="1" applyBorder="1" applyAlignment="1" applyProtection="1">
      <alignment horizontal="left"/>
    </xf>
    <xf numFmtId="3" fontId="9" fillId="29" borderId="0" xfId="0" applyNumberFormat="1" applyFont="1" applyFill="1"/>
    <xf numFmtId="3" fontId="27" fillId="29" borderId="41" xfId="0" quotePrefix="1" applyNumberFormat="1" applyFont="1" applyFill="1" applyBorder="1" applyAlignment="1" applyProtection="1">
      <alignment horizontal="left"/>
    </xf>
    <xf numFmtId="3" fontId="27" fillId="29" borderId="33" xfId="0" quotePrefix="1" applyNumberFormat="1" applyFont="1" applyFill="1" applyBorder="1" applyAlignment="1" applyProtection="1">
      <alignment horizontal="left"/>
    </xf>
    <xf numFmtId="168" fontId="27" fillId="29" borderId="15" xfId="0" applyNumberFormat="1" applyFont="1" applyFill="1" applyBorder="1"/>
    <xf numFmtId="168" fontId="27" fillId="29" borderId="42" xfId="0" applyNumberFormat="1" applyFont="1" applyFill="1" applyBorder="1"/>
    <xf numFmtId="0" fontId="27" fillId="0" borderId="0" xfId="0" applyFont="1" applyFill="1"/>
    <xf numFmtId="168" fontId="27" fillId="0" borderId="36" xfId="0" applyNumberFormat="1" applyFont="1" applyFill="1" applyBorder="1"/>
    <xf numFmtId="168" fontId="27" fillId="0" borderId="0" xfId="0" applyNumberFormat="1" applyFont="1" applyFill="1"/>
    <xf numFmtId="3" fontId="4" fillId="0" borderId="43" xfId="0" applyNumberFormat="1" applyFont="1" applyFill="1" applyBorder="1"/>
    <xf numFmtId="4" fontId="4" fillId="0" borderId="15" xfId="797" applyNumberFormat="1" applyFont="1" applyFill="1" applyBorder="1"/>
    <xf numFmtId="3" fontId="29" fillId="0" borderId="15" xfId="797" applyNumberFormat="1" applyFont="1" applyFill="1" applyBorder="1"/>
    <xf numFmtId="3" fontId="29" fillId="0" borderId="0" xfId="797" applyNumberFormat="1" applyFont="1" applyFill="1" applyBorder="1"/>
    <xf numFmtId="3" fontId="4" fillId="0" borderId="24" xfId="0" applyNumberFormat="1" applyFont="1" applyFill="1" applyBorder="1"/>
    <xf numFmtId="4" fontId="8" fillId="27" borderId="0" xfId="797" applyNumberFormat="1" applyFont="1" applyFill="1" applyBorder="1"/>
    <xf numFmtId="3" fontId="29" fillId="0" borderId="0" xfId="0" applyNumberFormat="1" applyFont="1" applyFill="1" applyBorder="1"/>
    <xf numFmtId="2" fontId="4" fillId="0" borderId="0" xfId="0" applyNumberFormat="1" applyFont="1" applyFill="1" applyBorder="1"/>
    <xf numFmtId="3" fontId="4" fillId="0" borderId="0" xfId="0" applyNumberFormat="1" applyFont="1" applyFill="1" applyBorder="1"/>
    <xf numFmtId="1" fontId="4" fillId="0" borderId="0" xfId="0" applyNumberFormat="1" applyFont="1" applyFill="1" applyBorder="1"/>
    <xf numFmtId="3" fontId="4" fillId="0" borderId="25" xfId="0" applyNumberFormat="1" applyFont="1" applyFill="1" applyBorder="1"/>
    <xf numFmtId="2" fontId="4" fillId="0" borderId="14" xfId="0" applyNumberFormat="1" applyFont="1" applyFill="1" applyBorder="1"/>
    <xf numFmtId="0" fontId="4" fillId="0" borderId="14" xfId="0" applyFont="1" applyFill="1" applyBorder="1"/>
    <xf numFmtId="4" fontId="4" fillId="0" borderId="44" xfId="797" applyNumberFormat="1" applyFont="1" applyFill="1" applyBorder="1"/>
    <xf numFmtId="3" fontId="29" fillId="0" borderId="44" xfId="797" applyNumberFormat="1" applyFont="1" applyFill="1" applyBorder="1"/>
    <xf numFmtId="3" fontId="29" fillId="0" borderId="14" xfId="797" applyNumberFormat="1" applyFont="1" applyFill="1" applyBorder="1"/>
    <xf numFmtId="3" fontId="4" fillId="0" borderId="14" xfId="0" applyNumberFormat="1" applyFont="1" applyFill="1" applyBorder="1"/>
    <xf numFmtId="1" fontId="4" fillId="0" borderId="14" xfId="0" applyNumberFormat="1" applyFont="1" applyFill="1" applyBorder="1"/>
    <xf numFmtId="0" fontId="29" fillId="30" borderId="45" xfId="789" applyFont="1" applyFill="1" applyBorder="1" applyAlignment="1">
      <alignment horizontal="center"/>
    </xf>
    <xf numFmtId="0" fontId="46" fillId="30" borderId="46" xfId="789" applyFont="1" applyFill="1" applyBorder="1" applyAlignment="1">
      <alignment horizontal="center"/>
    </xf>
    <xf numFmtId="0" fontId="29" fillId="30" borderId="46" xfId="789" applyFont="1" applyFill="1" applyBorder="1" applyAlignment="1">
      <alignment horizontal="center" wrapText="1"/>
    </xf>
    <xf numFmtId="0" fontId="29" fillId="30" borderId="47" xfId="789" applyFont="1" applyFill="1" applyBorder="1" applyAlignment="1">
      <alignment horizontal="center" wrapText="1"/>
    </xf>
    <xf numFmtId="0" fontId="29" fillId="30" borderId="48" xfId="789" applyFont="1" applyFill="1" applyBorder="1" applyAlignment="1">
      <alignment horizontal="center" wrapText="1"/>
    </xf>
    <xf numFmtId="17" fontId="24" fillId="30" borderId="49" xfId="0" quotePrefix="1" applyNumberFormat="1" applyFont="1" applyFill="1" applyBorder="1" applyAlignment="1">
      <alignment horizontal="center"/>
    </xf>
    <xf numFmtId="0" fontId="8" fillId="30" borderId="49" xfId="0" applyFont="1" applyFill="1" applyBorder="1"/>
    <xf numFmtId="3" fontId="36" fillId="30" borderId="0" xfId="792" applyFont="1" applyFill="1" applyBorder="1" applyAlignment="1">
      <alignment horizontal="center" vertical="center" wrapText="1"/>
    </xf>
    <xf numFmtId="4" fontId="33" fillId="30" borderId="0" xfId="792" applyNumberFormat="1" applyFont="1" applyFill="1" applyBorder="1">
      <alignment vertical="center" wrapText="1"/>
    </xf>
    <xf numFmtId="3" fontId="33" fillId="30" borderId="0" xfId="792" applyFont="1" applyFill="1" applyBorder="1">
      <alignment vertical="center" wrapText="1"/>
    </xf>
    <xf numFmtId="0" fontId="8" fillId="30" borderId="0" xfId="0" applyFont="1" applyFill="1" applyBorder="1"/>
    <xf numFmtId="0" fontId="8" fillId="30" borderId="0" xfId="0" applyFont="1" applyFill="1" applyBorder="1" applyAlignment="1">
      <alignment horizontal="center" vertical="center" wrapText="1"/>
    </xf>
    <xf numFmtId="168" fontId="33" fillId="30" borderId="0" xfId="792" applyNumberFormat="1" applyFont="1" applyFill="1" applyBorder="1">
      <alignment vertical="center" wrapText="1"/>
    </xf>
    <xf numFmtId="4" fontId="33" fillId="30" borderId="0" xfId="792" applyNumberFormat="1" applyFont="1" applyFill="1" applyBorder="1" applyAlignment="1">
      <alignment horizontal="center" vertical="center" wrapText="1"/>
    </xf>
    <xf numFmtId="4" fontId="33" fillId="30" borderId="0" xfId="792" applyNumberFormat="1" applyFont="1" applyFill="1" applyBorder="1" applyAlignment="1">
      <alignment horizontal="right" vertical="center" wrapText="1"/>
    </xf>
    <xf numFmtId="168" fontId="12" fillId="30" borderId="0" xfId="792" applyNumberFormat="1" applyFont="1" applyFill="1" applyBorder="1" applyAlignment="1">
      <alignment horizontal="center" vertical="center" wrapText="1"/>
    </xf>
    <xf numFmtId="3" fontId="8" fillId="30" borderId="0" xfId="0" applyNumberFormat="1" applyFont="1" applyFill="1" applyBorder="1"/>
    <xf numFmtId="3" fontId="23" fillId="30" borderId="0" xfId="0" applyNumberFormat="1" applyFont="1" applyFill="1"/>
    <xf numFmtId="2" fontId="8" fillId="30" borderId="0" xfId="0" applyNumberFormat="1" applyFont="1" applyFill="1"/>
    <xf numFmtId="0" fontId="8" fillId="30" borderId="0" xfId="0" applyFont="1" applyFill="1"/>
    <xf numFmtId="4" fontId="8" fillId="30" borderId="15" xfId="797" applyNumberFormat="1" applyFont="1" applyFill="1" applyBorder="1"/>
    <xf numFmtId="3" fontId="23" fillId="30" borderId="15" xfId="797" applyNumberFormat="1" applyFont="1" applyFill="1" applyBorder="1"/>
    <xf numFmtId="3" fontId="23" fillId="30" borderId="0" xfId="797" applyNumberFormat="1" applyFont="1" applyFill="1" applyBorder="1"/>
    <xf numFmtId="3" fontId="8" fillId="30" borderId="0" xfId="0" applyNumberFormat="1" applyFont="1" applyFill="1"/>
    <xf numFmtId="1" fontId="8" fillId="30" borderId="0" xfId="0" applyNumberFormat="1" applyFont="1" applyFill="1"/>
    <xf numFmtId="3" fontId="44" fillId="0" borderId="50" xfId="792" applyFont="1" applyFill="1" applyBorder="1" applyAlignment="1">
      <alignment vertical="center"/>
    </xf>
    <xf numFmtId="3" fontId="36" fillId="0" borderId="51" xfId="792" quotePrefix="1" applyFont="1" applyFill="1" applyBorder="1" applyAlignment="1">
      <alignment vertical="center"/>
    </xf>
    <xf numFmtId="3" fontId="15" fillId="0" borderId="0" xfId="790" applyNumberFormat="1" applyFont="1" applyBorder="1"/>
    <xf numFmtId="3" fontId="19" fillId="0" borderId="0" xfId="0" applyNumberFormat="1" applyFont="1" applyFill="1" applyBorder="1" applyAlignment="1" applyProtection="1">
      <alignment wrapText="1"/>
    </xf>
    <xf numFmtId="3" fontId="27" fillId="0" borderId="35" xfId="0" quotePrefix="1" applyNumberFormat="1" applyFont="1" applyFill="1" applyBorder="1" applyAlignment="1" applyProtection="1">
      <alignment horizontal="left"/>
    </xf>
    <xf numFmtId="3" fontId="27" fillId="0" borderId="0" xfId="0" applyNumberFormat="1" applyFont="1" applyFill="1" applyBorder="1" applyAlignment="1" applyProtection="1">
      <alignment horizontal="right" indent="2"/>
    </xf>
    <xf numFmtId="1" fontId="27" fillId="0" borderId="0" xfId="0" applyNumberFormat="1" applyFont="1" applyFill="1"/>
    <xf numFmtId="0" fontId="57" fillId="0" borderId="0" xfId="0" applyFont="1" applyFill="1"/>
    <xf numFmtId="3" fontId="11" fillId="0" borderId="0" xfId="0" applyNumberFormat="1" applyFont="1" applyBorder="1" applyAlignment="1"/>
    <xf numFmtId="3" fontId="0" fillId="0" borderId="0" xfId="0" applyNumberFormat="1" applyFill="1" applyBorder="1"/>
    <xf numFmtId="0" fontId="5" fillId="0" borderId="0" xfId="0" applyFont="1"/>
    <xf numFmtId="0" fontId="69" fillId="0" borderId="0" xfId="0" applyFont="1" applyFill="1" applyBorder="1" applyAlignment="1">
      <alignment horizontal="left" wrapText="1"/>
    </xf>
    <xf numFmtId="3" fontId="29" fillId="30" borderId="52" xfId="0" applyNumberFormat="1" applyFont="1" applyFill="1" applyBorder="1"/>
    <xf numFmtId="0" fontId="20" fillId="29" borderId="0" xfId="0" applyFont="1" applyFill="1"/>
    <xf numFmtId="3" fontId="10" fillId="0" borderId="0" xfId="0" applyNumberFormat="1" applyFont="1"/>
    <xf numFmtId="3" fontId="29" fillId="0" borderId="0" xfId="789" applyNumberFormat="1" applyFont="1" applyBorder="1" applyAlignment="1"/>
    <xf numFmtId="3" fontId="29" fillId="29" borderId="0" xfId="0" applyNumberFormat="1" applyFont="1" applyFill="1" applyBorder="1"/>
    <xf numFmtId="3" fontId="74" fillId="0" borderId="53" xfId="797" applyNumberFormat="1" applyFont="1" applyFill="1" applyBorder="1" applyAlignment="1">
      <alignment horizontal="right"/>
    </xf>
    <xf numFmtId="0" fontId="17" fillId="0" borderId="0" xfId="0" applyFont="1" applyFill="1" applyBorder="1"/>
    <xf numFmtId="0" fontId="5" fillId="0" borderId="0" xfId="0" applyFont="1" applyBorder="1"/>
    <xf numFmtId="0" fontId="9" fillId="31" borderId="49" xfId="0" applyFont="1" applyFill="1" applyBorder="1" applyAlignment="1">
      <alignment horizontal="centerContinuous"/>
    </xf>
    <xf numFmtId="0" fontId="9" fillId="31" borderId="0" xfId="0" applyFont="1" applyFill="1" applyBorder="1" applyAlignment="1">
      <alignment horizontal="centerContinuous"/>
    </xf>
    <xf numFmtId="0" fontId="9" fillId="31" borderId="14" xfId="0" applyFont="1" applyFill="1" applyBorder="1" applyAlignment="1">
      <alignment horizontal="center"/>
    </xf>
    <xf numFmtId="0" fontId="16" fillId="30" borderId="14" xfId="790" applyFont="1" applyFill="1" applyBorder="1" applyAlignment="1">
      <alignment horizontal="center"/>
    </xf>
    <xf numFmtId="0" fontId="16" fillId="30" borderId="14" xfId="790" applyFont="1" applyFill="1" applyBorder="1" applyAlignment="1">
      <alignment horizontal="center" wrapText="1"/>
    </xf>
    <xf numFmtId="0" fontId="17" fillId="0" borderId="49" xfId="0" applyFont="1" applyBorder="1"/>
    <xf numFmtId="4" fontId="16" fillId="0" borderId="28" xfId="790" applyNumberFormat="1" applyFont="1" applyFill="1" applyBorder="1"/>
    <xf numFmtId="0" fontId="32" fillId="0" borderId="0" xfId="790" applyFont="1" applyAlignment="1"/>
    <xf numFmtId="0" fontId="17" fillId="0" borderId="0" xfId="0" applyFont="1" applyAlignment="1"/>
    <xf numFmtId="3" fontId="17" fillId="0" borderId="0" xfId="0" applyNumberFormat="1" applyFont="1"/>
    <xf numFmtId="0" fontId="14" fillId="0" borderId="0" xfId="0" applyFont="1" applyBorder="1" applyAlignment="1">
      <alignment horizontal="left" wrapText="1"/>
    </xf>
    <xf numFmtId="0" fontId="77" fillId="0" borderId="0" xfId="0" applyFont="1" applyAlignment="1">
      <alignment wrapText="1"/>
    </xf>
    <xf numFmtId="3" fontId="78" fillId="0" borderId="0" xfId="0" applyNumberFormat="1" applyFont="1" applyBorder="1" applyAlignment="1">
      <alignment horizontal="left" wrapText="1"/>
    </xf>
    <xf numFmtId="0" fontId="79" fillId="0" borderId="0" xfId="0" applyFont="1" applyBorder="1" applyAlignment="1">
      <alignment wrapText="1"/>
    </xf>
    <xf numFmtId="3" fontId="79" fillId="0" borderId="0" xfId="0" applyNumberFormat="1" applyFont="1" applyBorder="1" applyAlignment="1">
      <alignment wrapText="1"/>
    </xf>
    <xf numFmtId="0" fontId="70" fillId="0" borderId="0" xfId="0" applyFont="1" applyBorder="1" applyAlignment="1">
      <alignment horizontal="left" wrapText="1"/>
    </xf>
    <xf numFmtId="3" fontId="17" fillId="0" borderId="17" xfId="0" applyNumberFormat="1" applyFont="1" applyBorder="1"/>
    <xf numFmtId="3" fontId="16" fillId="0" borderId="17" xfId="0" applyNumberFormat="1" applyFont="1" applyBorder="1"/>
    <xf numFmtId="4" fontId="16" fillId="0" borderId="17" xfId="0" applyNumberFormat="1" applyFont="1" applyBorder="1"/>
    <xf numFmtId="168" fontId="16" fillId="0" borderId="17" xfId="0" applyNumberFormat="1" applyFont="1" applyBorder="1"/>
    <xf numFmtId="166" fontId="4" fillId="0" borderId="0" xfId="0" applyNumberFormat="1" applyFont="1"/>
    <xf numFmtId="166" fontId="8" fillId="0" borderId="0" xfId="0" applyNumberFormat="1" applyFont="1"/>
    <xf numFmtId="0" fontId="17" fillId="0" borderId="0" xfId="0" applyFont="1" applyFill="1"/>
    <xf numFmtId="2" fontId="4" fillId="29" borderId="0" xfId="0" applyNumberFormat="1" applyFont="1" applyFill="1" applyBorder="1"/>
    <xf numFmtId="0" fontId="16" fillId="0" borderId="0" xfId="790" applyFont="1" applyBorder="1" applyAlignment="1"/>
    <xf numFmtId="0" fontId="16" fillId="30" borderId="54" xfId="790" applyFont="1" applyFill="1" applyBorder="1"/>
    <xf numFmtId="3" fontId="16" fillId="30" borderId="0" xfId="790" applyNumberFormat="1" applyFont="1" applyFill="1" applyBorder="1"/>
    <xf numFmtId="4" fontId="16" fillId="30" borderId="0" xfId="790" applyNumberFormat="1" applyFont="1" applyFill="1" applyBorder="1"/>
    <xf numFmtId="3" fontId="16" fillId="30" borderId="24" xfId="790" applyNumberFormat="1" applyFont="1" applyFill="1" applyBorder="1"/>
    <xf numFmtId="4" fontId="16" fillId="0" borderId="28" xfId="0" applyNumberFormat="1" applyFont="1" applyBorder="1"/>
    <xf numFmtId="0" fontId="10" fillId="0" borderId="0" xfId="790" applyFont="1" applyFill="1"/>
    <xf numFmtId="0" fontId="2" fillId="0" borderId="14" xfId="790" applyFont="1" applyBorder="1"/>
    <xf numFmtId="17" fontId="6" fillId="0" borderId="14" xfId="790" applyNumberFormat="1" applyFont="1" applyBorder="1" applyAlignment="1">
      <alignment horizontal="right"/>
    </xf>
    <xf numFmtId="0" fontId="2" fillId="30" borderId="55" xfId="790" applyFont="1" applyFill="1" applyBorder="1" applyAlignment="1">
      <alignment horizontal="center"/>
    </xf>
    <xf numFmtId="0" fontId="2" fillId="30" borderId="49" xfId="790" applyFont="1" applyFill="1" applyBorder="1" applyAlignment="1">
      <alignment horizontal="center"/>
    </xf>
    <xf numFmtId="0" fontId="2" fillId="30" borderId="43" xfId="790" applyFont="1" applyFill="1" applyBorder="1" applyAlignment="1">
      <alignment horizontal="center" wrapText="1"/>
    </xf>
    <xf numFmtId="0" fontId="63" fillId="30" borderId="56" xfId="790" applyFont="1" applyFill="1" applyBorder="1" applyAlignment="1">
      <alignment horizontal="center"/>
    </xf>
    <xf numFmtId="0" fontId="63" fillId="30" borderId="14" xfId="790" applyFont="1" applyFill="1" applyBorder="1"/>
    <xf numFmtId="0" fontId="10" fillId="30" borderId="14" xfId="790" applyFill="1" applyBorder="1"/>
    <xf numFmtId="0" fontId="63" fillId="30" borderId="25" xfId="790" applyFont="1" applyFill="1" applyBorder="1"/>
    <xf numFmtId="0" fontId="2" fillId="29" borderId="23" xfId="790" applyFont="1" applyFill="1" applyBorder="1"/>
    <xf numFmtId="3" fontId="66" fillId="29" borderId="28" xfId="790" applyNumberFormat="1" applyFont="1" applyFill="1" applyBorder="1" applyAlignment="1">
      <alignment horizontal="right" indent="4"/>
    </xf>
    <xf numFmtId="3" fontId="66" fillId="29" borderId="18" xfId="790" applyNumberFormat="1" applyFont="1" applyFill="1" applyBorder="1" applyAlignment="1">
      <alignment horizontal="right" indent="3"/>
    </xf>
    <xf numFmtId="9" fontId="40" fillId="29" borderId="57" xfId="790" applyNumberFormat="1" applyFont="1" applyFill="1" applyBorder="1" applyAlignment="1">
      <alignment horizontal="right" indent="4"/>
    </xf>
    <xf numFmtId="0" fontId="2" fillId="29" borderId="21" xfId="790" applyFont="1" applyFill="1" applyBorder="1"/>
    <xf numFmtId="3" fontId="66" fillId="29" borderId="17" xfId="790" applyNumberFormat="1" applyFont="1" applyFill="1" applyBorder="1" applyAlignment="1">
      <alignment horizontal="right" indent="3"/>
    </xf>
    <xf numFmtId="9" fontId="40" fillId="29" borderId="53" xfId="790" applyNumberFormat="1" applyFont="1" applyFill="1" applyBorder="1" applyAlignment="1">
      <alignment horizontal="right" indent="4"/>
    </xf>
    <xf numFmtId="3" fontId="40" fillId="29" borderId="17" xfId="790" applyNumberFormat="1" applyFont="1" applyFill="1" applyBorder="1" applyAlignment="1">
      <alignment horizontal="right" indent="4"/>
    </xf>
    <xf numFmtId="3" fontId="40" fillId="29" borderId="17" xfId="790" applyNumberFormat="1" applyFont="1" applyFill="1" applyBorder="1" applyAlignment="1">
      <alignment horizontal="right" indent="3"/>
    </xf>
    <xf numFmtId="0" fontId="2" fillId="29" borderId="58" xfId="790" applyFont="1" applyFill="1" applyBorder="1"/>
    <xf numFmtId="3" fontId="66" fillId="29" borderId="59" xfId="790" applyNumberFormat="1" applyFont="1" applyFill="1" applyBorder="1" applyAlignment="1">
      <alignment horizontal="right" indent="4"/>
    </xf>
    <xf numFmtId="3" fontId="66" fillId="29" borderId="59" xfId="790" applyNumberFormat="1" applyFont="1" applyFill="1" applyBorder="1" applyAlignment="1">
      <alignment horizontal="right" indent="3"/>
    </xf>
    <xf numFmtId="168" fontId="66" fillId="29" borderId="60" xfId="790" applyNumberFormat="1" applyFont="1" applyFill="1" applyBorder="1" applyAlignment="1">
      <alignment horizontal="right" indent="4"/>
    </xf>
    <xf numFmtId="0" fontId="10" fillId="29" borderId="27" xfId="790" applyFont="1" applyFill="1" applyBorder="1"/>
    <xf numFmtId="3" fontId="66" fillId="29" borderId="28" xfId="790" applyNumberFormat="1" applyFont="1" applyFill="1" applyBorder="1" applyAlignment="1">
      <alignment horizontal="right" indent="3"/>
    </xf>
    <xf numFmtId="168" fontId="66" fillId="29" borderId="61" xfId="790" applyNumberFormat="1" applyFont="1" applyFill="1" applyBorder="1" applyAlignment="1">
      <alignment horizontal="right" indent="4"/>
    </xf>
    <xf numFmtId="1" fontId="10" fillId="0" borderId="0" xfId="790" applyNumberFormat="1" applyFont="1" applyBorder="1"/>
    <xf numFmtId="0" fontId="63" fillId="29" borderId="27" xfId="790" applyFont="1" applyFill="1" applyBorder="1"/>
    <xf numFmtId="3" fontId="66" fillId="29" borderId="0" xfId="790" applyNumberFormat="1" applyFont="1" applyFill="1" applyBorder="1" applyAlignment="1">
      <alignment horizontal="right" indent="4"/>
    </xf>
    <xf numFmtId="0" fontId="2" fillId="29" borderId="56" xfId="790" applyFont="1" applyFill="1" applyBorder="1"/>
    <xf numFmtId="3" fontId="40" fillId="29" borderId="14" xfId="790" applyNumberFormat="1" applyFont="1" applyFill="1" applyBorder="1" applyAlignment="1">
      <alignment horizontal="right" indent="4"/>
    </xf>
    <xf numFmtId="3" fontId="40" fillId="29" borderId="14" xfId="790" applyNumberFormat="1" applyFont="1" applyFill="1" applyBorder="1" applyAlignment="1">
      <alignment horizontal="right" indent="3"/>
    </xf>
    <xf numFmtId="9" fontId="40" fillId="29" borderId="25" xfId="790" applyNumberFormat="1" applyFont="1" applyFill="1" applyBorder="1" applyAlignment="1">
      <alignment horizontal="right" indent="4"/>
    </xf>
    <xf numFmtId="0" fontId="40" fillId="0" borderId="0" xfId="790" applyFont="1" applyBorder="1"/>
    <xf numFmtId="0" fontId="50" fillId="0" borderId="0" xfId="790" applyFont="1"/>
    <xf numFmtId="0" fontId="63" fillId="30" borderId="56" xfId="790" applyFont="1" applyFill="1" applyBorder="1" applyAlignment="1">
      <alignment horizontal="center" wrapText="1"/>
    </xf>
    <xf numFmtId="0" fontId="63" fillId="30" borderId="14" xfId="790" applyFont="1" applyFill="1" applyBorder="1" applyAlignment="1">
      <alignment horizontal="center" wrapText="1"/>
    </xf>
    <xf numFmtId="0" fontId="63" fillId="30" borderId="25" xfId="790" applyFont="1" applyFill="1" applyBorder="1" applyAlignment="1">
      <alignment horizontal="center" wrapText="1"/>
    </xf>
    <xf numFmtId="0" fontId="86" fillId="0" borderId="0" xfId="781"/>
    <xf numFmtId="0" fontId="2" fillId="0" borderId="23" xfId="790" applyFont="1" applyBorder="1" applyAlignment="1">
      <alignment horizontal="center"/>
    </xf>
    <xf numFmtId="3" fontId="87" fillId="29" borderId="59" xfId="790" applyNumberFormat="1" applyFont="1" applyFill="1" applyBorder="1" applyAlignment="1">
      <alignment horizontal="right" indent="4"/>
    </xf>
    <xf numFmtId="3" fontId="66" fillId="0" borderId="18" xfId="790" applyNumberFormat="1" applyFont="1" applyBorder="1"/>
    <xf numFmtId="9" fontId="40" fillId="0" borderId="57" xfId="790" applyNumberFormat="1" applyFont="1" applyBorder="1" applyAlignment="1">
      <alignment horizontal="center"/>
    </xf>
    <xf numFmtId="0" fontId="2" fillId="0" borderId="21" xfId="790" applyFont="1" applyBorder="1" applyAlignment="1">
      <alignment horizontal="center"/>
    </xf>
    <xf numFmtId="3" fontId="66" fillId="0" borderId="17" xfId="790" applyNumberFormat="1" applyFont="1" applyBorder="1"/>
    <xf numFmtId="9" fontId="40" fillId="0" borderId="53" xfId="790" applyNumberFormat="1" applyFont="1" applyBorder="1" applyAlignment="1">
      <alignment horizontal="center"/>
    </xf>
    <xf numFmtId="3" fontId="40" fillId="30" borderId="22" xfId="790" applyNumberFormat="1" applyFont="1" applyFill="1" applyBorder="1" applyAlignment="1">
      <alignment horizontal="right" indent="4"/>
    </xf>
    <xf numFmtId="3" fontId="40" fillId="30" borderId="22" xfId="790" applyNumberFormat="1" applyFont="1" applyFill="1" applyBorder="1"/>
    <xf numFmtId="9" fontId="40" fillId="30" borderId="62" xfId="790" applyNumberFormat="1" applyFont="1" applyFill="1" applyBorder="1" applyAlignment="1">
      <alignment horizontal="center"/>
    </xf>
    <xf numFmtId="3" fontId="10" fillId="0" borderId="0" xfId="790" applyNumberFormat="1"/>
    <xf numFmtId="0" fontId="2" fillId="0" borderId="0" xfId="790" applyFont="1"/>
    <xf numFmtId="3" fontId="10" fillId="0" borderId="0" xfId="781" applyNumberFormat="1" applyFont="1"/>
    <xf numFmtId="0" fontId="51" fillId="0" borderId="0" xfId="790" applyFont="1" applyBorder="1"/>
    <xf numFmtId="0" fontId="86" fillId="0" borderId="0" xfId="781" applyBorder="1"/>
    <xf numFmtId="0" fontId="6" fillId="30" borderId="55" xfId="790" applyFont="1" applyFill="1" applyBorder="1" applyAlignment="1">
      <alignment horizontal="center" wrapText="1"/>
    </xf>
    <xf numFmtId="0" fontId="6" fillId="30" borderId="49" xfId="790" applyFont="1" applyFill="1" applyBorder="1" applyAlignment="1">
      <alignment horizontal="center" wrapText="1"/>
    </xf>
    <xf numFmtId="0" fontId="6" fillId="30" borderId="49" xfId="790" applyFont="1" applyFill="1" applyBorder="1"/>
    <xf numFmtId="0" fontId="6" fillId="30" borderId="43" xfId="790" applyFont="1" applyFill="1" applyBorder="1" applyAlignment="1">
      <alignment horizontal="center" wrapText="1"/>
    </xf>
    <xf numFmtId="3" fontId="63" fillId="30" borderId="14" xfId="790" applyNumberFormat="1" applyFont="1" applyFill="1" applyBorder="1" applyAlignment="1">
      <alignment horizontal="center"/>
    </xf>
    <xf numFmtId="3" fontId="10" fillId="30" borderId="14" xfId="790" applyNumberFormat="1" applyFont="1" applyFill="1" applyBorder="1"/>
    <xf numFmtId="9" fontId="63" fillId="30" borderId="14" xfId="790" applyNumberFormat="1" applyFont="1" applyFill="1" applyBorder="1" applyAlignment="1">
      <alignment horizontal="center"/>
    </xf>
    <xf numFmtId="3" fontId="63" fillId="30" borderId="25" xfId="790" applyNumberFormat="1" applyFont="1" applyFill="1" applyBorder="1" applyAlignment="1">
      <alignment horizontal="center"/>
    </xf>
    <xf numFmtId="0" fontId="2" fillId="0" borderId="27" xfId="790" applyFont="1" applyBorder="1" applyAlignment="1">
      <alignment horizontal="center"/>
    </xf>
    <xf numFmtId="3" fontId="87" fillId="29" borderId="28" xfId="790" applyNumberFormat="1" applyFont="1" applyFill="1" applyBorder="1" applyAlignment="1">
      <alignment horizontal="right" indent="4"/>
    </xf>
    <xf numFmtId="3" fontId="87" fillId="29" borderId="28" xfId="790" applyNumberFormat="1" applyFont="1" applyFill="1" applyBorder="1"/>
    <xf numFmtId="3" fontId="87" fillId="29" borderId="17" xfId="790" applyNumberFormat="1" applyFont="1" applyFill="1" applyBorder="1"/>
    <xf numFmtId="3" fontId="87" fillId="29" borderId="17" xfId="790" applyNumberFormat="1" applyFont="1" applyFill="1" applyBorder="1" applyAlignment="1">
      <alignment horizontal="right" indent="4"/>
    </xf>
    <xf numFmtId="3" fontId="88" fillId="30" borderId="22" xfId="790" applyNumberFormat="1" applyFont="1" applyFill="1" applyBorder="1" applyAlignment="1">
      <alignment horizontal="right" indent="4"/>
    </xf>
    <xf numFmtId="3" fontId="88" fillId="30" borderId="22" xfId="790" applyNumberFormat="1" applyFont="1" applyFill="1" applyBorder="1"/>
    <xf numFmtId="0" fontId="11" fillId="0" borderId="0" xfId="790" applyFont="1"/>
    <xf numFmtId="2" fontId="10" fillId="0" borderId="0" xfId="790" applyNumberFormat="1"/>
    <xf numFmtId="3" fontId="39" fillId="0" borderId="17" xfId="792" quotePrefix="1" applyFont="1" applyFill="1" applyBorder="1" applyAlignment="1">
      <alignment vertical="center" wrapText="1"/>
    </xf>
    <xf numFmtId="0" fontId="90" fillId="29" borderId="0" xfId="472" applyFont="1" applyFill="1" applyAlignment="1">
      <alignment horizontal="center" vertical="center"/>
    </xf>
    <xf numFmtId="0" fontId="89" fillId="29" borderId="0" xfId="472" applyFont="1" applyFill="1" applyAlignment="1">
      <alignment horizontal="center" vertical="center"/>
    </xf>
    <xf numFmtId="166" fontId="8" fillId="0" borderId="0" xfId="818" applyNumberFormat="1" applyFont="1" applyBorder="1"/>
    <xf numFmtId="170" fontId="8" fillId="0" borderId="0" xfId="818" applyNumberFormat="1" applyFont="1"/>
    <xf numFmtId="166" fontId="40" fillId="0" borderId="0" xfId="818" applyNumberFormat="1" applyFont="1" applyAlignment="1">
      <alignment horizontal="left"/>
    </xf>
    <xf numFmtId="166" fontId="28" fillId="0" borderId="0" xfId="818" applyNumberFormat="1" applyFont="1"/>
    <xf numFmtId="166" fontId="9" fillId="31" borderId="63" xfId="818" applyNumberFormat="1" applyFont="1" applyFill="1" applyBorder="1" applyAlignment="1">
      <alignment horizontal="center" wrapText="1"/>
    </xf>
    <xf numFmtId="166" fontId="38" fillId="0" borderId="0" xfId="818" applyNumberFormat="1" applyFont="1" applyFill="1" applyBorder="1" applyAlignment="1">
      <alignment vertical="center"/>
    </xf>
    <xf numFmtId="166" fontId="2" fillId="0" borderId="0" xfId="818" applyNumberFormat="1" applyFont="1"/>
    <xf numFmtId="17" fontId="73" fillId="0" borderId="0" xfId="0" quotePrefix="1" applyNumberFormat="1" applyFont="1" applyAlignment="1">
      <alignment horizontal="left"/>
    </xf>
    <xf numFmtId="0" fontId="91" fillId="0" borderId="0" xfId="0" applyFont="1" applyBorder="1" applyAlignment="1"/>
    <xf numFmtId="0" fontId="56" fillId="0" borderId="0" xfId="0" applyFont="1"/>
    <xf numFmtId="1" fontId="8" fillId="0" borderId="0" xfId="0" applyNumberFormat="1" applyFont="1" applyBorder="1"/>
    <xf numFmtId="0" fontId="10" fillId="0" borderId="0" xfId="781" applyFont="1" applyBorder="1"/>
    <xf numFmtId="3" fontId="16" fillId="0" borderId="0" xfId="790" applyNumberFormat="1" applyFont="1" applyBorder="1" applyAlignment="1"/>
    <xf numFmtId="0" fontId="16" fillId="0" borderId="0" xfId="790" applyFont="1" applyAlignment="1"/>
    <xf numFmtId="0" fontId="81" fillId="0" borderId="0" xfId="790" applyFont="1"/>
    <xf numFmtId="0" fontId="92" fillId="0" borderId="0" xfId="790" applyFont="1" applyFill="1"/>
    <xf numFmtId="0" fontId="10" fillId="0" borderId="0" xfId="790" applyAlignment="1">
      <alignment vertical="center"/>
    </xf>
    <xf numFmtId="3" fontId="2" fillId="0" borderId="54" xfId="790" applyNumberFormat="1" applyFont="1" applyBorder="1" applyAlignment="1">
      <alignment horizontal="left" vertical="center" wrapText="1"/>
    </xf>
    <xf numFmtId="3" fontId="28" fillId="0" borderId="0" xfId="790" applyNumberFormat="1" applyFont="1" applyBorder="1" applyAlignment="1">
      <alignment horizontal="center" vertical="center"/>
    </xf>
    <xf numFmtId="3" fontId="2" fillId="0" borderId="24" xfId="790" applyNumberFormat="1" applyFont="1" applyBorder="1" applyAlignment="1">
      <alignment horizontal="center" vertical="center"/>
    </xf>
    <xf numFmtId="3" fontId="5" fillId="0" borderId="17" xfId="0" applyNumberFormat="1" applyFont="1" applyFill="1" applyBorder="1"/>
    <xf numFmtId="0" fontId="4" fillId="32" borderId="0" xfId="0" applyFont="1" applyFill="1"/>
    <xf numFmtId="0" fontId="8" fillId="32" borderId="49" xfId="0" applyFont="1" applyFill="1" applyBorder="1"/>
    <xf numFmtId="3" fontId="33" fillId="32" borderId="0" xfId="792" applyFont="1" applyFill="1" applyBorder="1">
      <alignment vertical="center" wrapText="1"/>
    </xf>
    <xf numFmtId="168" fontId="33" fillId="32" borderId="0" xfId="792" applyNumberFormat="1" applyFont="1" applyFill="1" applyBorder="1">
      <alignment vertical="center" wrapText="1"/>
    </xf>
    <xf numFmtId="4" fontId="33" fillId="32" borderId="0" xfId="792" applyNumberFormat="1" applyFont="1" applyFill="1" applyBorder="1" applyAlignment="1">
      <alignment horizontal="center" vertical="center" wrapText="1"/>
    </xf>
    <xf numFmtId="168" fontId="12" fillId="32" borderId="0" xfId="792" applyNumberFormat="1" applyFont="1" applyFill="1" applyBorder="1" applyAlignment="1">
      <alignment horizontal="center" vertical="center" wrapText="1"/>
    </xf>
    <xf numFmtId="3" fontId="29" fillId="32" borderId="0" xfId="797" applyNumberFormat="1" applyFont="1" applyFill="1" applyBorder="1"/>
    <xf numFmtId="3" fontId="23" fillId="32" borderId="0" xfId="797" applyNumberFormat="1" applyFont="1" applyFill="1" applyBorder="1"/>
    <xf numFmtId="0" fontId="8" fillId="32" borderId="0" xfId="0" applyFont="1" applyFill="1"/>
    <xf numFmtId="0" fontId="8" fillId="32" borderId="0" xfId="0" applyFont="1" applyFill="1" applyBorder="1"/>
    <xf numFmtId="3" fontId="8" fillId="32" borderId="0" xfId="0" applyNumberFormat="1" applyFont="1" applyFill="1" applyBorder="1"/>
    <xf numFmtId="4" fontId="17" fillId="0" borderId="0" xfId="0" applyNumberFormat="1" applyFont="1"/>
    <xf numFmtId="0" fontId="16" fillId="30" borderId="64" xfId="790" applyFont="1" applyFill="1" applyBorder="1" applyAlignment="1">
      <alignment horizontal="center"/>
    </xf>
    <xf numFmtId="3" fontId="49" fillId="29" borderId="37" xfId="0" applyNumberFormat="1" applyFont="1" applyFill="1" applyBorder="1" applyAlignment="1">
      <alignment horizontal="right" wrapText="1"/>
    </xf>
    <xf numFmtId="3" fontId="49" fillId="29" borderId="65" xfId="0" applyNumberFormat="1" applyFont="1" applyFill="1" applyBorder="1" applyAlignment="1">
      <alignment horizontal="right" wrapText="1"/>
    </xf>
    <xf numFmtId="3" fontId="49" fillId="29" borderId="66" xfId="0" applyNumberFormat="1" applyFont="1" applyFill="1" applyBorder="1" applyAlignment="1">
      <alignment horizontal="right" wrapText="1"/>
    </xf>
    <xf numFmtId="3" fontId="49" fillId="29" borderId="20" xfId="0" applyNumberFormat="1" applyFont="1" applyFill="1" applyBorder="1" applyAlignment="1">
      <alignment horizontal="right" wrapText="1"/>
    </xf>
    <xf numFmtId="3" fontId="49" fillId="29" borderId="67" xfId="0" applyNumberFormat="1" applyFont="1" applyFill="1" applyBorder="1" applyAlignment="1">
      <alignment horizontal="right" wrapText="1"/>
    </xf>
    <xf numFmtId="3" fontId="49" fillId="29" borderId="68" xfId="0" applyNumberFormat="1" applyFont="1" applyFill="1" applyBorder="1" applyAlignment="1">
      <alignment horizontal="right" wrapText="1"/>
    </xf>
    <xf numFmtId="3" fontId="49" fillId="29" borderId="69" xfId="0" applyNumberFormat="1" applyFont="1" applyFill="1" applyBorder="1" applyAlignment="1">
      <alignment horizontal="right" wrapText="1"/>
    </xf>
    <xf numFmtId="3" fontId="47" fillId="0" borderId="28" xfId="797" applyNumberFormat="1" applyFont="1" applyFill="1" applyBorder="1" applyAlignment="1">
      <alignment horizontal="right"/>
    </xf>
    <xf numFmtId="3" fontId="47" fillId="0" borderId="70" xfId="797" applyNumberFormat="1" applyFont="1" applyFill="1" applyBorder="1" applyAlignment="1">
      <alignment horizontal="right"/>
    </xf>
    <xf numFmtId="3" fontId="47" fillId="0" borderId="71" xfId="782" applyNumberFormat="1" applyFont="1" applyFill="1" applyBorder="1"/>
    <xf numFmtId="3" fontId="49" fillId="29" borderId="72" xfId="0" applyNumberFormat="1" applyFont="1" applyFill="1" applyBorder="1" applyAlignment="1">
      <alignment horizontal="right" wrapText="1"/>
    </xf>
    <xf numFmtId="0" fontId="49" fillId="29" borderId="19" xfId="0" applyFont="1" applyFill="1" applyBorder="1" applyAlignment="1">
      <alignment horizontal="right" wrapText="1"/>
    </xf>
    <xf numFmtId="0" fontId="49" fillId="29" borderId="68" xfId="0" applyFont="1" applyFill="1" applyBorder="1" applyAlignment="1">
      <alignment horizontal="right" wrapText="1"/>
    </xf>
    <xf numFmtId="0" fontId="49" fillId="29" borderId="72" xfId="0" applyFont="1" applyFill="1" applyBorder="1" applyAlignment="1">
      <alignment horizontal="right" wrapText="1"/>
    </xf>
    <xf numFmtId="3" fontId="49" fillId="29" borderId="19" xfId="0" applyNumberFormat="1" applyFont="1" applyFill="1" applyBorder="1" applyAlignment="1">
      <alignment horizontal="right" wrapText="1"/>
    </xf>
    <xf numFmtId="3" fontId="47" fillId="29" borderId="70" xfId="797" applyNumberFormat="1" applyFont="1" applyFill="1" applyBorder="1" applyAlignment="1">
      <alignment horizontal="right"/>
    </xf>
    <xf numFmtId="3" fontId="49" fillId="29" borderId="26" xfId="0" applyNumberFormat="1" applyFont="1" applyFill="1" applyBorder="1" applyAlignment="1">
      <alignment horizontal="right" wrapText="1"/>
    </xf>
    <xf numFmtId="3" fontId="49" fillId="29" borderId="73" xfId="0" applyNumberFormat="1" applyFont="1" applyFill="1" applyBorder="1" applyAlignment="1">
      <alignment horizontal="right" wrapText="1"/>
    </xf>
    <xf numFmtId="3" fontId="49" fillId="29" borderId="74" xfId="0" applyNumberFormat="1" applyFont="1" applyFill="1" applyBorder="1" applyAlignment="1">
      <alignment horizontal="right" wrapText="1"/>
    </xf>
    <xf numFmtId="3" fontId="47" fillId="0" borderId="26" xfId="797" applyNumberFormat="1" applyFont="1" applyFill="1" applyBorder="1" applyAlignment="1">
      <alignment horizontal="right"/>
    </xf>
    <xf numFmtId="3" fontId="47" fillId="0" borderId="51" xfId="797" applyNumberFormat="1" applyFont="1" applyFill="1" applyBorder="1" applyAlignment="1">
      <alignment horizontal="right"/>
    </xf>
    <xf numFmtId="3" fontId="49" fillId="29" borderId="75" xfId="0" applyNumberFormat="1" applyFont="1" applyFill="1" applyBorder="1" applyAlignment="1">
      <alignment horizontal="right" wrapText="1"/>
    </xf>
    <xf numFmtId="3" fontId="47" fillId="0" borderId="17" xfId="797" applyNumberFormat="1" applyFont="1" applyFill="1" applyBorder="1" applyAlignment="1">
      <alignment horizontal="right"/>
    </xf>
    <xf numFmtId="3" fontId="47" fillId="0" borderId="50" xfId="797" applyNumberFormat="1" applyFont="1" applyFill="1" applyBorder="1" applyAlignment="1">
      <alignment horizontal="right"/>
    </xf>
    <xf numFmtId="0" fontId="17" fillId="29" borderId="72" xfId="0" applyFont="1" applyFill="1" applyBorder="1" applyAlignment="1">
      <alignment horizontal="right" wrapText="1"/>
    </xf>
    <xf numFmtId="3" fontId="17" fillId="29" borderId="19" xfId="783" applyNumberFormat="1" applyFont="1" applyFill="1" applyBorder="1"/>
    <xf numFmtId="3" fontId="42" fillId="30" borderId="14" xfId="0" applyNumberFormat="1" applyFont="1" applyFill="1" applyBorder="1"/>
    <xf numFmtId="3" fontId="42" fillId="30" borderId="30" xfId="0" applyNumberFormat="1" applyFont="1" applyFill="1" applyBorder="1"/>
    <xf numFmtId="3" fontId="42" fillId="30" borderId="56" xfId="0" applyNumberFormat="1" applyFont="1" applyFill="1" applyBorder="1"/>
    <xf numFmtId="3" fontId="42" fillId="30" borderId="16" xfId="0" applyNumberFormat="1" applyFont="1" applyFill="1" applyBorder="1"/>
    <xf numFmtId="3" fontId="42" fillId="30" borderId="76" xfId="0" applyNumberFormat="1" applyFont="1" applyFill="1" applyBorder="1"/>
    <xf numFmtId="3" fontId="17" fillId="0" borderId="67" xfId="782" applyNumberFormat="1" applyFont="1" applyFill="1" applyBorder="1"/>
    <xf numFmtId="3" fontId="47" fillId="0" borderId="19" xfId="782" applyNumberFormat="1" applyFont="1" applyBorder="1"/>
    <xf numFmtId="3" fontId="17" fillId="0" borderId="65" xfId="782" applyNumberFormat="1" applyFont="1" applyFill="1" applyBorder="1"/>
    <xf numFmtId="1" fontId="17" fillId="0" borderId="66" xfId="818" applyNumberFormat="1" applyFont="1" applyFill="1" applyBorder="1"/>
    <xf numFmtId="3" fontId="17" fillId="0" borderId="68" xfId="782" applyNumberFormat="1" applyFont="1" applyFill="1" applyBorder="1"/>
    <xf numFmtId="3" fontId="47" fillId="29" borderId="65" xfId="782" applyNumberFormat="1" applyFont="1" applyFill="1" applyBorder="1"/>
    <xf numFmtId="1" fontId="17" fillId="0" borderId="65" xfId="818" applyNumberFormat="1" applyFont="1" applyFill="1" applyBorder="1"/>
    <xf numFmtId="3" fontId="42" fillId="30" borderId="26" xfId="0" applyNumberFormat="1" applyFont="1" applyFill="1" applyBorder="1"/>
    <xf numFmtId="3" fontId="42" fillId="30" borderId="77" xfId="0" applyNumberFormat="1" applyFont="1" applyFill="1" applyBorder="1"/>
    <xf numFmtId="3" fontId="42" fillId="30" borderId="73" xfId="0" applyNumberFormat="1" applyFont="1" applyFill="1" applyBorder="1"/>
    <xf numFmtId="0" fontId="47" fillId="0" borderId="0" xfId="0" applyFont="1" applyFill="1"/>
    <xf numFmtId="170" fontId="47" fillId="0" borderId="0" xfId="818" applyNumberFormat="1" applyFont="1" applyFill="1"/>
    <xf numFmtId="166" fontId="47" fillId="0" borderId="0" xfId="0" applyNumberFormat="1" applyFont="1" applyFill="1"/>
    <xf numFmtId="3" fontId="47" fillId="0" borderId="37" xfId="782" applyNumberFormat="1" applyFont="1" applyBorder="1"/>
    <xf numFmtId="0" fontId="40" fillId="0" borderId="0" xfId="0" applyFont="1"/>
    <xf numFmtId="17" fontId="65" fillId="0" borderId="0" xfId="0" quotePrefix="1" applyNumberFormat="1" applyFont="1" applyAlignment="1"/>
    <xf numFmtId="0" fontId="17" fillId="30" borderId="0" xfId="0" applyFont="1" applyFill="1"/>
    <xf numFmtId="0" fontId="66" fillId="30" borderId="0" xfId="0" applyFont="1" applyFill="1" applyAlignment="1">
      <alignment wrapText="1"/>
    </xf>
    <xf numFmtId="0" fontId="42" fillId="30" borderId="37" xfId="0" applyNumberFormat="1" applyFont="1" applyFill="1" applyBorder="1" applyAlignment="1">
      <alignment horizontal="center"/>
    </xf>
    <xf numFmtId="0" fontId="42" fillId="0" borderId="78" xfId="0" applyNumberFormat="1" applyFont="1" applyBorder="1"/>
    <xf numFmtId="3" fontId="17" fillId="29" borderId="41" xfId="0" applyNumberFormat="1" applyFont="1" applyFill="1" applyBorder="1" applyAlignment="1">
      <alignment horizontal="right" wrapText="1"/>
    </xf>
    <xf numFmtId="3" fontId="17" fillId="29" borderId="75" xfId="0" applyNumberFormat="1" applyFont="1" applyFill="1" applyBorder="1" applyAlignment="1">
      <alignment horizontal="right" wrapText="1"/>
    </xf>
    <xf numFmtId="1" fontId="17" fillId="29" borderId="70" xfId="0" applyNumberFormat="1" applyFont="1" applyFill="1" applyBorder="1" applyAlignment="1">
      <alignment horizontal="right" wrapText="1"/>
    </xf>
    <xf numFmtId="3" fontId="66" fillId="0" borderId="0" xfId="0" applyNumberFormat="1" applyFont="1" applyFill="1"/>
    <xf numFmtId="3" fontId="17" fillId="0" borderId="0" xfId="0" applyNumberFormat="1" applyFont="1" applyFill="1" applyBorder="1" applyAlignment="1" applyProtection="1">
      <alignment horizontal="right" indent="2"/>
    </xf>
    <xf numFmtId="3" fontId="17" fillId="0" borderId="0" xfId="0" applyNumberFormat="1" applyFont="1" applyFill="1"/>
    <xf numFmtId="3" fontId="88" fillId="30" borderId="19" xfId="187" quotePrefix="1" applyNumberFormat="1" applyFont="1" applyFill="1" applyBorder="1" applyAlignment="1">
      <alignment horizontal="center" vertical="center"/>
    </xf>
    <xf numFmtId="3" fontId="88" fillId="0" borderId="79" xfId="792" quotePrefix="1" applyFont="1" applyFill="1" applyBorder="1" applyAlignment="1">
      <alignment vertical="center"/>
    </xf>
    <xf numFmtId="3" fontId="17" fillId="29" borderId="38" xfId="0" applyNumberFormat="1" applyFont="1" applyFill="1" applyBorder="1" applyAlignment="1">
      <alignment horizontal="right" wrapText="1"/>
    </xf>
    <xf numFmtId="3" fontId="17" fillId="29" borderId="80" xfId="0" applyNumberFormat="1" applyFont="1" applyFill="1" applyBorder="1" applyAlignment="1">
      <alignment horizontal="right" wrapText="1"/>
    </xf>
    <xf numFmtId="1" fontId="17" fillId="29" borderId="50" xfId="0" applyNumberFormat="1" applyFont="1" applyFill="1" applyBorder="1" applyAlignment="1">
      <alignment horizontal="right" wrapText="1"/>
    </xf>
    <xf numFmtId="3" fontId="88" fillId="30" borderId="19" xfId="187" applyNumberFormat="1" applyFont="1" applyFill="1" applyBorder="1" applyAlignment="1">
      <alignment horizontal="center" vertical="center"/>
    </xf>
    <xf numFmtId="3" fontId="88" fillId="0" borderId="79" xfId="792" applyFont="1" applyFill="1" applyBorder="1" applyAlignment="1">
      <alignment vertical="center"/>
    </xf>
    <xf numFmtId="3" fontId="66" fillId="29" borderId="80" xfId="783" applyNumberFormat="1" applyFont="1" applyFill="1" applyBorder="1"/>
    <xf numFmtId="3" fontId="66" fillId="29" borderId="50" xfId="783" applyNumberFormat="1" applyFont="1" applyFill="1" applyBorder="1"/>
    <xf numFmtId="0" fontId="66" fillId="0" borderId="0" xfId="0" applyFont="1"/>
    <xf numFmtId="168" fontId="16" fillId="0" borderId="0" xfId="0" applyNumberFormat="1" applyFont="1" applyBorder="1"/>
    <xf numFmtId="3" fontId="17" fillId="29" borderId="0" xfId="0" applyNumberFormat="1" applyFont="1" applyFill="1" applyBorder="1" applyAlignment="1">
      <alignment horizontal="right" wrapText="1"/>
    </xf>
    <xf numFmtId="0" fontId="40" fillId="0" borderId="0" xfId="0" applyFont="1" applyBorder="1"/>
    <xf numFmtId="17" fontId="42" fillId="0" borderId="0" xfId="0" quotePrefix="1" applyNumberFormat="1" applyFont="1" applyAlignment="1">
      <alignment horizontal="right"/>
    </xf>
    <xf numFmtId="0" fontId="17" fillId="29" borderId="0" xfId="0" applyFont="1" applyFill="1"/>
    <xf numFmtId="0" fontId="117" fillId="0" borderId="0" xfId="0" applyFont="1"/>
    <xf numFmtId="0" fontId="40" fillId="0" borderId="27" xfId="0" applyFont="1" applyBorder="1"/>
    <xf numFmtId="0" fontId="17" fillId="0" borderId="28" xfId="0" applyFont="1" applyFill="1" applyBorder="1" applyAlignment="1">
      <alignment vertical="center" wrapText="1"/>
    </xf>
    <xf numFmtId="3" fontId="49" fillId="0" borderId="28" xfId="818" applyNumberFormat="1" applyFont="1" applyFill="1" applyBorder="1" applyAlignment="1">
      <alignment horizontal="right" vertical="center"/>
    </xf>
    <xf numFmtId="4" fontId="75" fillId="0" borderId="28" xfId="818" applyNumberFormat="1" applyFont="1" applyFill="1" applyBorder="1" applyAlignment="1">
      <alignment horizontal="right" vertical="center"/>
    </xf>
    <xf numFmtId="3" fontId="49" fillId="0" borderId="70" xfId="818" applyNumberFormat="1" applyFont="1" applyFill="1" applyBorder="1" applyAlignment="1">
      <alignment horizontal="right" vertical="center"/>
    </xf>
    <xf numFmtId="4" fontId="75" fillId="0" borderId="75" xfId="818" applyNumberFormat="1" applyFont="1" applyFill="1" applyBorder="1" applyAlignment="1">
      <alignment horizontal="right" vertical="center"/>
    </xf>
    <xf numFmtId="3" fontId="49" fillId="0" borderId="81" xfId="818" applyNumberFormat="1" applyFont="1" applyFill="1" applyBorder="1" applyAlignment="1">
      <alignment horizontal="right" vertical="center"/>
    </xf>
    <xf numFmtId="4" fontId="75" fillId="0" borderId="82" xfId="818" applyNumberFormat="1" applyFont="1" applyFill="1" applyBorder="1" applyAlignment="1">
      <alignment horizontal="right" vertical="center"/>
    </xf>
    <xf numFmtId="0" fontId="40" fillId="0" borderId="21" xfId="0" applyFont="1" applyBorder="1"/>
    <xf numFmtId="0" fontId="17" fillId="0" borderId="17" xfId="0" applyFont="1" applyFill="1" applyBorder="1" applyAlignment="1">
      <alignment vertical="center" wrapText="1"/>
    </xf>
    <xf numFmtId="3" fontId="49" fillId="0" borderId="17" xfId="818" applyNumberFormat="1" applyFont="1" applyFill="1" applyBorder="1" applyAlignment="1">
      <alignment horizontal="right" vertical="center"/>
    </xf>
    <xf numFmtId="3" fontId="49" fillId="0" borderId="50" xfId="818" applyNumberFormat="1" applyFont="1" applyFill="1" applyBorder="1" applyAlignment="1">
      <alignment horizontal="right" vertical="center"/>
    </xf>
    <xf numFmtId="4" fontId="75" fillId="0" borderId="80" xfId="818" applyNumberFormat="1" applyFont="1" applyFill="1" applyBorder="1" applyAlignment="1">
      <alignment horizontal="right" vertical="center"/>
    </xf>
    <xf numFmtId="4" fontId="75" fillId="0" borderId="17" xfId="818" applyNumberFormat="1" applyFont="1" applyFill="1" applyBorder="1" applyAlignment="1">
      <alignment horizontal="right" vertical="center"/>
    </xf>
    <xf numFmtId="0" fontId="40" fillId="0" borderId="21" xfId="0" applyFont="1" applyBorder="1" applyAlignment="1">
      <alignment wrapText="1"/>
    </xf>
    <xf numFmtId="0" fontId="17" fillId="0" borderId="17" xfId="0" quotePrefix="1" applyFont="1" applyFill="1" applyBorder="1" applyAlignment="1">
      <alignment vertical="center" wrapText="1"/>
    </xf>
    <xf numFmtId="0" fontId="120" fillId="0" borderId="0" xfId="0" applyFont="1" applyBorder="1" applyAlignment="1">
      <alignment horizontal="left" vertical="center" wrapText="1"/>
    </xf>
    <xf numFmtId="17" fontId="42" fillId="0" borderId="49" xfId="0" quotePrefix="1" applyNumberFormat="1" applyFont="1" applyBorder="1" applyAlignment="1">
      <alignment horizontal="right"/>
    </xf>
    <xf numFmtId="3" fontId="17" fillId="0" borderId="28" xfId="0" applyNumberFormat="1" applyFont="1" applyBorder="1"/>
    <xf numFmtId="168" fontId="16" fillId="0" borderId="28" xfId="0" applyNumberFormat="1" applyFont="1" applyBorder="1"/>
    <xf numFmtId="168" fontId="16" fillId="0" borderId="75" xfId="0" applyNumberFormat="1" applyFont="1" applyBorder="1" applyAlignment="1">
      <alignment horizontal="right"/>
    </xf>
    <xf numFmtId="3" fontId="17" fillId="0" borderId="70" xfId="0" applyNumberFormat="1" applyFont="1" applyBorder="1" applyAlignment="1">
      <alignment horizontal="right"/>
    </xf>
    <xf numFmtId="168" fontId="16" fillId="0" borderId="28" xfId="0" applyNumberFormat="1" applyFont="1" applyBorder="1" applyAlignment="1">
      <alignment horizontal="right"/>
    </xf>
    <xf numFmtId="168" fontId="16" fillId="0" borderId="80" xfId="0" applyNumberFormat="1" applyFont="1" applyBorder="1" applyAlignment="1">
      <alignment horizontal="right"/>
    </xf>
    <xf numFmtId="3" fontId="17" fillId="0" borderId="50" xfId="0" applyNumberFormat="1" applyFont="1" applyBorder="1" applyAlignment="1">
      <alignment horizontal="right"/>
    </xf>
    <xf numFmtId="168" fontId="16" fillId="0" borderId="17" xfId="0" applyNumberFormat="1" applyFont="1" applyBorder="1" applyAlignment="1">
      <alignment horizontal="right"/>
    </xf>
    <xf numFmtId="3" fontId="17" fillId="0" borderId="59" xfId="0" applyNumberFormat="1" applyFont="1" applyBorder="1"/>
    <xf numFmtId="168" fontId="16" fillId="0" borderId="59" xfId="0" applyNumberFormat="1" applyFont="1" applyBorder="1"/>
    <xf numFmtId="3" fontId="49" fillId="0" borderId="50" xfId="818" applyNumberFormat="1" applyFont="1" applyFill="1" applyBorder="1" applyAlignment="1">
      <alignment horizontal="right"/>
    </xf>
    <xf numFmtId="168" fontId="16" fillId="0" borderId="83" xfId="0" applyNumberFormat="1" applyFont="1" applyBorder="1" applyAlignment="1">
      <alignment horizontal="right"/>
    </xf>
    <xf numFmtId="3" fontId="17" fillId="0" borderId="84" xfId="0" applyNumberFormat="1" applyFont="1" applyBorder="1" applyAlignment="1">
      <alignment horizontal="right"/>
    </xf>
    <xf numFmtId="0" fontId="16" fillId="0" borderId="0" xfId="0" applyFont="1"/>
    <xf numFmtId="3" fontId="17" fillId="0" borderId="0" xfId="0" applyNumberFormat="1" applyFont="1" applyBorder="1"/>
    <xf numFmtId="168" fontId="16" fillId="0" borderId="59" xfId="0" applyNumberFormat="1" applyFont="1" applyBorder="1" applyAlignment="1">
      <alignment horizontal="right"/>
    </xf>
    <xf numFmtId="3" fontId="16" fillId="0" borderId="0" xfId="0" applyNumberFormat="1" applyFont="1" applyBorder="1"/>
    <xf numFmtId="4" fontId="16" fillId="0" borderId="0" xfId="0" applyNumberFormat="1" applyFont="1" applyBorder="1" applyAlignment="1">
      <alignment horizontal="right"/>
    </xf>
    <xf numFmtId="168" fontId="16" fillId="0" borderId="0" xfId="0" applyNumberFormat="1" applyFont="1" applyBorder="1" applyAlignment="1">
      <alignment horizontal="right"/>
    </xf>
    <xf numFmtId="3" fontId="16" fillId="0" borderId="0" xfId="0" applyNumberFormat="1" applyFont="1" applyFill="1" applyBorder="1"/>
    <xf numFmtId="3" fontId="47" fillId="0" borderId="28" xfId="0" applyNumberFormat="1" applyFont="1" applyBorder="1"/>
    <xf numFmtId="4" fontId="42" fillId="0" borderId="75" xfId="0" applyNumberFormat="1" applyFont="1" applyBorder="1"/>
    <xf numFmtId="3" fontId="47" fillId="0" borderId="70" xfId="0" applyNumberFormat="1" applyFont="1" applyBorder="1"/>
    <xf numFmtId="3" fontId="47" fillId="0" borderId="28" xfId="0" applyNumberFormat="1" applyFont="1" applyFill="1" applyBorder="1"/>
    <xf numFmtId="3" fontId="47" fillId="0" borderId="70" xfId="0" applyNumberFormat="1" applyFont="1" applyFill="1" applyBorder="1"/>
    <xf numFmtId="3" fontId="47" fillId="0" borderId="17" xfId="0" applyNumberFormat="1" applyFont="1" applyBorder="1"/>
    <xf numFmtId="4" fontId="42" fillId="0" borderId="80" xfId="0" applyNumberFormat="1" applyFont="1" applyBorder="1"/>
    <xf numFmtId="3" fontId="47" fillId="0" borderId="50" xfId="0" applyNumberFormat="1" applyFont="1" applyBorder="1"/>
    <xf numFmtId="3" fontId="47" fillId="0" borderId="17" xfId="0" applyNumberFormat="1" applyFont="1" applyFill="1" applyBorder="1"/>
    <xf numFmtId="3" fontId="47" fillId="0" borderId="50" xfId="0" applyNumberFormat="1" applyFont="1" applyFill="1" applyBorder="1"/>
    <xf numFmtId="3" fontId="49" fillId="0" borderId="50" xfId="818" applyNumberFormat="1" applyFont="1" applyFill="1" applyBorder="1" applyAlignment="1">
      <alignment horizontal="center" vertical="center"/>
    </xf>
    <xf numFmtId="3" fontId="47" fillId="0" borderId="85" xfId="0" applyNumberFormat="1" applyFont="1" applyFill="1" applyBorder="1" applyAlignment="1">
      <alignment horizontal="center"/>
    </xf>
    <xf numFmtId="3" fontId="47" fillId="0" borderId="0" xfId="0" applyNumberFormat="1" applyFont="1" applyFill="1" applyBorder="1" applyAlignment="1">
      <alignment horizontal="center"/>
    </xf>
    <xf numFmtId="3" fontId="47" fillId="0" borderId="0" xfId="0" applyNumberFormat="1" applyFont="1" applyFill="1" applyBorder="1"/>
    <xf numFmtId="0" fontId="40" fillId="0" borderId="58" xfId="0" applyFont="1" applyBorder="1"/>
    <xf numFmtId="3" fontId="47" fillId="0" borderId="59" xfId="0" applyNumberFormat="1" applyFont="1" applyBorder="1"/>
    <xf numFmtId="4" fontId="16" fillId="0" borderId="59" xfId="0" applyNumberFormat="1" applyFont="1" applyBorder="1"/>
    <xf numFmtId="4" fontId="42" fillId="0" borderId="83" xfId="0" applyNumberFormat="1" applyFont="1" applyBorder="1"/>
    <xf numFmtId="4" fontId="75" fillId="0" borderId="83" xfId="818" applyNumberFormat="1" applyFont="1" applyFill="1" applyBorder="1" applyAlignment="1">
      <alignment horizontal="right" vertical="center"/>
    </xf>
    <xf numFmtId="0" fontId="40" fillId="0" borderId="0" xfId="0" applyFont="1" applyFill="1" applyBorder="1"/>
    <xf numFmtId="0" fontId="49" fillId="29" borderId="0" xfId="0" applyFont="1" applyFill="1" applyBorder="1" applyAlignment="1">
      <alignment horizontal="left" vertical="center" wrapText="1"/>
    </xf>
    <xf numFmtId="0" fontId="17" fillId="29" borderId="0" xfId="0" applyFont="1" applyFill="1" applyBorder="1" applyAlignment="1">
      <alignment horizontal="right" wrapText="1"/>
    </xf>
    <xf numFmtId="0" fontId="121" fillId="29" borderId="0" xfId="0" applyFont="1" applyFill="1" applyBorder="1" applyAlignment="1">
      <alignment wrapText="1"/>
    </xf>
    <xf numFmtId="3" fontId="122" fillId="29" borderId="0" xfId="0" applyNumberFormat="1" applyFont="1" applyFill="1" applyBorder="1" applyAlignment="1">
      <alignment horizontal="right" wrapText="1"/>
    </xf>
    <xf numFmtId="0" fontId="117" fillId="0" borderId="0" xfId="0" applyFont="1" applyBorder="1"/>
    <xf numFmtId="0" fontId="16" fillId="33" borderId="86" xfId="0" applyFont="1" applyFill="1" applyBorder="1" applyAlignment="1">
      <alignment horizontal="center" vertical="center" wrapText="1"/>
    </xf>
    <xf numFmtId="0" fontId="16" fillId="33" borderId="86" xfId="0" applyFont="1" applyFill="1" applyBorder="1" applyAlignment="1">
      <alignment horizontal="center" vertical="center"/>
    </xf>
    <xf numFmtId="0" fontId="16" fillId="34" borderId="87" xfId="0" applyFont="1" applyFill="1" applyBorder="1" applyAlignment="1">
      <alignment horizontal="center" vertical="center" wrapText="1"/>
    </xf>
    <xf numFmtId="0" fontId="16" fillId="34" borderId="86" xfId="0" applyFont="1" applyFill="1" applyBorder="1" applyAlignment="1">
      <alignment horizontal="center" vertical="center" wrapText="1"/>
    </xf>
    <xf numFmtId="0" fontId="16" fillId="34" borderId="86" xfId="0" applyFont="1" applyFill="1" applyBorder="1" applyAlignment="1">
      <alignment horizontal="center"/>
    </xf>
    <xf numFmtId="0" fontId="16" fillId="30" borderId="88" xfId="0" applyFont="1" applyFill="1" applyBorder="1" applyAlignment="1">
      <alignment horizontal="center" vertical="center" wrapText="1"/>
    </xf>
    <xf numFmtId="0" fontId="16" fillId="30" borderId="86" xfId="0" applyFont="1" applyFill="1" applyBorder="1" applyAlignment="1">
      <alignment horizontal="center" vertical="center" wrapText="1"/>
    </xf>
    <xf numFmtId="0" fontId="16" fillId="30" borderId="86" xfId="0" applyFont="1" applyFill="1" applyBorder="1" applyAlignment="1">
      <alignment horizontal="center"/>
    </xf>
    <xf numFmtId="0" fontId="75" fillId="0" borderId="89" xfId="0" applyFont="1" applyFill="1" applyBorder="1" applyAlignment="1">
      <alignment wrapText="1"/>
    </xf>
    <xf numFmtId="3" fontId="17" fillId="0" borderId="80" xfId="0" applyNumberFormat="1" applyFont="1" applyFill="1" applyBorder="1" applyAlignment="1">
      <alignment wrapText="1"/>
    </xf>
    <xf numFmtId="3" fontId="17" fillId="0" borderId="68" xfId="0" applyNumberFormat="1" applyFont="1" applyFill="1" applyBorder="1" applyAlignment="1">
      <alignment wrapText="1"/>
    </xf>
    <xf numFmtId="4" fontId="16" fillId="0" borderId="18" xfId="0" applyNumberFormat="1" applyFont="1" applyFill="1" applyBorder="1"/>
    <xf numFmtId="3" fontId="17" fillId="0" borderId="90" xfId="0" applyNumberFormat="1" applyFont="1" applyFill="1" applyBorder="1"/>
    <xf numFmtId="3" fontId="17" fillId="0" borderId="68" xfId="0" applyNumberFormat="1" applyFont="1" applyFill="1" applyBorder="1"/>
    <xf numFmtId="3" fontId="16" fillId="0" borderId="68" xfId="0" applyNumberFormat="1" applyFont="1" applyFill="1" applyBorder="1"/>
    <xf numFmtId="4" fontId="16" fillId="0" borderId="57" xfId="0" applyNumberFormat="1" applyFont="1" applyFill="1" applyBorder="1"/>
    <xf numFmtId="4" fontId="16" fillId="0" borderId="69" xfId="0" applyNumberFormat="1" applyFont="1" applyFill="1" applyBorder="1"/>
    <xf numFmtId="3" fontId="17" fillId="0" borderId="67" xfId="0" applyNumberFormat="1" applyFont="1" applyFill="1" applyBorder="1"/>
    <xf numFmtId="3" fontId="17" fillId="35" borderId="91" xfId="0" quotePrefix="1" applyNumberFormat="1" applyFont="1" applyFill="1" applyBorder="1" applyAlignment="1" applyProtection="1">
      <alignment horizontal="right"/>
    </xf>
    <xf numFmtId="0" fontId="75" fillId="0" borderId="92" xfId="0" applyFont="1" applyFill="1" applyBorder="1" applyAlignment="1">
      <alignment wrapText="1"/>
    </xf>
    <xf numFmtId="4" fontId="16" fillId="0" borderId="17" xfId="0" applyNumberFormat="1" applyFont="1" applyFill="1" applyBorder="1"/>
    <xf numFmtId="3" fontId="17" fillId="0" borderId="80" xfId="0" applyNumberFormat="1" applyFont="1" applyFill="1" applyBorder="1"/>
    <xf numFmtId="4" fontId="16" fillId="0" borderId="53" xfId="0" applyNumberFormat="1" applyFont="1" applyFill="1" applyBorder="1"/>
    <xf numFmtId="4" fontId="16" fillId="0" borderId="72" xfId="0" applyNumberFormat="1" applyFont="1" applyFill="1" applyBorder="1"/>
    <xf numFmtId="0" fontId="17" fillId="27" borderId="0" xfId="0" applyFont="1" applyFill="1"/>
    <xf numFmtId="0" fontId="75" fillId="29" borderId="92" xfId="0" applyFont="1" applyFill="1" applyBorder="1" applyAlignment="1">
      <alignment wrapText="1"/>
    </xf>
    <xf numFmtId="3" fontId="17" fillId="29" borderId="80" xfId="0" applyNumberFormat="1" applyFont="1" applyFill="1" applyBorder="1" applyAlignment="1">
      <alignment wrapText="1"/>
    </xf>
    <xf numFmtId="3" fontId="17" fillId="29" borderId="68" xfId="0" applyNumberFormat="1" applyFont="1" applyFill="1" applyBorder="1" applyAlignment="1">
      <alignment wrapText="1"/>
    </xf>
    <xf numFmtId="4" fontId="16" fillId="29" borderId="17" xfId="0" applyNumberFormat="1" applyFont="1" applyFill="1" applyBorder="1"/>
    <xf numFmtId="3" fontId="17" fillId="29" borderId="68" xfId="0" applyNumberFormat="1" applyFont="1" applyFill="1" applyBorder="1"/>
    <xf numFmtId="3" fontId="16" fillId="29" borderId="68" xfId="0" applyNumberFormat="1" applyFont="1" applyFill="1" applyBorder="1"/>
    <xf numFmtId="4" fontId="16" fillId="29" borderId="53" xfId="0" applyNumberFormat="1" applyFont="1" applyFill="1" applyBorder="1"/>
    <xf numFmtId="4" fontId="16" fillId="29" borderId="72" xfId="0" applyNumberFormat="1" applyFont="1" applyFill="1" applyBorder="1"/>
    <xf numFmtId="4" fontId="16" fillId="0" borderId="59" xfId="0" applyNumberFormat="1" applyFont="1" applyFill="1" applyBorder="1"/>
    <xf numFmtId="3" fontId="16" fillId="0" borderId="53" xfId="0" applyNumberFormat="1" applyFont="1" applyFill="1" applyBorder="1"/>
    <xf numFmtId="4" fontId="16" fillId="0" borderId="93" xfId="0" applyNumberFormat="1" applyFont="1" applyFill="1" applyBorder="1"/>
    <xf numFmtId="0" fontId="16" fillId="36" borderId="29" xfId="0" applyFont="1" applyFill="1" applyBorder="1"/>
    <xf numFmtId="3" fontId="16" fillId="36" borderId="94" xfId="0" applyNumberFormat="1" applyFont="1" applyFill="1" applyBorder="1"/>
    <xf numFmtId="3" fontId="16" fillId="36" borderId="14" xfId="0" applyNumberFormat="1" applyFont="1" applyFill="1" applyBorder="1" applyAlignment="1">
      <alignment wrapText="1"/>
    </xf>
    <xf numFmtId="3" fontId="16" fillId="36" borderId="95" xfId="0" applyNumberFormat="1" applyFont="1" applyFill="1" applyBorder="1"/>
    <xf numFmtId="2" fontId="16" fillId="36" borderId="22" xfId="0" applyNumberFormat="1" applyFont="1" applyFill="1" applyBorder="1"/>
    <xf numFmtId="3" fontId="16" fillId="36" borderId="96" xfId="0" applyNumberFormat="1" applyFont="1" applyFill="1" applyBorder="1"/>
    <xf numFmtId="3" fontId="16" fillId="36" borderId="73" xfId="0" applyNumberFormat="1" applyFont="1" applyFill="1" applyBorder="1"/>
    <xf numFmtId="4" fontId="16" fillId="36" borderId="74" xfId="0" applyNumberFormat="1" applyFont="1" applyFill="1" applyBorder="1"/>
    <xf numFmtId="0" fontId="16" fillId="36" borderId="74" xfId="0" applyFont="1" applyFill="1" applyBorder="1"/>
    <xf numFmtId="3" fontId="16" fillId="36" borderId="26" xfId="0" applyNumberFormat="1" applyFont="1" applyFill="1" applyBorder="1"/>
    <xf numFmtId="3" fontId="16" fillId="36" borderId="97" xfId="0" applyNumberFormat="1" applyFont="1" applyFill="1" applyBorder="1"/>
    <xf numFmtId="166" fontId="17" fillId="0" borderId="0" xfId="818" applyNumberFormat="1" applyFont="1" applyFill="1"/>
    <xf numFmtId="0" fontId="31" fillId="0" borderId="0" xfId="0" applyFont="1" applyFill="1" applyAlignment="1"/>
    <xf numFmtId="3" fontId="31" fillId="0" borderId="0" xfId="0" applyNumberFormat="1" applyFont="1" applyFill="1" applyAlignment="1"/>
    <xf numFmtId="169" fontId="17" fillId="0" borderId="0" xfId="0" applyNumberFormat="1" applyFont="1" applyFill="1"/>
    <xf numFmtId="166" fontId="17" fillId="0" borderId="0" xfId="816" applyNumberFormat="1" applyFont="1" applyFill="1"/>
    <xf numFmtId="0" fontId="75" fillId="30" borderId="45" xfId="0" applyFont="1" applyFill="1" applyBorder="1" applyAlignment="1">
      <alignment vertical="center" wrapText="1"/>
    </xf>
    <xf numFmtId="0" fontId="40" fillId="30" borderId="98" xfId="0" applyFont="1" applyFill="1" applyBorder="1" applyAlignment="1">
      <alignment horizontal="right"/>
    </xf>
    <xf numFmtId="0" fontId="40" fillId="30" borderId="47" xfId="0" applyFont="1" applyFill="1" applyBorder="1" applyAlignment="1">
      <alignment horizontal="center"/>
    </xf>
    <xf numFmtId="0" fontId="40" fillId="30" borderId="99" xfId="0" applyFont="1" applyFill="1" applyBorder="1" applyAlignment="1">
      <alignment horizontal="right" wrapText="1"/>
    </xf>
    <xf numFmtId="0" fontId="40" fillId="30" borderId="47" xfId="0" applyFont="1" applyFill="1" applyBorder="1" applyAlignment="1">
      <alignment horizontal="right"/>
    </xf>
    <xf numFmtId="0" fontId="40" fillId="30" borderId="47" xfId="0" applyFont="1" applyFill="1" applyBorder="1" applyAlignment="1">
      <alignment horizontal="center" wrapText="1"/>
    </xf>
    <xf numFmtId="0" fontId="10" fillId="0" borderId="0" xfId="0" applyFont="1" applyFill="1"/>
    <xf numFmtId="0" fontId="59" fillId="0" borderId="0" xfId="0" applyFont="1" applyFill="1" applyBorder="1"/>
    <xf numFmtId="0" fontId="15" fillId="29" borderId="0" xfId="795" applyFont="1" applyFill="1" applyBorder="1" applyAlignment="1">
      <alignment vertical="center" wrapText="1"/>
    </xf>
    <xf numFmtId="0" fontId="15" fillId="0" borderId="0" xfId="795" applyFont="1" applyFill="1" applyBorder="1" applyAlignment="1">
      <alignment vertical="center" wrapText="1"/>
    </xf>
    <xf numFmtId="3" fontId="15" fillId="0" borderId="0" xfId="795" applyNumberFormat="1" applyFont="1" applyFill="1" applyBorder="1" applyAlignment="1">
      <alignment vertical="center" wrapText="1"/>
    </xf>
    <xf numFmtId="0" fontId="123" fillId="0" borderId="0" xfId="795" applyFont="1" applyFill="1" applyBorder="1" applyAlignment="1">
      <alignment horizontal="left" vertical="center" wrapText="1"/>
    </xf>
    <xf numFmtId="3" fontId="123" fillId="0" borderId="0" xfId="795" applyNumberFormat="1" applyFont="1" applyFill="1" applyBorder="1" applyAlignment="1">
      <alignment horizontal="left" vertical="center" wrapText="1"/>
    </xf>
    <xf numFmtId="165" fontId="123" fillId="0" borderId="0" xfId="818" applyFont="1" applyFill="1" applyBorder="1" applyAlignment="1">
      <alignment horizontal="left" vertical="center" wrapText="1"/>
    </xf>
    <xf numFmtId="0" fontId="10" fillId="0" borderId="0" xfId="0" applyFont="1" applyFill="1" applyAlignment="1">
      <alignment horizontal="left"/>
    </xf>
    <xf numFmtId="0" fontId="16" fillId="30" borderId="100" xfId="795" quotePrefix="1" applyFont="1" applyFill="1" applyBorder="1" applyAlignment="1">
      <alignment horizontal="center" vertical="top"/>
    </xf>
    <xf numFmtId="0" fontId="16" fillId="30" borderId="92" xfId="795" quotePrefix="1" applyFont="1" applyFill="1" applyBorder="1" applyAlignment="1">
      <alignment horizontal="center" vertical="top"/>
    </xf>
    <xf numFmtId="0" fontId="10" fillId="29" borderId="0" xfId="0" applyFont="1" applyFill="1"/>
    <xf numFmtId="0" fontId="16" fillId="30" borderId="101" xfId="795" quotePrefix="1" applyFont="1" applyFill="1" applyBorder="1" applyAlignment="1">
      <alignment horizontal="center" vertical="top"/>
    </xf>
    <xf numFmtId="165" fontId="10" fillId="0" borderId="0" xfId="818" applyFont="1"/>
    <xf numFmtId="0" fontId="10" fillId="27" borderId="0" xfId="0" applyFont="1" applyFill="1"/>
    <xf numFmtId="0" fontId="124" fillId="0" borderId="0" xfId="0" applyFont="1" applyFill="1" applyAlignment="1">
      <alignment vertical="center" wrapText="1"/>
    </xf>
    <xf numFmtId="0" fontId="13" fillId="0" borderId="0" xfId="0" applyFont="1" applyFill="1"/>
    <xf numFmtId="0" fontId="50" fillId="0" borderId="0" xfId="0" applyFont="1" applyFill="1" applyBorder="1" applyAlignment="1">
      <alignment horizontal="left" wrapText="1"/>
    </xf>
    <xf numFmtId="3" fontId="9" fillId="30" borderId="102" xfId="0" applyNumberFormat="1" applyFont="1" applyFill="1" applyBorder="1"/>
    <xf numFmtId="0" fontId="51" fillId="0" borderId="0" xfId="0" applyFont="1" applyFill="1" applyBorder="1" applyAlignment="1"/>
    <xf numFmtId="0" fontId="125" fillId="0" borderId="0" xfId="0" applyFont="1" applyFill="1" applyBorder="1" applyAlignment="1"/>
    <xf numFmtId="0" fontId="15" fillId="0" borderId="0" xfId="0" applyFont="1" applyFill="1" applyBorder="1" applyAlignment="1"/>
    <xf numFmtId="0" fontId="15" fillId="0" borderId="0" xfId="0" applyFont="1" applyFill="1" applyBorder="1" applyAlignment="1">
      <alignment horizontal="left"/>
    </xf>
    <xf numFmtId="0" fontId="9" fillId="30" borderId="103" xfId="795" quotePrefix="1" applyFont="1" applyFill="1" applyBorder="1" applyAlignment="1">
      <alignment horizontal="center" vertical="top"/>
    </xf>
    <xf numFmtId="0" fontId="12" fillId="0" borderId="28" xfId="795" applyFont="1" applyFill="1" applyBorder="1" applyAlignment="1">
      <alignment vertical="center"/>
    </xf>
    <xf numFmtId="3" fontId="24" fillId="0" borderId="104" xfId="0" applyNumberFormat="1" applyFont="1" applyFill="1" applyBorder="1"/>
    <xf numFmtId="0" fontId="9" fillId="30" borderId="92" xfId="795" quotePrefix="1" applyFont="1" applyFill="1" applyBorder="1" applyAlignment="1">
      <alignment horizontal="center" vertical="top"/>
    </xf>
    <xf numFmtId="0" fontId="12" fillId="0" borderId="17" xfId="795" applyFont="1" applyFill="1" applyBorder="1" applyAlignment="1">
      <alignment vertical="center"/>
    </xf>
    <xf numFmtId="3" fontId="24" fillId="0" borderId="105" xfId="0" applyNumberFormat="1" applyFont="1" applyFill="1" applyBorder="1"/>
    <xf numFmtId="0" fontId="9" fillId="30" borderId="101" xfId="795" quotePrefix="1" applyFont="1" applyFill="1" applyBorder="1" applyAlignment="1">
      <alignment horizontal="center" vertical="top"/>
    </xf>
    <xf numFmtId="0" fontId="12" fillId="0" borderId="59" xfId="795" applyFont="1" applyFill="1" applyBorder="1" applyAlignment="1">
      <alignment vertical="center"/>
    </xf>
    <xf numFmtId="3" fontId="9" fillId="30" borderId="106" xfId="0" applyNumberFormat="1" applyFont="1" applyFill="1" applyBorder="1"/>
    <xf numFmtId="0" fontId="9" fillId="0" borderId="0" xfId="0" applyFont="1" applyFill="1"/>
    <xf numFmtId="0" fontId="204" fillId="0" borderId="0" xfId="790" applyFont="1"/>
    <xf numFmtId="3" fontId="6" fillId="51" borderId="49" xfId="795" applyNumberFormat="1" applyFont="1" applyFill="1" applyBorder="1" applyAlignment="1">
      <alignment horizontal="right"/>
    </xf>
    <xf numFmtId="3" fontId="6" fillId="51" borderId="107" xfId="795" applyNumberFormat="1" applyFont="1" applyFill="1" applyBorder="1" applyAlignment="1">
      <alignment horizontal="center" wrapText="1"/>
    </xf>
    <xf numFmtId="3" fontId="6" fillId="51" borderId="108" xfId="795" applyNumberFormat="1" applyFont="1" applyFill="1" applyBorder="1" applyAlignment="1">
      <alignment horizontal="center" wrapText="1"/>
    </xf>
    <xf numFmtId="3" fontId="6" fillId="51" borderId="42" xfId="795" applyNumberFormat="1" applyFont="1" applyFill="1" applyBorder="1" applyAlignment="1">
      <alignment horizontal="center" wrapText="1"/>
    </xf>
    <xf numFmtId="3" fontId="6" fillId="51" borderId="31" xfId="795" applyNumberFormat="1" applyFont="1" applyFill="1" applyBorder="1" applyAlignment="1">
      <alignment horizontal="center" wrapText="1"/>
    </xf>
    <xf numFmtId="3" fontId="6" fillId="51" borderId="0" xfId="0" applyNumberFormat="1" applyFont="1" applyFill="1" applyBorder="1" applyAlignment="1">
      <alignment horizontal="right"/>
    </xf>
    <xf numFmtId="3" fontId="6" fillId="51" borderId="109" xfId="795" applyNumberFormat="1" applyFont="1" applyFill="1" applyBorder="1" applyAlignment="1">
      <alignment horizontal="center" wrapText="1"/>
    </xf>
    <xf numFmtId="3" fontId="63" fillId="51" borderId="110" xfId="795" applyNumberFormat="1" applyFont="1" applyFill="1" applyBorder="1" applyAlignment="1">
      <alignment horizontal="center"/>
    </xf>
    <xf numFmtId="3" fontId="63" fillId="51" borderId="111" xfId="795" applyNumberFormat="1" applyFont="1" applyFill="1" applyBorder="1" applyAlignment="1">
      <alignment horizontal="center"/>
    </xf>
    <xf numFmtId="3" fontId="63" fillId="51" borderId="112" xfId="0" applyNumberFormat="1" applyFont="1" applyFill="1" applyBorder="1" applyAlignment="1">
      <alignment horizontal="center"/>
    </xf>
    <xf numFmtId="3" fontId="63" fillId="51" borderId="113" xfId="0" applyNumberFormat="1" applyFont="1" applyFill="1" applyBorder="1" applyAlignment="1">
      <alignment horizontal="center"/>
    </xf>
    <xf numFmtId="3" fontId="63" fillId="51" borderId="112" xfId="795" applyNumberFormat="1" applyFont="1" applyFill="1" applyBorder="1" applyAlignment="1">
      <alignment horizontal="center"/>
    </xf>
    <xf numFmtId="3" fontId="63" fillId="51" borderId="39" xfId="0" applyNumberFormat="1" applyFont="1" applyFill="1" applyBorder="1" applyAlignment="1">
      <alignment horizontal="center"/>
    </xf>
    <xf numFmtId="3" fontId="10" fillId="51" borderId="0" xfId="0" applyNumberFormat="1" applyFont="1" applyFill="1" applyBorder="1" applyAlignment="1">
      <alignment horizontal="right"/>
    </xf>
    <xf numFmtId="3" fontId="63" fillId="51" borderId="114" xfId="0" applyNumberFormat="1" applyFont="1" applyFill="1" applyBorder="1" applyAlignment="1">
      <alignment horizontal="center"/>
    </xf>
    <xf numFmtId="0" fontId="0" fillId="52" borderId="0" xfId="0" applyFill="1"/>
    <xf numFmtId="172" fontId="9" fillId="51" borderId="115" xfId="0" applyNumberFormat="1" applyFont="1" applyFill="1" applyBorder="1" applyAlignment="1">
      <alignment horizontal="center" vertical="center" wrapText="1"/>
    </xf>
    <xf numFmtId="172" fontId="9" fillId="51" borderId="116" xfId="0" applyNumberFormat="1" applyFont="1" applyFill="1" applyBorder="1" applyAlignment="1">
      <alignment horizontal="center" vertical="center"/>
    </xf>
    <xf numFmtId="172" fontId="9" fillId="51" borderId="117" xfId="0" applyNumberFormat="1" applyFont="1" applyFill="1" applyBorder="1" applyAlignment="1">
      <alignment horizontal="center" vertical="center"/>
    </xf>
    <xf numFmtId="172" fontId="9" fillId="51" borderId="115" xfId="0" applyNumberFormat="1" applyFont="1" applyFill="1" applyBorder="1" applyAlignment="1">
      <alignment horizontal="center" vertical="center"/>
    </xf>
    <xf numFmtId="172" fontId="9" fillId="51" borderId="118" xfId="0" applyNumberFormat="1" applyFont="1" applyFill="1" applyBorder="1" applyAlignment="1">
      <alignment horizontal="center" vertical="center" wrapText="1"/>
    </xf>
    <xf numFmtId="0" fontId="6" fillId="51" borderId="119" xfId="0" applyFont="1" applyFill="1" applyBorder="1"/>
    <xf numFmtId="0" fontId="6" fillId="51" borderId="33" xfId="0" applyFont="1" applyFill="1" applyBorder="1"/>
    <xf numFmtId="0" fontId="63" fillId="51" borderId="39" xfId="0" applyFont="1" applyFill="1" applyBorder="1"/>
    <xf numFmtId="0" fontId="9" fillId="51" borderId="120" xfId="0" applyFont="1" applyFill="1" applyBorder="1"/>
    <xf numFmtId="0" fontId="9" fillId="51" borderId="121" xfId="0" applyFont="1" applyFill="1" applyBorder="1" applyAlignment="1">
      <alignment horizontal="center"/>
    </xf>
    <xf numFmtId="172" fontId="9" fillId="51" borderId="39" xfId="0" applyNumberFormat="1" applyFont="1" applyFill="1" applyBorder="1" applyAlignment="1">
      <alignment horizontal="center" vertical="center"/>
    </xf>
    <xf numFmtId="0" fontId="205" fillId="0" borderId="0" xfId="790" applyFont="1" applyBorder="1" applyAlignment="1">
      <alignment horizontal="center"/>
    </xf>
    <xf numFmtId="168" fontId="204" fillId="0" borderId="0" xfId="790" applyNumberFormat="1" applyFont="1"/>
    <xf numFmtId="4" fontId="204" fillId="0" borderId="0" xfId="790" applyNumberFormat="1" applyFont="1"/>
    <xf numFmtId="2" fontId="204" fillId="0" borderId="0" xfId="790" applyNumberFormat="1" applyFont="1"/>
    <xf numFmtId="166" fontId="10" fillId="0" borderId="0" xfId="822" applyNumberFormat="1" applyFont="1"/>
    <xf numFmtId="165" fontId="10" fillId="0" borderId="0" xfId="822" applyFont="1"/>
    <xf numFmtId="0" fontId="66" fillId="52" borderId="0" xfId="0" applyFont="1" applyFill="1"/>
    <xf numFmtId="0" fontId="49" fillId="29" borderId="72" xfId="0" applyNumberFormat="1" applyFont="1" applyFill="1" applyBorder="1" applyAlignment="1">
      <alignment horizontal="right" wrapText="1"/>
    </xf>
    <xf numFmtId="0" fontId="49" fillId="29" borderId="74" xfId="0" applyNumberFormat="1" applyFont="1" applyFill="1" applyBorder="1" applyAlignment="1">
      <alignment horizontal="right" wrapText="1"/>
    </xf>
    <xf numFmtId="3" fontId="17" fillId="35" borderId="21" xfId="0" quotePrefix="1" applyNumberFormat="1" applyFont="1" applyFill="1" applyBorder="1" applyAlignment="1" applyProtection="1">
      <alignment horizontal="right"/>
    </xf>
    <xf numFmtId="3" fontId="17" fillId="29" borderId="21" xfId="0" quotePrefix="1" applyNumberFormat="1" applyFont="1" applyFill="1" applyBorder="1" applyAlignment="1" applyProtection="1">
      <alignment horizontal="right"/>
    </xf>
    <xf numFmtId="0" fontId="49" fillId="29" borderId="68" xfId="0" applyNumberFormat="1" applyFont="1" applyFill="1" applyBorder="1" applyAlignment="1">
      <alignment horizontal="right" wrapText="1"/>
    </xf>
    <xf numFmtId="0" fontId="49" fillId="29" borderId="19" xfId="0" applyNumberFormat="1" applyFont="1" applyFill="1" applyBorder="1" applyAlignment="1">
      <alignment horizontal="right" wrapText="1"/>
    </xf>
    <xf numFmtId="0" fontId="49" fillId="29" borderId="26" xfId="0" applyNumberFormat="1" applyFont="1" applyFill="1" applyBorder="1" applyAlignment="1">
      <alignment horizontal="right" wrapText="1"/>
    </xf>
    <xf numFmtId="0" fontId="49" fillId="29" borderId="73" xfId="0" applyNumberFormat="1" applyFont="1" applyFill="1" applyBorder="1" applyAlignment="1">
      <alignment horizontal="right" wrapText="1"/>
    </xf>
    <xf numFmtId="0" fontId="40" fillId="0" borderId="0" xfId="794" applyFont="1" applyAlignment="1">
      <alignment horizontal="left"/>
    </xf>
    <xf numFmtId="0" fontId="41" fillId="0" borderId="0" xfId="794" applyFont="1" applyBorder="1" applyAlignment="1"/>
    <xf numFmtId="3" fontId="112" fillId="0" borderId="0" xfId="0" applyNumberFormat="1" applyFont="1"/>
    <xf numFmtId="3" fontId="61" fillId="29" borderId="19" xfId="786" applyNumberFormat="1" applyFont="1" applyFill="1" applyBorder="1" applyAlignment="1">
      <alignment horizontal="right" wrapText="1"/>
    </xf>
    <xf numFmtId="3" fontId="112" fillId="0" borderId="17" xfId="0" applyNumberFormat="1" applyFont="1" applyBorder="1"/>
    <xf numFmtId="0" fontId="1" fillId="0" borderId="0" xfId="794"/>
    <xf numFmtId="0" fontId="1" fillId="0" borderId="0" xfId="787"/>
    <xf numFmtId="3" fontId="112" fillId="0" borderId="67" xfId="0" applyNumberFormat="1" applyFont="1" applyBorder="1"/>
    <xf numFmtId="3" fontId="112" fillId="0" borderId="69" xfId="0" applyNumberFormat="1" applyFont="1" applyBorder="1"/>
    <xf numFmtId="3" fontId="112" fillId="0" borderId="68" xfId="0" applyNumberFormat="1" applyFont="1" applyBorder="1"/>
    <xf numFmtId="3" fontId="112" fillId="0" borderId="72" xfId="0" applyNumberFormat="1" applyFont="1" applyBorder="1"/>
    <xf numFmtId="3" fontId="61" fillId="29" borderId="0" xfId="786" applyNumberFormat="1" applyFont="1" applyFill="1" applyBorder="1" applyAlignment="1">
      <alignment horizontal="right" wrapText="1"/>
    </xf>
    <xf numFmtId="3" fontId="112" fillId="0" borderId="0" xfId="0" applyNumberFormat="1" applyFont="1" applyBorder="1"/>
    <xf numFmtId="3" fontId="112" fillId="0" borderId="73" xfId="0" applyNumberFormat="1" applyFont="1" applyBorder="1"/>
    <xf numFmtId="3" fontId="112" fillId="0" borderId="74" xfId="0" applyNumberFormat="1" applyFont="1" applyBorder="1"/>
    <xf numFmtId="3" fontId="61" fillId="29" borderId="20" xfId="786" applyNumberFormat="1" applyFont="1" applyFill="1" applyBorder="1" applyAlignment="1">
      <alignment horizontal="right" wrapText="1"/>
    </xf>
    <xf numFmtId="3" fontId="112" fillId="0" borderId="20" xfId="0" applyNumberFormat="1" applyFont="1" applyBorder="1"/>
    <xf numFmtId="3" fontId="112" fillId="0" borderId="19" xfId="0" applyNumberFormat="1" applyFont="1" applyBorder="1"/>
    <xf numFmtId="3" fontId="112" fillId="0" borderId="26" xfId="0" applyNumberFormat="1" applyFont="1" applyBorder="1"/>
    <xf numFmtId="3" fontId="61" fillId="29" borderId="80" xfId="786" applyNumberFormat="1" applyFont="1" applyFill="1" applyBorder="1" applyAlignment="1">
      <alignment horizontal="right" wrapText="1"/>
    </xf>
    <xf numFmtId="3" fontId="87" fillId="0" borderId="37" xfId="0" applyNumberFormat="1" applyFont="1" applyBorder="1"/>
    <xf numFmtId="3" fontId="87" fillId="0" borderId="67" xfId="0" applyNumberFormat="1" applyFont="1" applyBorder="1"/>
    <xf numFmtId="3" fontId="87" fillId="0" borderId="69" xfId="0" applyNumberFormat="1" applyFont="1" applyBorder="1"/>
    <xf numFmtId="3" fontId="87" fillId="0" borderId="20" xfId="0" applyNumberFormat="1" applyFont="1" applyBorder="1"/>
    <xf numFmtId="3" fontId="87" fillId="0" borderId="19" xfId="0" applyNumberFormat="1" applyFont="1" applyBorder="1"/>
    <xf numFmtId="3" fontId="87" fillId="0" borderId="68" xfId="0" applyNumberFormat="1" applyFont="1" applyBorder="1"/>
    <xf numFmtId="3" fontId="87" fillId="0" borderId="72" xfId="0" applyNumberFormat="1" applyFont="1" applyBorder="1"/>
    <xf numFmtId="3" fontId="66" fillId="29" borderId="19" xfId="783" applyNumberFormat="1" applyFont="1" applyFill="1" applyBorder="1"/>
    <xf numFmtId="3" fontId="66" fillId="29" borderId="68" xfId="783" applyNumberFormat="1" applyFont="1" applyFill="1" applyBorder="1"/>
    <xf numFmtId="3" fontId="66" fillId="29" borderId="72" xfId="783" applyNumberFormat="1" applyFont="1" applyFill="1" applyBorder="1"/>
    <xf numFmtId="0" fontId="16" fillId="51" borderId="49" xfId="0" applyFont="1" applyFill="1" applyBorder="1" applyAlignment="1">
      <alignment horizontal="centerContinuous"/>
    </xf>
    <xf numFmtId="0" fontId="16" fillId="51" borderId="0" xfId="0" applyFont="1" applyFill="1" applyBorder="1" applyAlignment="1">
      <alignment horizontal="centerContinuous"/>
    </xf>
    <xf numFmtId="0" fontId="16" fillId="51" borderId="64" xfId="0" applyFont="1" applyFill="1" applyBorder="1" applyAlignment="1">
      <alignment horizontal="center" wrapText="1"/>
    </xf>
    <xf numFmtId="0" fontId="9" fillId="51" borderId="63" xfId="794" applyFont="1" applyFill="1" applyBorder="1" applyAlignment="1">
      <alignment wrapText="1"/>
    </xf>
    <xf numFmtId="0" fontId="9" fillId="51" borderId="122" xfId="794" applyFont="1" applyFill="1" applyBorder="1" applyAlignment="1">
      <alignment wrapText="1"/>
    </xf>
    <xf numFmtId="0" fontId="9" fillId="51" borderId="123" xfId="787" applyFont="1" applyFill="1" applyBorder="1" applyAlignment="1">
      <alignment horizontal="center" wrapText="1"/>
    </xf>
    <xf numFmtId="0" fontId="9" fillId="51" borderId="124" xfId="787" applyFont="1" applyFill="1" applyBorder="1" applyAlignment="1">
      <alignment horizontal="center" wrapText="1"/>
    </xf>
    <xf numFmtId="0" fontId="12" fillId="51" borderId="125" xfId="794" applyFont="1" applyFill="1" applyBorder="1" applyAlignment="1">
      <alignment horizontal="center" wrapText="1"/>
    </xf>
    <xf numFmtId="0" fontId="9" fillId="51" borderId="126" xfId="787" applyFont="1" applyFill="1" applyBorder="1" applyAlignment="1">
      <alignment horizontal="left" wrapText="1" indent="1"/>
    </xf>
    <xf numFmtId="0" fontId="9" fillId="51" borderId="127" xfId="787" applyFont="1" applyFill="1" applyBorder="1" applyAlignment="1">
      <alignment horizontal="center" wrapText="1"/>
    </xf>
    <xf numFmtId="3" fontId="112" fillId="0" borderId="28" xfId="0" applyNumberFormat="1" applyFont="1" applyBorder="1"/>
    <xf numFmtId="3" fontId="61" fillId="29" borderId="75" xfId="786" applyNumberFormat="1" applyFont="1" applyFill="1" applyBorder="1" applyAlignment="1">
      <alignment horizontal="right" wrapText="1"/>
    </xf>
    <xf numFmtId="0" fontId="34" fillId="53" borderId="55" xfId="790" applyFont="1" applyFill="1" applyBorder="1"/>
    <xf numFmtId="0" fontId="2" fillId="53" borderId="49" xfId="790" applyFont="1" applyFill="1" applyBorder="1" applyAlignment="1">
      <alignment horizontal="center" vertical="center"/>
    </xf>
    <xf numFmtId="0" fontId="2" fillId="53" borderId="43" xfId="790" applyFont="1" applyFill="1" applyBorder="1" applyAlignment="1">
      <alignment horizontal="center" vertical="center"/>
    </xf>
    <xf numFmtId="0" fontId="34" fillId="53" borderId="56" xfId="790" applyFont="1" applyFill="1" applyBorder="1"/>
    <xf numFmtId="0" fontId="93" fillId="53" borderId="14" xfId="790" applyFont="1" applyFill="1" applyBorder="1" applyAlignment="1">
      <alignment horizontal="center" vertical="center"/>
    </xf>
    <xf numFmtId="0" fontId="93" fillId="53" borderId="25" xfId="790" applyFont="1" applyFill="1" applyBorder="1" applyAlignment="1">
      <alignment horizontal="center" vertical="center"/>
    </xf>
    <xf numFmtId="0" fontId="2" fillId="53" borderId="29" xfId="790" applyFont="1" applyFill="1" applyBorder="1" applyAlignment="1">
      <alignment vertical="center"/>
    </xf>
    <xf numFmtId="3" fontId="2" fillId="53" borderId="22" xfId="790" applyNumberFormat="1" applyFont="1" applyFill="1" applyBorder="1" applyAlignment="1">
      <alignment horizontal="center" vertical="center"/>
    </xf>
    <xf numFmtId="3" fontId="2" fillId="53" borderId="62" xfId="790" applyNumberFormat="1" applyFont="1" applyFill="1" applyBorder="1" applyAlignment="1">
      <alignment horizontal="center" vertical="center"/>
    </xf>
    <xf numFmtId="3" fontId="28" fillId="29" borderId="19" xfId="783" applyNumberFormat="1" applyFont="1" applyFill="1" applyBorder="1"/>
    <xf numFmtId="3" fontId="61" fillId="29" borderId="68" xfId="0" applyNumberFormat="1" applyFont="1" applyFill="1" applyBorder="1" applyAlignment="1">
      <alignment horizontal="right" wrapText="1"/>
    </xf>
    <xf numFmtId="3" fontId="61" fillId="29" borderId="50" xfId="0" applyNumberFormat="1" applyFont="1" applyFill="1" applyBorder="1" applyAlignment="1">
      <alignment horizontal="right" wrapText="1"/>
    </xf>
    <xf numFmtId="0" fontId="61" fillId="29" borderId="68" xfId="794" applyFont="1" applyFill="1" applyBorder="1" applyAlignment="1">
      <alignment horizontal="right" wrapText="1"/>
    </xf>
    <xf numFmtId="0" fontId="61" fillId="29" borderId="72" xfId="794" applyFont="1" applyFill="1" applyBorder="1" applyAlignment="1">
      <alignment horizontal="right" wrapText="1"/>
    </xf>
    <xf numFmtId="0" fontId="61" fillId="29" borderId="80" xfId="794" applyFont="1" applyFill="1" applyBorder="1" applyAlignment="1">
      <alignment horizontal="right" wrapText="1"/>
    </xf>
    <xf numFmtId="3" fontId="4" fillId="0" borderId="91" xfId="0" applyNumberFormat="1" applyFont="1" applyFill="1" applyBorder="1"/>
    <xf numFmtId="3" fontId="4" fillId="0" borderId="53" xfId="0" applyNumberFormat="1" applyFont="1" applyFill="1" applyBorder="1"/>
    <xf numFmtId="3" fontId="4" fillId="0" borderId="53" xfId="797" applyNumberFormat="1" applyFont="1" applyFill="1" applyBorder="1" applyAlignment="1">
      <alignment horizontal="right"/>
    </xf>
    <xf numFmtId="166" fontId="61" fillId="29" borderId="20" xfId="818" applyNumberFormat="1" applyFont="1" applyFill="1" applyBorder="1" applyAlignment="1">
      <alignment horizontal="right" wrapText="1"/>
    </xf>
    <xf numFmtId="166" fontId="61" fillId="29" borderId="80" xfId="818" applyNumberFormat="1" applyFont="1" applyFill="1" applyBorder="1" applyAlignment="1">
      <alignment horizontal="right" wrapText="1"/>
    </xf>
    <xf numFmtId="3" fontId="10" fillId="29" borderId="50" xfId="786" applyNumberFormat="1" applyFont="1" applyFill="1" applyBorder="1" applyAlignment="1">
      <alignment horizontal="right" wrapText="1"/>
    </xf>
    <xf numFmtId="3" fontId="61" fillId="0" borderId="57" xfId="0" applyNumberFormat="1" applyFont="1" applyBorder="1"/>
    <xf numFmtId="3" fontId="4" fillId="0" borderId="128" xfId="0" applyNumberFormat="1" applyFont="1" applyFill="1" applyBorder="1"/>
    <xf numFmtId="166" fontId="61" fillId="29" borderId="19" xfId="818" applyNumberFormat="1" applyFont="1" applyFill="1" applyBorder="1" applyAlignment="1">
      <alignment horizontal="right" wrapText="1"/>
    </xf>
    <xf numFmtId="3" fontId="10" fillId="0" borderId="50" xfId="786" applyNumberFormat="1" applyFont="1" applyFill="1" applyBorder="1" applyAlignment="1">
      <alignment horizontal="right" wrapText="1"/>
    </xf>
    <xf numFmtId="3" fontId="61" fillId="0" borderId="53" xfId="0" applyNumberFormat="1" applyFont="1" applyBorder="1"/>
    <xf numFmtId="0" fontId="10" fillId="29" borderId="50" xfId="786" applyFont="1" applyFill="1" applyBorder="1" applyAlignment="1">
      <alignment horizontal="right" wrapText="1"/>
    </xf>
    <xf numFmtId="166" fontId="61" fillId="29" borderId="26" xfId="818" applyNumberFormat="1" applyFont="1" applyFill="1" applyBorder="1" applyAlignment="1">
      <alignment horizontal="right" wrapText="1"/>
    </xf>
    <xf numFmtId="166" fontId="61" fillId="29" borderId="95" xfId="818" applyNumberFormat="1" applyFont="1" applyFill="1" applyBorder="1" applyAlignment="1">
      <alignment horizontal="right" wrapText="1"/>
    </xf>
    <xf numFmtId="3" fontId="10" fillId="29" borderId="51" xfId="0" applyNumberFormat="1" applyFont="1" applyFill="1" applyBorder="1" applyAlignment="1">
      <alignment horizontal="right" wrapText="1"/>
    </xf>
    <xf numFmtId="3" fontId="61" fillId="29" borderId="26" xfId="794" applyNumberFormat="1" applyFont="1" applyFill="1" applyBorder="1" applyAlignment="1">
      <alignment horizontal="right" wrapText="1"/>
    </xf>
    <xf numFmtId="3" fontId="61" fillId="0" borderId="62" xfId="0" applyNumberFormat="1" applyFont="1" applyBorder="1"/>
    <xf numFmtId="3" fontId="4" fillId="0" borderId="97" xfId="0" applyNumberFormat="1" applyFont="1" applyFill="1" applyBorder="1"/>
    <xf numFmtId="3" fontId="4" fillId="0" borderId="97" xfId="797" applyNumberFormat="1" applyFont="1" applyFill="1" applyBorder="1" applyAlignment="1">
      <alignment horizontal="right"/>
    </xf>
    <xf numFmtId="0" fontId="61" fillId="29" borderId="17" xfId="794" applyFont="1" applyFill="1" applyBorder="1" applyAlignment="1">
      <alignment horizontal="right" wrapText="1"/>
    </xf>
    <xf numFmtId="3" fontId="61" fillId="0" borderId="67" xfId="0" applyNumberFormat="1" applyFont="1" applyBorder="1"/>
    <xf numFmtId="3" fontId="61" fillId="0" borderId="68" xfId="0" applyNumberFormat="1" applyFont="1" applyBorder="1"/>
    <xf numFmtId="3" fontId="61" fillId="0" borderId="73" xfId="0" applyNumberFormat="1" applyFont="1" applyBorder="1"/>
    <xf numFmtId="0" fontId="64" fillId="51" borderId="114" xfId="0" applyFont="1" applyFill="1" applyBorder="1" applyAlignment="1">
      <alignment horizontal="center"/>
    </xf>
    <xf numFmtId="3" fontId="49" fillId="0" borderId="84" xfId="818" applyNumberFormat="1" applyFont="1" applyFill="1" applyBorder="1" applyAlignment="1">
      <alignment horizontal="right"/>
    </xf>
    <xf numFmtId="172" fontId="6" fillId="51" borderId="115" xfId="0" applyNumberFormat="1" applyFont="1" applyFill="1" applyBorder="1" applyAlignment="1">
      <alignment horizontal="center" vertical="center" wrapText="1"/>
    </xf>
    <xf numFmtId="0" fontId="6" fillId="51" borderId="43" xfId="0" applyFont="1" applyFill="1" applyBorder="1"/>
    <xf numFmtId="0" fontId="6" fillId="51" borderId="24" xfId="0" applyFont="1" applyFill="1" applyBorder="1" applyAlignment="1">
      <alignment horizontal="center"/>
    </xf>
    <xf numFmtId="172" fontId="6" fillId="51" borderId="115" xfId="0" applyNumberFormat="1" applyFont="1" applyFill="1" applyBorder="1" applyAlignment="1">
      <alignment horizontal="center" vertical="center"/>
    </xf>
    <xf numFmtId="172" fontId="6" fillId="51" borderId="118" xfId="0" applyNumberFormat="1" applyFont="1" applyFill="1" applyBorder="1" applyAlignment="1">
      <alignment horizontal="center" vertical="center" wrapText="1"/>
    </xf>
    <xf numFmtId="0" fontId="63" fillId="51" borderId="129" xfId="0" applyFont="1" applyFill="1" applyBorder="1" applyAlignment="1">
      <alignment horizontal="center"/>
    </xf>
    <xf numFmtId="0" fontId="206" fillId="53" borderId="0" xfId="790" applyFont="1" applyFill="1" applyBorder="1" applyAlignment="1">
      <alignment horizontal="center" vertical="center"/>
    </xf>
    <xf numFmtId="0" fontId="204" fillId="0" borderId="0" xfId="790" applyFont="1" applyBorder="1"/>
    <xf numFmtId="0" fontId="2" fillId="0" borderId="54" xfId="790" applyFont="1" applyBorder="1" applyAlignment="1">
      <alignment vertical="center" wrapText="1"/>
    </xf>
    <xf numFmtId="3" fontId="24" fillId="0" borderId="130" xfId="0" applyNumberFormat="1" applyFont="1" applyFill="1" applyBorder="1"/>
    <xf numFmtId="0" fontId="17" fillId="0" borderId="65" xfId="782" applyNumberFormat="1" applyFont="1" applyFill="1" applyBorder="1"/>
    <xf numFmtId="0" fontId="47" fillId="29" borderId="65" xfId="782" applyNumberFormat="1" applyFont="1" applyFill="1" applyBorder="1"/>
    <xf numFmtId="0" fontId="47" fillId="29" borderId="69" xfId="782" applyNumberFormat="1" applyFont="1" applyFill="1" applyBorder="1"/>
    <xf numFmtId="0" fontId="17" fillId="0" borderId="66" xfId="818" applyNumberFormat="1" applyFont="1" applyFill="1" applyBorder="1"/>
    <xf numFmtId="3" fontId="2" fillId="0" borderId="61" xfId="790" applyNumberFormat="1" applyFont="1" applyBorder="1" applyAlignment="1">
      <alignment horizontal="center" vertical="center"/>
    </xf>
    <xf numFmtId="0" fontId="9" fillId="0" borderId="0" xfId="784" applyFont="1" applyFill="1" applyBorder="1" applyAlignment="1">
      <alignment horizontal="center" vertical="center" wrapText="1"/>
    </xf>
    <xf numFmtId="3" fontId="13" fillId="0" borderId="0" xfId="186" applyNumberFormat="1" applyFont="1" applyFill="1" applyBorder="1" applyAlignment="1">
      <alignment horizontal="right" vertical="center"/>
    </xf>
    <xf numFmtId="3" fontId="9" fillId="0" borderId="0" xfId="186" applyNumberFormat="1" applyFont="1" applyFill="1" applyBorder="1" applyAlignment="1">
      <alignment horizontal="right" vertical="center"/>
    </xf>
    <xf numFmtId="3" fontId="13" fillId="0" borderId="0" xfId="185" applyNumberFormat="1" applyFont="1" applyFill="1" applyBorder="1" applyAlignment="1">
      <alignment horizontal="right" vertical="center"/>
    </xf>
    <xf numFmtId="3" fontId="9" fillId="0" borderId="0" xfId="185" applyNumberFormat="1" applyFont="1" applyFill="1" applyBorder="1" applyAlignment="1">
      <alignment horizontal="right" vertical="center"/>
    </xf>
    <xf numFmtId="3" fontId="13" fillId="0" borderId="0" xfId="785" applyNumberFormat="1" applyFont="1" applyFill="1" applyBorder="1" applyAlignment="1">
      <alignment horizontal="right" vertical="center"/>
    </xf>
    <xf numFmtId="0" fontId="29" fillId="52" borderId="37" xfId="789" applyFont="1" applyFill="1" applyBorder="1"/>
    <xf numFmtId="3" fontId="6" fillId="52" borderId="65" xfId="789" applyNumberFormat="1" applyFont="1" applyFill="1" applyBorder="1" applyAlignment="1">
      <alignment horizontal="right" indent="2"/>
    </xf>
    <xf numFmtId="4" fontId="10" fillId="52" borderId="70" xfId="789" applyNumberFormat="1" applyFont="1" applyFill="1" applyBorder="1" applyAlignment="1">
      <alignment horizontal="right" indent="2"/>
    </xf>
    <xf numFmtId="3" fontId="53" fillId="54" borderId="0" xfId="0" applyNumberFormat="1" applyFont="1" applyFill="1" applyBorder="1"/>
    <xf numFmtId="0" fontId="52" fillId="54" borderId="0" xfId="0" applyFont="1" applyFill="1" applyBorder="1" applyAlignment="1">
      <alignment horizontal="center" wrapText="1"/>
    </xf>
    <xf numFmtId="0" fontId="16" fillId="30" borderId="0" xfId="790" applyFont="1" applyFill="1" applyBorder="1"/>
    <xf numFmtId="3" fontId="17" fillId="29" borderId="84" xfId="0" applyNumberFormat="1" applyFont="1" applyFill="1" applyBorder="1" applyAlignment="1">
      <alignment horizontal="right"/>
    </xf>
    <xf numFmtId="3" fontId="17" fillId="29" borderId="59" xfId="0" applyNumberFormat="1" applyFont="1" applyFill="1" applyBorder="1"/>
    <xf numFmtId="168" fontId="16" fillId="29" borderId="59" xfId="0" applyNumberFormat="1" applyFont="1" applyFill="1" applyBorder="1"/>
    <xf numFmtId="3" fontId="49" fillId="29" borderId="84" xfId="818" applyNumberFormat="1" applyFont="1" applyFill="1" applyBorder="1" applyAlignment="1">
      <alignment horizontal="right"/>
    </xf>
    <xf numFmtId="168" fontId="16" fillId="29" borderId="83" xfId="0" applyNumberFormat="1" applyFont="1" applyFill="1" applyBorder="1" applyAlignment="1">
      <alignment horizontal="right"/>
    </xf>
    <xf numFmtId="168" fontId="16" fillId="29" borderId="59" xfId="0" applyNumberFormat="1" applyFont="1" applyFill="1" applyBorder="1" applyAlignment="1">
      <alignment horizontal="right"/>
    </xf>
    <xf numFmtId="0" fontId="17" fillId="29" borderId="0" xfId="0" applyFont="1" applyFill="1" applyBorder="1"/>
    <xf numFmtId="3" fontId="47" fillId="29" borderId="59" xfId="0" applyNumberFormat="1" applyFont="1" applyFill="1" applyBorder="1"/>
    <xf numFmtId="4" fontId="10" fillId="52" borderId="65" xfId="789" applyNumberFormat="1" applyFont="1" applyFill="1" applyBorder="1" applyAlignment="1">
      <alignment horizontal="right" indent="2"/>
    </xf>
    <xf numFmtId="3" fontId="204" fillId="0" borderId="0" xfId="790" applyNumberFormat="1" applyFont="1"/>
    <xf numFmtId="0" fontId="207" fillId="0" borderId="0" xfId="790" applyFont="1" applyBorder="1" applyAlignment="1">
      <alignment horizontal="center"/>
    </xf>
    <xf numFmtId="0" fontId="208" fillId="0" borderId="0" xfId="790" applyFont="1" applyBorder="1"/>
    <xf numFmtId="0" fontId="49" fillId="29" borderId="74" xfId="0" applyFont="1" applyFill="1" applyBorder="1" applyAlignment="1">
      <alignment horizontal="right" wrapText="1"/>
    </xf>
    <xf numFmtId="0" fontId="49" fillId="29" borderId="69" xfId="0" applyFont="1" applyFill="1" applyBorder="1" applyAlignment="1">
      <alignment horizontal="right" wrapText="1"/>
    </xf>
    <xf numFmtId="3" fontId="6" fillId="52" borderId="40" xfId="229" applyNumberFormat="1" applyFont="1" applyFill="1" applyBorder="1" applyAlignment="1">
      <alignment vertical="center"/>
    </xf>
    <xf numFmtId="3" fontId="6" fillId="52" borderId="40" xfId="228" applyNumberFormat="1" applyFont="1" applyFill="1" applyBorder="1" applyAlignment="1">
      <alignment vertical="center"/>
    </xf>
    <xf numFmtId="3" fontId="10" fillId="52" borderId="40" xfId="228" applyNumberFormat="1" applyFont="1" applyFill="1" applyBorder="1" applyAlignment="1">
      <alignment vertical="center"/>
    </xf>
    <xf numFmtId="0" fontId="17" fillId="52" borderId="0" xfId="0" applyFont="1" applyFill="1"/>
    <xf numFmtId="3" fontId="17" fillId="52" borderId="0" xfId="0" applyNumberFormat="1" applyFont="1" applyFill="1"/>
    <xf numFmtId="0" fontId="40" fillId="30" borderId="48" xfId="0" applyFont="1" applyFill="1" applyBorder="1" applyAlignment="1">
      <alignment horizontal="center" wrapText="1"/>
    </xf>
    <xf numFmtId="166" fontId="0" fillId="0" borderId="0" xfId="816" applyNumberFormat="1" applyFont="1" applyFill="1"/>
    <xf numFmtId="166" fontId="1" fillId="0" borderId="0" xfId="816" applyNumberFormat="1"/>
    <xf numFmtId="0" fontId="209" fillId="0" borderId="0" xfId="0" applyFont="1" applyBorder="1"/>
    <xf numFmtId="0" fontId="210" fillId="0" borderId="0" xfId="0" applyFont="1" applyBorder="1"/>
    <xf numFmtId="0" fontId="211" fillId="0" borderId="0" xfId="0" applyFont="1" applyBorder="1"/>
    <xf numFmtId="3" fontId="209" fillId="0" borderId="0" xfId="0" applyNumberFormat="1" applyFont="1" applyBorder="1"/>
    <xf numFmtId="0" fontId="212" fillId="0" borderId="0" xfId="0" applyFont="1" applyBorder="1"/>
    <xf numFmtId="0" fontId="17" fillId="52" borderId="0" xfId="0" applyFont="1" applyFill="1" applyBorder="1"/>
    <xf numFmtId="17" fontId="65" fillId="52" borderId="0" xfId="0" quotePrefix="1" applyNumberFormat="1" applyFont="1" applyFill="1" applyAlignment="1"/>
    <xf numFmtId="166" fontId="17" fillId="52" borderId="0" xfId="0" applyNumberFormat="1" applyFont="1" applyFill="1"/>
    <xf numFmtId="168" fontId="66" fillId="52" borderId="0" xfId="0" applyNumberFormat="1" applyFont="1" applyFill="1" applyBorder="1"/>
    <xf numFmtId="168" fontId="66" fillId="52" borderId="0" xfId="0" applyNumberFormat="1" applyFont="1" applyFill="1"/>
    <xf numFmtId="166" fontId="66" fillId="52" borderId="0" xfId="0" applyNumberFormat="1" applyFont="1" applyFill="1"/>
    <xf numFmtId="0" fontId="10" fillId="52" borderId="0" xfId="228" applyFont="1" applyFill="1"/>
    <xf numFmtId="0" fontId="70" fillId="52" borderId="0" xfId="228" applyFont="1" applyFill="1" applyBorder="1" applyAlignment="1">
      <alignment horizontal="left" vertical="center"/>
    </xf>
    <xf numFmtId="0" fontId="6" fillId="52" borderId="131" xfId="228" applyFont="1" applyFill="1" applyBorder="1" applyAlignment="1">
      <alignment horizontal="center" vertical="center" wrapText="1"/>
    </xf>
    <xf numFmtId="3" fontId="6" fillId="52" borderId="40" xfId="228" applyNumberFormat="1" applyFont="1" applyFill="1" applyBorder="1" applyAlignment="1">
      <alignment horizontal="center" vertical="center"/>
    </xf>
    <xf numFmtId="0" fontId="6" fillId="52" borderId="132" xfId="228" applyFont="1" applyFill="1" applyBorder="1" applyAlignment="1">
      <alignment horizontal="center" vertical="center" wrapText="1"/>
    </xf>
    <xf numFmtId="0" fontId="10" fillId="52" borderId="40" xfId="228" applyFont="1" applyFill="1" applyBorder="1" applyAlignment="1">
      <alignment horizontal="left" vertical="center"/>
    </xf>
    <xf numFmtId="3" fontId="10" fillId="52" borderId="0" xfId="228" applyNumberFormat="1" applyFont="1" applyFill="1"/>
    <xf numFmtId="0" fontId="6" fillId="52" borderId="40" xfId="228" applyFont="1" applyFill="1" applyBorder="1" applyAlignment="1">
      <alignment horizontal="left" vertical="center"/>
    </xf>
    <xf numFmtId="0" fontId="13" fillId="52" borderId="0" xfId="228" applyFont="1" applyFill="1" applyBorder="1" applyAlignment="1">
      <alignment horizontal="left" vertical="center" wrapText="1"/>
    </xf>
    <xf numFmtId="0" fontId="13" fillId="52" borderId="0" xfId="228" applyFont="1" applyFill="1" applyBorder="1" applyAlignment="1">
      <alignment horizontal="left" vertical="center"/>
    </xf>
    <xf numFmtId="0" fontId="9" fillId="52" borderId="0" xfId="228" applyFont="1" applyFill="1" applyBorder="1" applyAlignment="1">
      <alignment horizontal="left" vertical="center"/>
    </xf>
    <xf numFmtId="0" fontId="13" fillId="52" borderId="0" xfId="228" applyFont="1" applyFill="1" applyBorder="1" applyAlignment="1">
      <alignment vertical="center"/>
    </xf>
    <xf numFmtId="0" fontId="10" fillId="52" borderId="0" xfId="230" applyFont="1" applyFill="1"/>
    <xf numFmtId="0" fontId="13" fillId="52" borderId="40" xfId="228" applyFont="1" applyFill="1" applyBorder="1" applyAlignment="1">
      <alignment horizontal="left" vertical="center" wrapText="1"/>
    </xf>
    <xf numFmtId="3" fontId="10" fillId="52" borderId="0" xfId="228" applyNumberFormat="1" applyFont="1" applyFill="1" applyAlignment="1">
      <alignment vertical="center"/>
    </xf>
    <xf numFmtId="0" fontId="9" fillId="52" borderId="40" xfId="228" applyFont="1" applyFill="1" applyBorder="1" applyAlignment="1">
      <alignment horizontal="left" vertical="center" wrapText="1"/>
    </xf>
    <xf numFmtId="0" fontId="10" fillId="52" borderId="40" xfId="228" applyFont="1" applyFill="1" applyBorder="1" applyAlignment="1">
      <alignment horizontal="left" vertical="center" wrapText="1"/>
    </xf>
    <xf numFmtId="0" fontId="10" fillId="52" borderId="40" xfId="228" applyFont="1" applyFill="1" applyBorder="1" applyAlignment="1">
      <alignment horizontal="right" vertical="center"/>
    </xf>
    <xf numFmtId="0" fontId="10" fillId="52" borderId="40" xfId="228" applyFont="1" applyFill="1" applyBorder="1" applyAlignment="1">
      <alignment vertical="center"/>
    </xf>
    <xf numFmtId="3" fontId="13" fillId="52" borderId="0" xfId="228" applyNumberFormat="1" applyFont="1" applyFill="1" applyBorder="1" applyAlignment="1">
      <alignment horizontal="left" vertical="center"/>
    </xf>
    <xf numFmtId="0" fontId="10" fillId="52" borderId="0" xfId="228" applyFont="1" applyFill="1" applyAlignment="1">
      <alignment vertical="center"/>
    </xf>
    <xf numFmtId="0" fontId="6" fillId="52" borderId="40" xfId="228" applyFont="1" applyFill="1" applyBorder="1" applyAlignment="1">
      <alignment vertical="center" wrapText="1"/>
    </xf>
    <xf numFmtId="3" fontId="6" fillId="52" borderId="40" xfId="228" applyNumberFormat="1" applyFont="1" applyFill="1" applyBorder="1" applyAlignment="1">
      <alignment vertical="center" wrapText="1"/>
    </xf>
    <xf numFmtId="0" fontId="19" fillId="52" borderId="0" xfId="228" applyFont="1" applyFill="1" applyAlignment="1">
      <alignment horizontal="left" vertical="center"/>
    </xf>
    <xf numFmtId="0" fontId="10" fillId="52" borderId="0" xfId="228" applyFont="1" applyFill="1" applyAlignment="1">
      <alignment horizontal="left" vertical="center"/>
    </xf>
    <xf numFmtId="0" fontId="17" fillId="0" borderId="68" xfId="782" applyNumberFormat="1" applyFont="1" applyFill="1" applyBorder="1"/>
    <xf numFmtId="0" fontId="75" fillId="52" borderId="92" xfId="0" applyFont="1" applyFill="1" applyBorder="1" applyAlignment="1">
      <alignment wrapText="1"/>
    </xf>
    <xf numFmtId="3" fontId="17" fillId="52" borderId="80" xfId="0" applyNumberFormat="1" applyFont="1" applyFill="1" applyBorder="1" applyAlignment="1">
      <alignment wrapText="1"/>
    </xf>
    <xf numFmtId="3" fontId="17" fillId="52" borderId="68" xfId="0" applyNumberFormat="1" applyFont="1" applyFill="1" applyBorder="1" applyAlignment="1">
      <alignment wrapText="1"/>
    </xf>
    <xf numFmtId="4" fontId="16" fillId="52" borderId="17" xfId="0" applyNumberFormat="1" applyFont="1" applyFill="1" applyBorder="1"/>
    <xf numFmtId="3" fontId="17" fillId="52" borderId="80" xfId="0" applyNumberFormat="1" applyFont="1" applyFill="1" applyBorder="1"/>
    <xf numFmtId="3" fontId="17" fillId="52" borderId="68" xfId="0" applyNumberFormat="1" applyFont="1" applyFill="1" applyBorder="1"/>
    <xf numFmtId="3" fontId="16" fillId="52" borderId="68" xfId="0" applyNumberFormat="1" applyFont="1" applyFill="1" applyBorder="1"/>
    <xf numFmtId="4" fontId="16" fillId="52" borderId="53" xfId="0" applyNumberFormat="1" applyFont="1" applyFill="1" applyBorder="1"/>
    <xf numFmtId="4" fontId="16" fillId="52" borderId="72" xfId="0" applyNumberFormat="1" applyFont="1" applyFill="1" applyBorder="1"/>
    <xf numFmtId="3" fontId="17" fillId="52" borderId="91" xfId="0" quotePrefix="1" applyNumberFormat="1" applyFont="1" applyFill="1" applyBorder="1" applyAlignment="1" applyProtection="1">
      <alignment horizontal="right"/>
    </xf>
    <xf numFmtId="3" fontId="17" fillId="52" borderId="21" xfId="0" quotePrefix="1" applyNumberFormat="1" applyFont="1" applyFill="1" applyBorder="1" applyAlignment="1" applyProtection="1">
      <alignment horizontal="right"/>
    </xf>
    <xf numFmtId="173" fontId="0" fillId="0" borderId="0" xfId="0" applyNumberFormat="1"/>
    <xf numFmtId="3" fontId="47" fillId="29" borderId="73" xfId="782" applyNumberFormat="1" applyFont="1" applyFill="1" applyBorder="1"/>
    <xf numFmtId="3" fontId="17" fillId="0" borderId="73" xfId="782" applyNumberFormat="1" applyFont="1" applyFill="1" applyBorder="1"/>
    <xf numFmtId="0" fontId="47" fillId="29" borderId="73" xfId="782" applyNumberFormat="1" applyFont="1" applyFill="1" applyBorder="1"/>
    <xf numFmtId="1" fontId="17" fillId="0" borderId="74" xfId="818" applyNumberFormat="1" applyFont="1" applyFill="1" applyBorder="1"/>
    <xf numFmtId="3" fontId="17" fillId="52" borderId="65" xfId="782" applyNumberFormat="1" applyFont="1" applyFill="1" applyBorder="1"/>
    <xf numFmtId="3" fontId="17" fillId="52" borderId="128" xfId="0" quotePrefix="1" applyNumberFormat="1" applyFont="1" applyFill="1" applyBorder="1" applyAlignment="1" applyProtection="1">
      <alignment horizontal="right"/>
    </xf>
    <xf numFmtId="3" fontId="49" fillId="52" borderId="28" xfId="818" applyNumberFormat="1" applyFont="1" applyFill="1" applyBorder="1" applyAlignment="1">
      <alignment horizontal="right" vertical="center"/>
    </xf>
    <xf numFmtId="3" fontId="49" fillId="52" borderId="17" xfId="818" applyNumberFormat="1" applyFont="1" applyFill="1" applyBorder="1" applyAlignment="1">
      <alignment horizontal="right" vertical="center"/>
    </xf>
    <xf numFmtId="3" fontId="17" fillId="52" borderId="70" xfId="0" applyNumberFormat="1" applyFont="1" applyFill="1" applyBorder="1" applyAlignment="1">
      <alignment horizontal="right"/>
    </xf>
    <xf numFmtId="3" fontId="17" fillId="52" borderId="50" xfId="0" applyNumberFormat="1" applyFont="1" applyFill="1" applyBorder="1" applyAlignment="1">
      <alignment horizontal="right"/>
    </xf>
    <xf numFmtId="3" fontId="17" fillId="52" borderId="84" xfId="0" applyNumberFormat="1" applyFont="1" applyFill="1" applyBorder="1" applyAlignment="1">
      <alignment horizontal="right"/>
    </xf>
    <xf numFmtId="3" fontId="17" fillId="52" borderId="59" xfId="0" applyNumberFormat="1" applyFont="1" applyFill="1" applyBorder="1" applyAlignment="1">
      <alignment horizontal="right"/>
    </xf>
    <xf numFmtId="3" fontId="47" fillId="52" borderId="70" xfId="0" applyNumberFormat="1" applyFont="1" applyFill="1" applyBorder="1"/>
    <xf numFmtId="3" fontId="47" fillId="52" borderId="50" xfId="0" applyNumberFormat="1" applyFont="1" applyFill="1" applyBorder="1"/>
    <xf numFmtId="3" fontId="47" fillId="52" borderId="85" xfId="0" applyNumberFormat="1" applyFont="1" applyFill="1" applyBorder="1"/>
    <xf numFmtId="3" fontId="47" fillId="52" borderId="84" xfId="0" applyNumberFormat="1" applyFont="1" applyFill="1" applyBorder="1"/>
    <xf numFmtId="0" fontId="213" fillId="53" borderId="0" xfId="790" applyFont="1" applyFill="1" applyBorder="1"/>
    <xf numFmtId="0" fontId="214" fillId="53" borderId="0" xfId="790" applyFont="1" applyFill="1" applyBorder="1" applyAlignment="1">
      <alignment horizontal="center" vertical="center"/>
    </xf>
    <xf numFmtId="0" fontId="215" fillId="53" borderId="0" xfId="790" applyFont="1" applyFill="1" applyBorder="1" applyAlignment="1">
      <alignment horizontal="center" vertical="center"/>
    </xf>
    <xf numFmtId="0" fontId="214" fillId="0" borderId="0" xfId="790" applyFont="1" applyBorder="1" applyAlignment="1">
      <alignment vertical="center" wrapText="1"/>
    </xf>
    <xf numFmtId="10" fontId="216" fillId="0" borderId="0" xfId="850" applyNumberFormat="1" applyFont="1" applyBorder="1" applyAlignment="1">
      <alignment vertical="center"/>
    </xf>
    <xf numFmtId="0" fontId="216" fillId="0" borderId="0" xfId="790" applyFont="1" applyBorder="1"/>
    <xf numFmtId="0" fontId="29" fillId="52" borderId="133" xfId="789" applyFont="1" applyFill="1" applyBorder="1"/>
    <xf numFmtId="3" fontId="6" fillId="52" borderId="134" xfId="789" applyNumberFormat="1" applyFont="1" applyFill="1" applyBorder="1" applyAlignment="1">
      <alignment horizontal="right" indent="2"/>
    </xf>
    <xf numFmtId="4" fontId="10" fillId="52" borderId="81" xfId="789" applyNumberFormat="1" applyFont="1" applyFill="1" applyBorder="1" applyAlignment="1">
      <alignment horizontal="right" indent="2"/>
    </xf>
    <xf numFmtId="4" fontId="10" fillId="52" borderId="134" xfId="789" applyNumberFormat="1" applyFont="1" applyFill="1" applyBorder="1" applyAlignment="1">
      <alignment horizontal="right" indent="2"/>
    </xf>
    <xf numFmtId="4" fontId="10" fillId="52" borderId="135" xfId="789" applyNumberFormat="1" applyFont="1" applyFill="1" applyBorder="1" applyAlignment="1">
      <alignment horizontal="right" indent="2"/>
    </xf>
    <xf numFmtId="166" fontId="6" fillId="52" borderId="40" xfId="820" applyNumberFormat="1" applyFont="1" applyFill="1" applyBorder="1" applyAlignment="1">
      <alignment horizontal="center" vertical="center" wrapText="1"/>
    </xf>
    <xf numFmtId="1" fontId="204" fillId="0" borderId="0" xfId="790" applyNumberFormat="1" applyFont="1"/>
    <xf numFmtId="0" fontId="130" fillId="0" borderId="0" xfId="257"/>
    <xf numFmtId="0" fontId="216" fillId="0" borderId="0" xfId="790" applyFont="1"/>
    <xf numFmtId="3" fontId="214" fillId="0" borderId="0" xfId="790" applyNumberFormat="1" applyFont="1" applyBorder="1" applyAlignment="1">
      <alignment horizontal="left" vertical="center" wrapText="1"/>
    </xf>
    <xf numFmtId="10" fontId="216" fillId="0" borderId="0" xfId="850" applyNumberFormat="1" applyFont="1" applyBorder="1" applyAlignment="1">
      <alignment horizontal="center" vertical="center"/>
    </xf>
    <xf numFmtId="10" fontId="216" fillId="0" borderId="0" xfId="790" applyNumberFormat="1" applyFont="1"/>
    <xf numFmtId="3" fontId="216" fillId="0" borderId="0" xfId="790" applyNumberFormat="1" applyFont="1"/>
    <xf numFmtId="0" fontId="217" fillId="0" borderId="0" xfId="790" applyFont="1" applyBorder="1" applyAlignment="1">
      <alignment horizontal="center"/>
    </xf>
    <xf numFmtId="0" fontId="218" fillId="0" borderId="0" xfId="790" applyFont="1" applyBorder="1" applyAlignment="1">
      <alignment horizontal="center"/>
    </xf>
    <xf numFmtId="3" fontId="16" fillId="55" borderId="97" xfId="0" applyNumberFormat="1" applyFont="1" applyFill="1" applyBorder="1"/>
    <xf numFmtId="0" fontId="13" fillId="52" borderId="136" xfId="228" applyFont="1" applyFill="1" applyBorder="1" applyAlignment="1">
      <alignment horizontal="left" vertical="center" wrapText="1"/>
    </xf>
    <xf numFmtId="0" fontId="204" fillId="52" borderId="0" xfId="790" applyFont="1" applyFill="1"/>
    <xf numFmtId="165" fontId="204" fillId="0" borderId="0" xfId="790" applyNumberFormat="1" applyFont="1" applyBorder="1"/>
    <xf numFmtId="0" fontId="204" fillId="0" borderId="0" xfId="781" applyFont="1"/>
    <xf numFmtId="0" fontId="208" fillId="0" borderId="0" xfId="790" applyFont="1"/>
    <xf numFmtId="0" fontId="208" fillId="0" borderId="0" xfId="790" applyFont="1" applyAlignment="1">
      <alignment vertical="center"/>
    </xf>
    <xf numFmtId="176" fontId="204" fillId="52" borderId="0" xfId="818" applyNumberFormat="1" applyFont="1" applyFill="1" applyAlignment="1">
      <alignment vertical="center"/>
    </xf>
    <xf numFmtId="0" fontId="204" fillId="52" borderId="0" xfId="790" applyFont="1" applyFill="1" applyAlignment="1">
      <alignment vertical="center"/>
    </xf>
    <xf numFmtId="3" fontId="204" fillId="52" borderId="0" xfId="790" applyNumberFormat="1" applyFont="1" applyFill="1"/>
    <xf numFmtId="3" fontId="47" fillId="0" borderId="97" xfId="782" applyNumberFormat="1" applyFont="1" applyFill="1" applyBorder="1"/>
    <xf numFmtId="0" fontId="124" fillId="52" borderId="0" xfId="0" applyFont="1" applyFill="1" applyAlignment="1">
      <alignment vertical="center" wrapText="1"/>
    </xf>
    <xf numFmtId="17" fontId="17" fillId="0" borderId="0" xfId="0" quotePrefix="1" applyNumberFormat="1" applyFont="1" applyFill="1"/>
    <xf numFmtId="0" fontId="9" fillId="51" borderId="49" xfId="0" applyFont="1" applyFill="1" applyBorder="1" applyAlignment="1">
      <alignment horizontal="centerContinuous"/>
    </xf>
    <xf numFmtId="0" fontId="9" fillId="51" borderId="0" xfId="0" applyFont="1" applyFill="1" applyBorder="1" applyAlignment="1">
      <alignment horizontal="centerContinuous"/>
    </xf>
    <xf numFmtId="0" fontId="9" fillId="51" borderId="14" xfId="0" applyFont="1" applyFill="1" applyBorder="1" applyAlignment="1">
      <alignment horizontal="center"/>
    </xf>
    <xf numFmtId="166" fontId="9" fillId="51" borderId="63" xfId="818" applyNumberFormat="1" applyFont="1" applyFill="1" applyBorder="1" applyAlignment="1">
      <alignment horizontal="center" wrapText="1"/>
    </xf>
    <xf numFmtId="170" fontId="75" fillId="56" borderId="22" xfId="818" applyNumberFormat="1" applyFont="1" applyFill="1" applyBorder="1" applyAlignment="1">
      <alignment horizontal="center" vertical="center"/>
    </xf>
    <xf numFmtId="3" fontId="42" fillId="56" borderId="51" xfId="0" applyNumberFormat="1" applyFont="1" applyFill="1" applyBorder="1"/>
    <xf numFmtId="168" fontId="16" fillId="56" borderId="95" xfId="0" applyNumberFormat="1" applyFont="1" applyFill="1" applyBorder="1" applyAlignment="1">
      <alignment horizontal="right"/>
    </xf>
    <xf numFmtId="3" fontId="42" fillId="56" borderId="74" xfId="0" applyNumberFormat="1" applyFont="1" applyFill="1" applyBorder="1"/>
    <xf numFmtId="4" fontId="42" fillId="56" borderId="95" xfId="0" applyNumberFormat="1" applyFont="1" applyFill="1" applyBorder="1"/>
    <xf numFmtId="0" fontId="40" fillId="56" borderId="29" xfId="0" applyFont="1" applyFill="1" applyBorder="1"/>
    <xf numFmtId="0" fontId="17" fillId="56" borderId="22" xfId="0" applyFont="1" applyFill="1" applyBorder="1" applyAlignment="1">
      <alignment vertical="center" wrapText="1"/>
    </xf>
    <xf numFmtId="170" fontId="75" fillId="56" borderId="51" xfId="818" applyNumberFormat="1" applyFont="1" applyFill="1" applyBorder="1" applyAlignment="1">
      <alignment horizontal="center" vertical="center"/>
    </xf>
    <xf numFmtId="4" fontId="75" fillId="56" borderId="95" xfId="818" applyNumberFormat="1" applyFont="1" applyFill="1" applyBorder="1" applyAlignment="1">
      <alignment horizontal="right" vertical="center"/>
    </xf>
    <xf numFmtId="4" fontId="75" fillId="56" borderId="22" xfId="818" applyNumberFormat="1" applyFont="1" applyFill="1" applyBorder="1" applyAlignment="1">
      <alignment horizontal="right" vertical="center"/>
    </xf>
    <xf numFmtId="3" fontId="16" fillId="56" borderId="22" xfId="0" applyNumberFormat="1" applyFont="1" applyFill="1" applyBorder="1"/>
    <xf numFmtId="168" fontId="16" fillId="56" borderId="22" xfId="0" applyNumberFormat="1" applyFont="1" applyFill="1" applyBorder="1"/>
    <xf numFmtId="3" fontId="42" fillId="56" borderId="22" xfId="0" applyNumberFormat="1" applyFont="1" applyFill="1" applyBorder="1"/>
    <xf numFmtId="4" fontId="16" fillId="56" borderId="22" xfId="0" applyNumberFormat="1" applyFont="1" applyFill="1" applyBorder="1"/>
    <xf numFmtId="3" fontId="0" fillId="0" borderId="0" xfId="0" applyNumberFormat="1" applyBorder="1"/>
    <xf numFmtId="0" fontId="10" fillId="52" borderId="0" xfId="790" applyFont="1" applyFill="1" applyAlignment="1">
      <alignment vertical="center"/>
    </xf>
    <xf numFmtId="3" fontId="62" fillId="56" borderId="26" xfId="0" applyNumberFormat="1" applyFont="1" applyFill="1" applyBorder="1" applyAlignment="1">
      <alignment horizontal="right" wrapText="1"/>
    </xf>
    <xf numFmtId="3" fontId="62" fillId="56" borderId="73" xfId="0" applyNumberFormat="1" applyFont="1" applyFill="1" applyBorder="1" applyAlignment="1">
      <alignment horizontal="right" wrapText="1"/>
    </xf>
    <xf numFmtId="3" fontId="62" fillId="56" borderId="74" xfId="0" applyNumberFormat="1" applyFont="1" applyFill="1" applyBorder="1" applyAlignment="1">
      <alignment horizontal="right" wrapText="1"/>
    </xf>
    <xf numFmtId="3" fontId="62" fillId="56" borderId="95" xfId="0" applyNumberFormat="1" applyFont="1" applyFill="1" applyBorder="1" applyAlignment="1">
      <alignment horizontal="right" wrapText="1"/>
    </xf>
    <xf numFmtId="3" fontId="62" fillId="56" borderId="22" xfId="0" applyNumberFormat="1" applyFont="1" applyFill="1" applyBorder="1" applyAlignment="1">
      <alignment horizontal="right" wrapText="1"/>
    </xf>
    <xf numFmtId="3" fontId="62" fillId="56" borderId="97" xfId="0" applyNumberFormat="1" applyFont="1" applyFill="1" applyBorder="1" applyAlignment="1">
      <alignment horizontal="right" wrapText="1"/>
    </xf>
    <xf numFmtId="3" fontId="62" fillId="56" borderId="62" xfId="0" applyNumberFormat="1" applyFont="1" applyFill="1" applyBorder="1" applyAlignment="1">
      <alignment horizontal="right" wrapText="1"/>
    </xf>
    <xf numFmtId="3" fontId="29" fillId="56" borderId="25" xfId="0" applyNumberFormat="1" applyFont="1" applyFill="1" applyBorder="1"/>
    <xf numFmtId="3" fontId="44" fillId="56" borderId="56" xfId="187" applyNumberFormat="1" applyFont="1" applyFill="1" applyBorder="1" applyAlignment="1">
      <alignment horizontal="center" vertical="center"/>
    </xf>
    <xf numFmtId="3" fontId="62" fillId="56" borderId="29" xfId="0" applyNumberFormat="1" applyFont="1" applyFill="1" applyBorder="1" applyAlignment="1">
      <alignment horizontal="right" wrapText="1"/>
    </xf>
    <xf numFmtId="3" fontId="88" fillId="56" borderId="56" xfId="187" applyNumberFormat="1" applyFont="1" applyFill="1" applyBorder="1" applyAlignment="1">
      <alignment horizontal="center" vertical="center"/>
    </xf>
    <xf numFmtId="3" fontId="88" fillId="56" borderId="137" xfId="792" applyFont="1" applyFill="1" applyBorder="1" applyAlignment="1">
      <alignment vertical="center"/>
    </xf>
    <xf numFmtId="3" fontId="42" fillId="56" borderId="138" xfId="797" applyNumberFormat="1" applyFont="1" applyFill="1" applyBorder="1" applyAlignment="1">
      <alignment horizontal="right"/>
    </xf>
    <xf numFmtId="3" fontId="42" fillId="56" borderId="139" xfId="797" applyNumberFormat="1" applyFont="1" applyFill="1" applyBorder="1" applyAlignment="1">
      <alignment horizontal="right"/>
    </xf>
    <xf numFmtId="3" fontId="42" fillId="56" borderId="51" xfId="797" applyNumberFormat="1" applyFont="1" applyFill="1" applyBorder="1" applyAlignment="1">
      <alignment horizontal="right"/>
    </xf>
    <xf numFmtId="3" fontId="42" fillId="56" borderId="26" xfId="797" applyNumberFormat="1" applyFont="1" applyFill="1" applyBorder="1" applyAlignment="1">
      <alignment horizontal="right"/>
    </xf>
    <xf numFmtId="3" fontId="42" fillId="56" borderId="73" xfId="797" applyNumberFormat="1" applyFont="1" applyFill="1" applyBorder="1" applyAlignment="1">
      <alignment horizontal="right"/>
    </xf>
    <xf numFmtId="3" fontId="42" fillId="56" borderId="95" xfId="797" applyNumberFormat="1" applyFont="1" applyFill="1" applyBorder="1" applyAlignment="1">
      <alignment horizontal="right"/>
    </xf>
    <xf numFmtId="3" fontId="42" fillId="56" borderId="52" xfId="797" applyNumberFormat="1" applyFont="1" applyFill="1" applyBorder="1" applyAlignment="1">
      <alignment horizontal="right"/>
    </xf>
    <xf numFmtId="3" fontId="42" fillId="56" borderId="77" xfId="787" applyNumberFormat="1" applyFont="1" applyFill="1" applyBorder="1"/>
    <xf numFmtId="3" fontId="42" fillId="56" borderId="16" xfId="787" applyNumberFormat="1" applyFont="1" applyFill="1" applyBorder="1"/>
    <xf numFmtId="3" fontId="42" fillId="56" borderId="74" xfId="797" applyNumberFormat="1" applyFont="1" applyFill="1" applyBorder="1" applyAlignment="1">
      <alignment horizontal="right"/>
    </xf>
    <xf numFmtId="3" fontId="19" fillId="0" borderId="0" xfId="0" applyNumberFormat="1" applyFont="1" applyFill="1" applyBorder="1" applyAlignment="1" applyProtection="1">
      <alignment horizontal="left" wrapText="1"/>
    </xf>
    <xf numFmtId="168" fontId="16" fillId="0" borderId="90" xfId="0" applyNumberFormat="1" applyFont="1" applyBorder="1" applyAlignment="1">
      <alignment horizontal="right"/>
    </xf>
    <xf numFmtId="3" fontId="47" fillId="52" borderId="140" xfId="0" applyNumberFormat="1" applyFont="1" applyFill="1" applyBorder="1"/>
    <xf numFmtId="3" fontId="87" fillId="0" borderId="141" xfId="0" applyNumberFormat="1" applyFont="1" applyFill="1" applyBorder="1"/>
    <xf numFmtId="0" fontId="49" fillId="29" borderId="20" xfId="0" applyNumberFormat="1" applyFont="1" applyFill="1" applyBorder="1" applyAlignment="1">
      <alignment horizontal="right" wrapText="1"/>
    </xf>
    <xf numFmtId="0" fontId="49" fillId="29" borderId="67" xfId="0" applyNumberFormat="1" applyFont="1" applyFill="1" applyBorder="1" applyAlignment="1">
      <alignment horizontal="right" wrapText="1"/>
    </xf>
    <xf numFmtId="3" fontId="42" fillId="30" borderId="74" xfId="0" applyNumberFormat="1" applyFont="1" applyFill="1" applyBorder="1"/>
    <xf numFmtId="3" fontId="17" fillId="52" borderId="140" xfId="782" applyNumberFormat="1" applyFont="1" applyFill="1" applyBorder="1"/>
    <xf numFmtId="3" fontId="17" fillId="52" borderId="70" xfId="782" applyNumberFormat="1" applyFont="1" applyFill="1" applyBorder="1"/>
    <xf numFmtId="3" fontId="47" fillId="52" borderId="70" xfId="782" applyNumberFormat="1" applyFont="1" applyFill="1" applyBorder="1"/>
    <xf numFmtId="170" fontId="4" fillId="0" borderId="51" xfId="818" applyNumberFormat="1" applyFont="1" applyBorder="1"/>
    <xf numFmtId="3" fontId="17" fillId="0" borderId="70" xfId="782" applyNumberFormat="1" applyFont="1" applyFill="1" applyBorder="1"/>
    <xf numFmtId="1" fontId="17" fillId="0" borderId="70" xfId="818" applyNumberFormat="1" applyFont="1" applyFill="1" applyBorder="1"/>
    <xf numFmtId="0" fontId="219" fillId="57" borderId="228" xfId="0" applyFont="1" applyFill="1" applyBorder="1" applyAlignment="1">
      <alignment vertical="center" wrapText="1"/>
    </xf>
    <xf numFmtId="0" fontId="23" fillId="31" borderId="49" xfId="782" applyFont="1" applyFill="1" applyBorder="1" applyAlignment="1">
      <alignment horizontal="center" vertical="center" wrapText="1"/>
    </xf>
    <xf numFmtId="0" fontId="23" fillId="31" borderId="31" xfId="782" applyFont="1" applyFill="1" applyBorder="1" applyAlignment="1">
      <alignment horizontal="center" vertical="center" wrapText="1"/>
    </xf>
    <xf numFmtId="0" fontId="219" fillId="57" borderId="39" xfId="0" applyFont="1" applyFill="1" applyBorder="1" applyAlignment="1">
      <alignment vertical="center" wrapText="1"/>
    </xf>
    <xf numFmtId="4" fontId="204" fillId="52" borderId="70" xfId="789" applyNumberFormat="1" applyFont="1" applyFill="1" applyBorder="1" applyAlignment="1">
      <alignment horizontal="right" indent="2"/>
    </xf>
    <xf numFmtId="4" fontId="204" fillId="52" borderId="66" xfId="789" applyNumberFormat="1" applyFont="1" applyFill="1" applyBorder="1" applyAlignment="1">
      <alignment horizontal="right" indent="2"/>
    </xf>
    <xf numFmtId="0" fontId="6" fillId="52" borderId="40" xfId="228" applyFont="1" applyFill="1" applyBorder="1" applyAlignment="1">
      <alignment vertical="center"/>
    </xf>
    <xf numFmtId="3" fontId="17" fillId="52" borderId="66" xfId="0" applyNumberFormat="1" applyFont="1" applyFill="1" applyBorder="1" applyAlignment="1">
      <alignment horizontal="right"/>
    </xf>
    <xf numFmtId="3" fontId="17" fillId="52" borderId="72" xfId="0" applyNumberFormat="1" applyFont="1" applyFill="1" applyBorder="1" applyAlignment="1">
      <alignment horizontal="right"/>
    </xf>
    <xf numFmtId="3" fontId="17" fillId="52" borderId="93" xfId="0" applyNumberFormat="1" applyFont="1" applyFill="1" applyBorder="1" applyAlignment="1">
      <alignment horizontal="right"/>
    </xf>
    <xf numFmtId="3" fontId="17" fillId="52" borderId="60" xfId="0" applyNumberFormat="1" applyFont="1" applyFill="1" applyBorder="1" applyAlignment="1">
      <alignment horizontal="right"/>
    </xf>
    <xf numFmtId="170" fontId="75" fillId="56" borderId="62" xfId="818" applyNumberFormat="1" applyFont="1" applyFill="1" applyBorder="1" applyAlignment="1">
      <alignment horizontal="center" vertical="center"/>
    </xf>
    <xf numFmtId="0" fontId="23" fillId="31" borderId="0" xfId="782" applyFont="1" applyFill="1" applyBorder="1" applyAlignment="1">
      <alignment horizontal="center" vertical="center" wrapText="1"/>
    </xf>
    <xf numFmtId="0" fontId="23" fillId="31" borderId="142" xfId="782" applyFont="1" applyFill="1" applyBorder="1" applyAlignment="1">
      <alignment horizontal="center" vertical="center" wrapText="1"/>
    </xf>
    <xf numFmtId="0" fontId="23" fillId="31" borderId="30" xfId="782" applyFont="1" applyFill="1" applyBorder="1" applyAlignment="1">
      <alignment horizontal="center" vertical="center" wrapText="1"/>
    </xf>
    <xf numFmtId="0" fontId="29" fillId="52" borderId="52" xfId="789" applyFont="1" applyFill="1" applyBorder="1"/>
    <xf numFmtId="3" fontId="6" fillId="52" borderId="77" xfId="789" applyNumberFormat="1" applyFont="1" applyFill="1" applyBorder="1" applyAlignment="1">
      <alignment horizontal="right" indent="2"/>
    </xf>
    <xf numFmtId="4" fontId="10" fillId="52" borderId="30" xfId="789" applyNumberFormat="1" applyFont="1" applyFill="1" applyBorder="1" applyAlignment="1">
      <alignment horizontal="right" indent="2"/>
    </xf>
    <xf numFmtId="4" fontId="10" fillId="52" borderId="77" xfId="789" applyNumberFormat="1" applyFont="1" applyFill="1" applyBorder="1" applyAlignment="1">
      <alignment horizontal="right" indent="2"/>
    </xf>
    <xf numFmtId="4" fontId="204" fillId="52" borderId="30" xfId="789" applyNumberFormat="1" applyFont="1" applyFill="1" applyBorder="1" applyAlignment="1">
      <alignment horizontal="right" indent="2"/>
    </xf>
    <xf numFmtId="4" fontId="204" fillId="52" borderId="16" xfId="789" applyNumberFormat="1" applyFont="1" applyFill="1" applyBorder="1" applyAlignment="1">
      <alignment horizontal="right" indent="2"/>
    </xf>
    <xf numFmtId="0" fontId="29" fillId="58" borderId="37" xfId="789" applyFont="1" applyFill="1" applyBorder="1"/>
    <xf numFmtId="3" fontId="6" fillId="58" borderId="65" xfId="789" applyNumberFormat="1" applyFont="1" applyFill="1" applyBorder="1" applyAlignment="1">
      <alignment horizontal="right" indent="2"/>
    </xf>
    <xf numFmtId="4" fontId="10" fillId="58" borderId="70" xfId="789" applyNumberFormat="1" applyFont="1" applyFill="1" applyBorder="1" applyAlignment="1">
      <alignment horizontal="right" indent="2"/>
    </xf>
    <xf numFmtId="4" fontId="10" fillId="58" borderId="65" xfId="789" applyNumberFormat="1" applyFont="1" applyFill="1" applyBorder="1" applyAlignment="1">
      <alignment horizontal="right" indent="2"/>
    </xf>
    <xf numFmtId="4" fontId="10" fillId="58" borderId="66" xfId="789" applyNumberFormat="1" applyFont="1" applyFill="1" applyBorder="1" applyAlignment="1">
      <alignment horizontal="right" indent="2"/>
    </xf>
    <xf numFmtId="3" fontId="17" fillId="52" borderId="51" xfId="782" applyNumberFormat="1" applyFont="1" applyFill="1" applyBorder="1"/>
    <xf numFmtId="3" fontId="10" fillId="0" borderId="0" xfId="790" applyNumberFormat="1" applyFont="1"/>
    <xf numFmtId="3" fontId="17" fillId="29" borderId="0" xfId="790" applyNumberFormat="1" applyFont="1" applyFill="1" applyBorder="1" applyAlignment="1">
      <alignment horizontal="right" indent="4"/>
    </xf>
    <xf numFmtId="0" fontId="10" fillId="0" borderId="0" xfId="781" applyFont="1"/>
    <xf numFmtId="3" fontId="17" fillId="0" borderId="53" xfId="790" applyNumberFormat="1" applyFont="1" applyBorder="1" applyAlignment="1">
      <alignment horizontal="right" indent="2"/>
    </xf>
    <xf numFmtId="3" fontId="16" fillId="30" borderId="62" xfId="790" applyNumberFormat="1" applyFont="1" applyFill="1" applyBorder="1" applyAlignment="1">
      <alignment horizontal="right" indent="2"/>
    </xf>
    <xf numFmtId="166" fontId="10" fillId="0" borderId="0" xfId="790" applyNumberFormat="1" applyFont="1"/>
    <xf numFmtId="166" fontId="10" fillId="0" borderId="0" xfId="781" applyNumberFormat="1" applyFont="1"/>
    <xf numFmtId="4" fontId="10" fillId="52" borderId="66" xfId="789" applyNumberFormat="1" applyFont="1" applyFill="1" applyBorder="1" applyAlignment="1">
      <alignment horizontal="right" indent="2"/>
    </xf>
    <xf numFmtId="3" fontId="47" fillId="52" borderId="69" xfId="0" applyNumberFormat="1" applyFont="1" applyFill="1" applyBorder="1"/>
    <xf numFmtId="3" fontId="47" fillId="52" borderId="72" xfId="0" applyNumberFormat="1" applyFont="1" applyFill="1" applyBorder="1"/>
    <xf numFmtId="3" fontId="47" fillId="52" borderId="143" xfId="0" applyNumberFormat="1" applyFont="1" applyFill="1" applyBorder="1"/>
    <xf numFmtId="3" fontId="47" fillId="52" borderId="93" xfId="0" applyNumberFormat="1" applyFont="1" applyFill="1" applyBorder="1"/>
    <xf numFmtId="3" fontId="47" fillId="52" borderId="51" xfId="782" applyNumberFormat="1" applyFont="1" applyFill="1" applyBorder="1"/>
    <xf numFmtId="0" fontId="47" fillId="29" borderId="66" xfId="782" applyNumberFormat="1" applyFont="1" applyFill="1" applyBorder="1"/>
    <xf numFmtId="3" fontId="17" fillId="52" borderId="77" xfId="782" applyNumberFormat="1" applyFont="1" applyFill="1" applyBorder="1"/>
    <xf numFmtId="3" fontId="17" fillId="59" borderId="38" xfId="0" applyNumberFormat="1" applyFont="1" applyFill="1" applyBorder="1" applyAlignment="1">
      <alignment wrapText="1"/>
    </xf>
    <xf numFmtId="0" fontId="23" fillId="31" borderId="144" xfId="782" applyFont="1" applyFill="1" applyBorder="1" applyAlignment="1">
      <alignment horizontal="center" vertical="center" wrapText="1"/>
    </xf>
    <xf numFmtId="0" fontId="23" fillId="31" borderId="76" xfId="782" applyFont="1" applyFill="1" applyBorder="1" applyAlignment="1">
      <alignment horizontal="center" vertical="center" wrapText="1"/>
    </xf>
    <xf numFmtId="3" fontId="10" fillId="52" borderId="33" xfId="228" applyNumberFormat="1" applyFont="1" applyFill="1" applyBorder="1" applyAlignment="1">
      <alignment vertical="center"/>
    </xf>
    <xf numFmtId="3" fontId="49" fillId="52" borderId="61" xfId="818" applyNumberFormat="1" applyFont="1" applyFill="1" applyBorder="1" applyAlignment="1">
      <alignment horizontal="right" vertical="center"/>
    </xf>
    <xf numFmtId="3" fontId="49" fillId="52" borderId="53" xfId="818" applyNumberFormat="1" applyFont="1" applyFill="1" applyBorder="1" applyAlignment="1">
      <alignment horizontal="right" vertical="center"/>
    </xf>
    <xf numFmtId="172" fontId="6" fillId="51" borderId="131" xfId="0" applyNumberFormat="1" applyFont="1" applyFill="1" applyBorder="1" applyAlignment="1">
      <alignment horizontal="center" vertical="center"/>
    </xf>
    <xf numFmtId="3" fontId="6" fillId="52" borderId="0" xfId="789" applyNumberFormat="1" applyFont="1" applyFill="1" applyBorder="1" applyAlignment="1">
      <alignment horizontal="right" indent="2"/>
    </xf>
    <xf numFmtId="4" fontId="10" fillId="52" borderId="0" xfId="789" applyNumberFormat="1" applyFont="1" applyFill="1" applyBorder="1" applyAlignment="1">
      <alignment horizontal="right" indent="2"/>
    </xf>
    <xf numFmtId="4" fontId="204" fillId="52" borderId="0" xfId="789" applyNumberFormat="1" applyFont="1" applyFill="1" applyBorder="1" applyAlignment="1">
      <alignment horizontal="right" indent="2"/>
    </xf>
    <xf numFmtId="0" fontId="48" fillId="52" borderId="0" xfId="789" applyFont="1" applyFill="1" applyBorder="1"/>
    <xf numFmtId="3" fontId="36" fillId="52" borderId="17" xfId="792" quotePrefix="1" applyFont="1" applyFill="1" applyBorder="1" applyAlignment="1">
      <alignment vertical="center"/>
    </xf>
    <xf numFmtId="3" fontId="47" fillId="52" borderId="65" xfId="782" applyNumberFormat="1" applyFont="1" applyFill="1" applyBorder="1"/>
    <xf numFmtId="0" fontId="47" fillId="52" borderId="65" xfId="782" applyNumberFormat="1" applyFont="1" applyFill="1" applyBorder="1"/>
    <xf numFmtId="0" fontId="17" fillId="52" borderId="66" xfId="818" applyNumberFormat="1" applyFont="1" applyFill="1" applyBorder="1"/>
    <xf numFmtId="3" fontId="49" fillId="52" borderId="37" xfId="0" applyNumberFormat="1" applyFont="1" applyFill="1" applyBorder="1" applyAlignment="1">
      <alignment horizontal="right" wrapText="1"/>
    </xf>
    <xf numFmtId="3" fontId="49" fillId="52" borderId="68" xfId="0" applyNumberFormat="1" applyFont="1" applyFill="1" applyBorder="1" applyAlignment="1">
      <alignment horizontal="right" wrapText="1"/>
    </xf>
    <xf numFmtId="3" fontId="49" fillId="52" borderId="72" xfId="0" applyNumberFormat="1" applyFont="1" applyFill="1" applyBorder="1" applyAlignment="1">
      <alignment horizontal="right" wrapText="1"/>
    </xf>
    <xf numFmtId="3" fontId="49" fillId="52" borderId="19" xfId="0" applyNumberFormat="1" applyFont="1" applyFill="1" applyBorder="1" applyAlignment="1">
      <alignment horizontal="right" wrapText="1"/>
    </xf>
    <xf numFmtId="0" fontId="49" fillId="52" borderId="72" xfId="0" applyNumberFormat="1" applyFont="1" applyFill="1" applyBorder="1" applyAlignment="1">
      <alignment horizontal="right" wrapText="1"/>
    </xf>
    <xf numFmtId="0" fontId="49" fillId="52" borderId="19" xfId="0" applyNumberFormat="1" applyFont="1" applyFill="1" applyBorder="1" applyAlignment="1">
      <alignment horizontal="right" wrapText="1"/>
    </xf>
    <xf numFmtId="0" fontId="49" fillId="52" borderId="68" xfId="0" applyNumberFormat="1" applyFont="1" applyFill="1" applyBorder="1" applyAlignment="1">
      <alignment horizontal="right" wrapText="1"/>
    </xf>
    <xf numFmtId="0" fontId="49" fillId="52" borderId="72" xfId="0" applyFont="1" applyFill="1" applyBorder="1" applyAlignment="1">
      <alignment horizontal="right" wrapText="1"/>
    </xf>
    <xf numFmtId="3" fontId="47" fillId="52" borderId="28" xfId="797" applyNumberFormat="1" applyFont="1" applyFill="1" applyBorder="1" applyAlignment="1">
      <alignment horizontal="right"/>
    </xf>
    <xf numFmtId="3" fontId="47" fillId="52" borderId="70" xfId="797" applyNumberFormat="1" applyFont="1" applyFill="1" applyBorder="1" applyAlignment="1">
      <alignment horizontal="right"/>
    </xf>
    <xf numFmtId="3" fontId="47" fillId="52" borderId="71" xfId="782" applyNumberFormat="1" applyFont="1" applyFill="1" applyBorder="1"/>
    <xf numFmtId="3" fontId="4" fillId="52" borderId="24" xfId="0" applyNumberFormat="1" applyFont="1" applyFill="1" applyBorder="1"/>
    <xf numFmtId="3" fontId="29" fillId="52" borderId="0" xfId="0" applyNumberFormat="1" applyFont="1" applyFill="1" applyBorder="1"/>
    <xf numFmtId="2" fontId="4" fillId="52" borderId="0" xfId="0" applyNumberFormat="1" applyFont="1" applyFill="1" applyBorder="1"/>
    <xf numFmtId="0" fontId="4" fillId="52" borderId="0" xfId="0" applyFont="1" applyFill="1" applyBorder="1"/>
    <xf numFmtId="4" fontId="4" fillId="52" borderId="15" xfId="797" applyNumberFormat="1" applyFont="1" applyFill="1" applyBorder="1"/>
    <xf numFmtId="3" fontId="29" fillId="52" borderId="15" xfId="797" applyNumberFormat="1" applyFont="1" applyFill="1" applyBorder="1"/>
    <xf numFmtId="3" fontId="29" fillId="52" borderId="0" xfId="797" applyNumberFormat="1" applyFont="1" applyFill="1" applyBorder="1"/>
    <xf numFmtId="3" fontId="4" fillId="52" borderId="0" xfId="0" applyNumberFormat="1" applyFont="1" applyFill="1" applyBorder="1"/>
    <xf numFmtId="1" fontId="4" fillId="52" borderId="0" xfId="0" applyNumberFormat="1" applyFont="1" applyFill="1" applyBorder="1"/>
    <xf numFmtId="166" fontId="8" fillId="52" borderId="0" xfId="818" applyNumberFormat="1" applyFont="1" applyFill="1" applyBorder="1"/>
    <xf numFmtId="3" fontId="8" fillId="52" borderId="0" xfId="0" applyNumberFormat="1" applyFont="1" applyFill="1"/>
    <xf numFmtId="0" fontId="8" fillId="52" borderId="0" xfId="0" applyFont="1" applyFill="1"/>
    <xf numFmtId="3" fontId="36" fillId="56" borderId="21" xfId="187" applyNumberFormat="1" applyFont="1" applyFill="1" applyBorder="1" applyAlignment="1">
      <alignment horizontal="center" vertical="center"/>
    </xf>
    <xf numFmtId="166" fontId="10" fillId="0" borderId="0" xfId="816" applyNumberFormat="1" applyFont="1"/>
    <xf numFmtId="166" fontId="10" fillId="0" borderId="0" xfId="0" applyNumberFormat="1" applyFont="1"/>
    <xf numFmtId="173" fontId="220" fillId="29" borderId="145" xfId="818" applyNumberFormat="1" applyFont="1" applyFill="1" applyBorder="1" applyAlignment="1">
      <alignment horizontal="right" wrapText="1"/>
    </xf>
    <xf numFmtId="173" fontId="220" fillId="29" borderId="82" xfId="818" applyNumberFormat="1" applyFont="1" applyFill="1" applyBorder="1" applyAlignment="1">
      <alignment horizontal="right" wrapText="1"/>
    </xf>
    <xf numFmtId="173" fontId="220" fillId="29" borderId="146" xfId="818" applyNumberFormat="1" applyFont="1" applyFill="1" applyBorder="1" applyAlignment="1">
      <alignment horizontal="right" wrapText="1"/>
    </xf>
    <xf numFmtId="173" fontId="220" fillId="0" borderId="146" xfId="818" applyNumberFormat="1" applyFont="1" applyFill="1" applyBorder="1" applyAlignment="1">
      <alignment horizontal="right" wrapText="1"/>
    </xf>
    <xf numFmtId="173" fontId="220" fillId="0" borderId="147" xfId="818" applyNumberFormat="1" applyFont="1" applyFill="1" applyBorder="1" applyAlignment="1">
      <alignment horizontal="right" wrapText="1"/>
    </xf>
    <xf numFmtId="3" fontId="0" fillId="52" borderId="0" xfId="0" applyNumberFormat="1" applyFill="1"/>
    <xf numFmtId="0" fontId="16" fillId="30" borderId="56" xfId="790" applyFont="1" applyFill="1" applyBorder="1" applyAlignment="1">
      <alignment horizontal="center"/>
    </xf>
    <xf numFmtId="3" fontId="40" fillId="30" borderId="29" xfId="790" applyNumberFormat="1" applyFont="1" applyFill="1" applyBorder="1" applyAlignment="1">
      <alignment horizontal="center"/>
    </xf>
    <xf numFmtId="0" fontId="17" fillId="0" borderId="0" xfId="790" applyFont="1"/>
    <xf numFmtId="3" fontId="17" fillId="0" borderId="0" xfId="790" applyNumberFormat="1" applyFont="1"/>
    <xf numFmtId="3" fontId="16" fillId="0" borderId="0" xfId="790" applyNumberFormat="1" applyFont="1"/>
    <xf numFmtId="3" fontId="16" fillId="0" borderId="0" xfId="790" applyNumberFormat="1" applyFont="1" applyBorder="1"/>
    <xf numFmtId="0" fontId="16" fillId="0" borderId="0" xfId="790" applyFont="1"/>
    <xf numFmtId="0" fontId="59" fillId="0" borderId="14" xfId="790" applyFont="1" applyBorder="1"/>
    <xf numFmtId="0" fontId="17" fillId="0" borderId="14" xfId="790" applyFont="1" applyBorder="1"/>
    <xf numFmtId="1" fontId="17" fillId="0" borderId="0" xfId="790" applyNumberFormat="1" applyFont="1"/>
    <xf numFmtId="1" fontId="16" fillId="0" borderId="0" xfId="790" applyNumberFormat="1" applyFont="1"/>
    <xf numFmtId="1" fontId="17" fillId="0" borderId="0" xfId="790" applyNumberFormat="1" applyFont="1" applyBorder="1"/>
    <xf numFmtId="1" fontId="16" fillId="0" borderId="0" xfId="790" applyNumberFormat="1" applyFont="1" applyBorder="1"/>
    <xf numFmtId="0" fontId="16" fillId="30" borderId="55" xfId="790" applyFont="1" applyFill="1" applyBorder="1" applyAlignment="1">
      <alignment horizontal="center"/>
    </xf>
    <xf numFmtId="1" fontId="16" fillId="30" borderId="49" xfId="790" applyNumberFormat="1" applyFont="1" applyFill="1" applyBorder="1" applyAlignment="1">
      <alignment horizontal="center"/>
    </xf>
    <xf numFmtId="0" fontId="16" fillId="30" borderId="151" xfId="790" applyFont="1" applyFill="1" applyBorder="1" applyAlignment="1"/>
    <xf numFmtId="3" fontId="16" fillId="0" borderId="0" xfId="790" applyNumberFormat="1" applyFont="1" applyFill="1" applyBorder="1"/>
    <xf numFmtId="0" fontId="16" fillId="0" borderId="0" xfId="790" applyFont="1" applyFill="1" applyBorder="1"/>
    <xf numFmtId="0" fontId="16" fillId="0" borderId="0" xfId="790" applyFont="1" applyFill="1"/>
    <xf numFmtId="0" fontId="16" fillId="30" borderId="0" xfId="790" applyFont="1" applyFill="1"/>
    <xf numFmtId="0" fontId="16" fillId="30" borderId="54" xfId="790" applyFont="1" applyFill="1" applyBorder="1" applyAlignment="1">
      <alignment horizontal="center"/>
    </xf>
    <xf numFmtId="0" fontId="16" fillId="30" borderId="0" xfId="790" applyFont="1" applyFill="1" applyBorder="1" applyAlignment="1">
      <alignment horizontal="center"/>
    </xf>
    <xf numFmtId="0" fontId="16" fillId="30" borderId="0" xfId="790" applyFont="1" applyFill="1" applyBorder="1" applyAlignment="1">
      <alignment horizontal="center" wrapText="1"/>
    </xf>
    <xf numFmtId="0" fontId="16" fillId="30" borderId="24" xfId="790" applyFont="1" applyFill="1" applyBorder="1" applyAlignment="1">
      <alignment horizontal="center" wrapText="1"/>
    </xf>
    <xf numFmtId="0" fontId="16" fillId="30" borderId="14" xfId="790" applyFont="1" applyFill="1" applyBorder="1" applyAlignment="1">
      <alignment horizontal="right"/>
    </xf>
    <xf numFmtId="0" fontId="31" fillId="30" borderId="14" xfId="790" applyFont="1" applyFill="1" applyBorder="1" applyAlignment="1">
      <alignment horizontal="center" wrapText="1"/>
    </xf>
    <xf numFmtId="0" fontId="31" fillId="30" borderId="25" xfId="790" applyFont="1" applyFill="1" applyBorder="1" applyAlignment="1">
      <alignment horizontal="center" wrapText="1"/>
    </xf>
    <xf numFmtId="3" fontId="32" fillId="0" borderId="0" xfId="790" applyNumberFormat="1" applyFont="1" applyFill="1" applyBorder="1"/>
    <xf numFmtId="0" fontId="16" fillId="30" borderId="55" xfId="790" applyFont="1" applyFill="1" applyBorder="1" applyAlignment="1">
      <alignment horizontal="left"/>
    </xf>
    <xf numFmtId="0" fontId="32" fillId="30" borderId="49" xfId="790" applyFont="1" applyFill="1" applyBorder="1"/>
    <xf numFmtId="3" fontId="16" fillId="30" borderId="49" xfId="790" applyNumberFormat="1" applyFont="1" applyFill="1" applyBorder="1"/>
    <xf numFmtId="168" fontId="16" fillId="30" borderId="49" xfId="790" applyNumberFormat="1" applyFont="1" applyFill="1" applyBorder="1"/>
    <xf numFmtId="3" fontId="16" fillId="30" borderId="43" xfId="790" applyNumberFormat="1" applyFont="1" applyFill="1" applyBorder="1"/>
    <xf numFmtId="0" fontId="16" fillId="0" borderId="0" xfId="788" applyFont="1" applyFill="1" applyBorder="1" applyAlignment="1">
      <alignment horizontal="left" vertical="center"/>
    </xf>
    <xf numFmtId="0" fontId="16" fillId="0" borderId="0" xfId="790" applyFont="1" applyBorder="1"/>
    <xf numFmtId="0" fontId="16" fillId="0" borderId="54" xfId="790" applyFont="1" applyBorder="1" applyAlignment="1">
      <alignment horizontal="center"/>
    </xf>
    <xf numFmtId="0" fontId="17" fillId="0" borderId="0" xfId="790" applyFont="1" applyBorder="1"/>
    <xf numFmtId="3" fontId="17" fillId="0" borderId="0" xfId="790" applyNumberFormat="1" applyFont="1" applyBorder="1"/>
    <xf numFmtId="168" fontId="16" fillId="0" borderId="0" xfId="790" applyNumberFormat="1" applyFont="1" applyBorder="1"/>
    <xf numFmtId="168" fontId="16" fillId="0" borderId="0" xfId="790" applyNumberFormat="1" applyFont="1" applyFill="1" applyBorder="1"/>
    <xf numFmtId="3" fontId="17" fillId="0" borderId="0" xfId="790" applyNumberFormat="1" applyFont="1" applyFill="1" applyBorder="1"/>
    <xf numFmtId="3" fontId="17" fillId="0" borderId="24" xfId="790" applyNumberFormat="1" applyFont="1" applyBorder="1"/>
    <xf numFmtId="0" fontId="31" fillId="0" borderId="0" xfId="788" applyFont="1" applyFill="1" applyBorder="1" applyAlignment="1">
      <alignment horizontal="left" vertical="center"/>
    </xf>
    <xf numFmtId="0" fontId="16" fillId="0" borderId="54" xfId="790" applyFont="1" applyBorder="1"/>
    <xf numFmtId="0" fontId="17" fillId="0" borderId="24" xfId="790" applyFont="1" applyBorder="1"/>
    <xf numFmtId="0" fontId="17" fillId="0" borderId="0" xfId="788" applyFont="1" applyBorder="1" applyAlignment="1">
      <alignment vertical="center" wrapText="1"/>
    </xf>
    <xf numFmtId="0" fontId="17" fillId="0" borderId="0" xfId="788" applyFont="1" applyBorder="1" applyAlignment="1">
      <alignment wrapText="1"/>
    </xf>
    <xf numFmtId="168" fontId="16" fillId="30" borderId="0" xfId="790" applyNumberFormat="1" applyFont="1" applyFill="1" applyBorder="1"/>
    <xf numFmtId="3" fontId="17" fillId="29" borderId="0" xfId="790" applyNumberFormat="1" applyFont="1" applyFill="1" applyBorder="1"/>
    <xf numFmtId="3" fontId="17" fillId="29" borderId="24" xfId="790" applyNumberFormat="1" applyFont="1" applyFill="1" applyBorder="1"/>
    <xf numFmtId="0" fontId="31" fillId="0" borderId="0" xfId="790" applyFont="1" applyBorder="1"/>
    <xf numFmtId="3" fontId="49" fillId="29" borderId="0" xfId="790" applyNumberFormat="1" applyFont="1" applyFill="1" applyBorder="1"/>
    <xf numFmtId="3" fontId="49" fillId="29" borderId="24" xfId="790" applyNumberFormat="1" applyFont="1" applyFill="1" applyBorder="1"/>
    <xf numFmtId="0" fontId="31" fillId="0" borderId="0" xfId="788" applyFont="1" applyFill="1" applyBorder="1" applyAlignment="1"/>
    <xf numFmtId="0" fontId="17" fillId="0" borderId="0" xfId="790" applyFont="1" applyFill="1" applyBorder="1"/>
    <xf numFmtId="3" fontId="49" fillId="52" borderId="0" xfId="790" applyNumberFormat="1" applyFont="1" applyFill="1" applyBorder="1"/>
    <xf numFmtId="3" fontId="49" fillId="52" borderId="24" xfId="790" applyNumberFormat="1" applyFont="1" applyFill="1" applyBorder="1"/>
    <xf numFmtId="3" fontId="31" fillId="0" borderId="0" xfId="790" applyNumberFormat="1" applyFont="1" applyBorder="1"/>
    <xf numFmtId="0" fontId="17" fillId="0" borderId="0" xfId="790" applyFont="1" applyBorder="1" applyAlignment="1">
      <alignment wrapText="1"/>
    </xf>
    <xf numFmtId="0" fontId="31" fillId="0" borderId="0" xfId="790" applyFont="1" applyFill="1" applyBorder="1"/>
    <xf numFmtId="0" fontId="16" fillId="30" borderId="54" xfId="790" applyFont="1" applyFill="1" applyBorder="1" applyAlignment="1">
      <alignment horizontal="left"/>
    </xf>
    <xf numFmtId="0" fontId="32" fillId="30" borderId="0" xfId="790" applyFont="1" applyFill="1" applyBorder="1"/>
    <xf numFmtId="3" fontId="32" fillId="30" borderId="0" xfId="790" applyNumberFormat="1" applyFont="1" applyFill="1" applyBorder="1"/>
    <xf numFmtId="3" fontId="32" fillId="30" borderId="24" xfId="790" applyNumberFormat="1" applyFont="1" applyFill="1" applyBorder="1"/>
    <xf numFmtId="0" fontId="75" fillId="0" borderId="0" xfId="788" applyFont="1" applyFill="1" applyBorder="1" applyAlignment="1">
      <alignment horizontal="left" vertical="center" wrapText="1"/>
    </xf>
    <xf numFmtId="4" fontId="16" fillId="30" borderId="24" xfId="790" applyNumberFormat="1" applyFont="1" applyFill="1" applyBorder="1"/>
    <xf numFmtId="0" fontId="16" fillId="0" borderId="54" xfId="793" applyFont="1" applyFill="1" applyBorder="1" applyAlignment="1"/>
    <xf numFmtId="0" fontId="17" fillId="0" borderId="0" xfId="788" applyFont="1" applyFill="1" applyBorder="1"/>
    <xf numFmtId="3" fontId="16" fillId="29" borderId="0" xfId="790" applyNumberFormat="1" applyFont="1" applyFill="1" applyBorder="1"/>
    <xf numFmtId="3" fontId="16" fillId="0" borderId="24" xfId="790" applyNumberFormat="1" applyFont="1" applyBorder="1"/>
    <xf numFmtId="0" fontId="16" fillId="0" borderId="0" xfId="788" applyFont="1" applyFill="1" applyBorder="1" applyAlignment="1">
      <alignment horizontal="center"/>
    </xf>
    <xf numFmtId="0" fontId="17" fillId="0" borderId="0" xfId="788" applyFont="1" applyFill="1"/>
    <xf numFmtId="0" fontId="17" fillId="0" borderId="54" xfId="788" applyFont="1" applyFill="1" applyBorder="1"/>
    <xf numFmtId="0" fontId="17" fillId="0" borderId="0" xfId="793" applyFont="1" applyFill="1" applyBorder="1" applyAlignment="1"/>
    <xf numFmtId="3" fontId="17" fillId="52" borderId="0" xfId="790" applyNumberFormat="1" applyFont="1" applyFill="1" applyBorder="1"/>
    <xf numFmtId="3" fontId="17" fillId="52" borderId="24" xfId="790" applyNumberFormat="1" applyFont="1" applyFill="1" applyBorder="1"/>
    <xf numFmtId="0" fontId="31" fillId="0" borderId="0" xfId="788" applyFont="1" applyFill="1" applyBorder="1"/>
    <xf numFmtId="3" fontId="17" fillId="0" borderId="0" xfId="788" applyNumberFormat="1" applyFont="1" applyFill="1"/>
    <xf numFmtId="0" fontId="17" fillId="0" borderId="27" xfId="788" applyFont="1" applyFill="1" applyBorder="1"/>
    <xf numFmtId="0" fontId="17" fillId="0" borderId="28" xfId="793" applyFont="1" applyFill="1" applyBorder="1" applyAlignment="1"/>
    <xf numFmtId="4" fontId="17" fillId="0" borderId="28" xfId="790" applyNumberFormat="1" applyFont="1" applyFill="1" applyBorder="1"/>
    <xf numFmtId="168" fontId="17" fillId="0" borderId="28" xfId="790" applyNumberFormat="1" applyFont="1" applyBorder="1"/>
    <xf numFmtId="165" fontId="17" fillId="0" borderId="28" xfId="816" applyNumberFormat="1" applyFont="1" applyFill="1" applyBorder="1" applyAlignment="1">
      <alignment horizontal="center"/>
    </xf>
    <xf numFmtId="4" fontId="16" fillId="29" borderId="28" xfId="790" applyNumberFormat="1" applyFont="1" applyFill="1" applyBorder="1"/>
    <xf numFmtId="4" fontId="16" fillId="29" borderId="61" xfId="790" applyNumberFormat="1" applyFont="1" applyFill="1" applyBorder="1"/>
    <xf numFmtId="0" fontId="16" fillId="30" borderId="54" xfId="793" applyFont="1" applyFill="1" applyBorder="1" applyAlignment="1"/>
    <xf numFmtId="9" fontId="16" fillId="30" borderId="0" xfId="790" applyNumberFormat="1" applyFont="1" applyFill="1" applyBorder="1"/>
    <xf numFmtId="174" fontId="16" fillId="30" borderId="0" xfId="790" applyNumberFormat="1" applyFont="1" applyFill="1" applyBorder="1"/>
    <xf numFmtId="174" fontId="16" fillId="30" borderId="24" xfId="790" applyNumberFormat="1" applyFont="1" applyFill="1" applyBorder="1"/>
    <xf numFmtId="166" fontId="16" fillId="30" borderId="0" xfId="816" applyNumberFormat="1" applyFont="1" applyFill="1" applyBorder="1"/>
    <xf numFmtId="9" fontId="16" fillId="30" borderId="14" xfId="790" applyNumberFormat="1" applyFont="1" applyFill="1" applyBorder="1"/>
    <xf numFmtId="9" fontId="16" fillId="30" borderId="25" xfId="790" applyNumberFormat="1" applyFont="1" applyFill="1" applyBorder="1"/>
    <xf numFmtId="4" fontId="16" fillId="30" borderId="151" xfId="790" applyNumberFormat="1" applyFont="1" applyFill="1" applyBorder="1" applyAlignment="1">
      <alignment horizontal="center"/>
    </xf>
    <xf numFmtId="0" fontId="16" fillId="29" borderId="0" xfId="790" applyFont="1" applyFill="1" applyBorder="1"/>
    <xf numFmtId="3" fontId="16" fillId="30" borderId="0" xfId="790" applyNumberFormat="1" applyFont="1" applyFill="1" applyBorder="1" applyAlignment="1">
      <alignment horizontal="right"/>
    </xf>
    <xf numFmtId="3" fontId="16" fillId="30" borderId="24" xfId="790" applyNumberFormat="1" applyFont="1" applyFill="1" applyBorder="1" applyAlignment="1">
      <alignment horizontal="right"/>
    </xf>
    <xf numFmtId="168" fontId="16" fillId="0" borderId="0" xfId="790" applyNumberFormat="1" applyFont="1" applyFill="1" applyBorder="1" applyAlignment="1">
      <alignment horizontal="right"/>
    </xf>
    <xf numFmtId="3" fontId="16" fillId="0" borderId="0" xfId="790" applyNumberFormat="1" applyFont="1" applyBorder="1" applyAlignment="1">
      <alignment horizontal="right"/>
    </xf>
    <xf numFmtId="3" fontId="16" fillId="0" borderId="24" xfId="790" applyNumberFormat="1" applyFont="1" applyBorder="1" applyAlignment="1">
      <alignment horizontal="right"/>
    </xf>
    <xf numFmtId="3" fontId="17" fillId="0" borderId="0" xfId="790" applyNumberFormat="1" applyFont="1" applyBorder="1" applyAlignment="1">
      <alignment horizontal="center"/>
    </xf>
    <xf numFmtId="0" fontId="17" fillId="30" borderId="0" xfId="790" applyFont="1" applyFill="1" applyBorder="1"/>
    <xf numFmtId="17" fontId="16" fillId="0" borderId="0" xfId="790" applyNumberFormat="1" applyFont="1" applyFill="1" applyBorder="1"/>
    <xf numFmtId="3" fontId="17" fillId="0" borderId="24" xfId="790" applyNumberFormat="1" applyFont="1" applyFill="1" applyBorder="1"/>
    <xf numFmtId="3" fontId="31" fillId="0" borderId="0" xfId="790" applyNumberFormat="1" applyFont="1" applyFill="1" applyBorder="1"/>
    <xf numFmtId="0" fontId="16" fillId="37" borderId="56" xfId="790" applyFont="1" applyFill="1" applyBorder="1"/>
    <xf numFmtId="0" fontId="16" fillId="37" borderId="14" xfId="790" applyFont="1" applyFill="1" applyBorder="1"/>
    <xf numFmtId="3" fontId="16" fillId="30" borderId="14" xfId="790" applyNumberFormat="1" applyFont="1" applyFill="1" applyBorder="1"/>
    <xf numFmtId="168" fontId="16" fillId="30" borderId="14" xfId="790" applyNumberFormat="1" applyFont="1" applyFill="1" applyBorder="1"/>
    <xf numFmtId="3" fontId="16" fillId="31" borderId="14" xfId="790" applyNumberFormat="1" applyFont="1" applyFill="1" applyBorder="1"/>
    <xf numFmtId="3" fontId="16" fillId="56" borderId="14" xfId="790" applyNumberFormat="1" applyFont="1" applyFill="1" applyBorder="1"/>
    <xf numFmtId="168" fontId="16" fillId="56" borderId="14" xfId="790" applyNumberFormat="1" applyFont="1" applyFill="1" applyBorder="1"/>
    <xf numFmtId="3" fontId="16" fillId="56" borderId="25" xfId="790" applyNumberFormat="1" applyFont="1" applyFill="1" applyBorder="1"/>
    <xf numFmtId="0" fontId="16" fillId="0" borderId="0" xfId="790" applyFont="1" applyFill="1" applyBorder="1" applyAlignment="1">
      <alignment horizontal="center"/>
    </xf>
    <xf numFmtId="0" fontId="66" fillId="0" borderId="0" xfId="790" applyFont="1" applyFill="1" applyBorder="1"/>
    <xf numFmtId="3" fontId="42" fillId="60" borderId="151" xfId="0" applyNumberFormat="1" applyFont="1" applyFill="1" applyBorder="1"/>
    <xf numFmtId="3" fontId="42" fillId="60" borderId="151" xfId="0" applyNumberFormat="1" applyFont="1" applyFill="1" applyBorder="1" applyAlignment="1"/>
    <xf numFmtId="3" fontId="42" fillId="60" borderId="124" xfId="0" applyNumberFormat="1" applyFont="1" applyFill="1" applyBorder="1"/>
    <xf numFmtId="0" fontId="32" fillId="29" borderId="0" xfId="790" applyFont="1" applyFill="1" applyAlignment="1">
      <alignment horizontal="left"/>
    </xf>
    <xf numFmtId="37" fontId="135" fillId="29" borderId="0" xfId="796" applyNumberFormat="1" applyFont="1" applyFill="1" applyBorder="1" applyProtection="1"/>
    <xf numFmtId="0" fontId="16" fillId="29" borderId="0" xfId="790" applyFont="1" applyFill="1"/>
    <xf numFmtId="0" fontId="32" fillId="29" borderId="0" xfId="790" applyFont="1" applyFill="1" applyAlignment="1"/>
    <xf numFmtId="3" fontId="16" fillId="29" borderId="0" xfId="790" applyNumberFormat="1" applyFont="1" applyFill="1"/>
    <xf numFmtId="0" fontId="117" fillId="29" borderId="0" xfId="0" applyFont="1" applyFill="1"/>
    <xf numFmtId="0" fontId="121" fillId="29" borderId="0" xfId="790" applyFont="1" applyFill="1"/>
    <xf numFmtId="37" fontId="32" fillId="0" borderId="0" xfId="791" applyFont="1" applyFill="1" applyBorder="1" applyAlignment="1">
      <alignment horizontal="left" vertical="center" wrapText="1"/>
    </xf>
    <xf numFmtId="0" fontId="17" fillId="29" borderId="0" xfId="0" applyFont="1" applyFill="1" applyBorder="1" applyAlignment="1">
      <alignment wrapText="1"/>
    </xf>
    <xf numFmtId="0" fontId="17" fillId="0" borderId="0" xfId="0" applyFont="1" applyFill="1" applyAlignment="1">
      <alignment vertical="center"/>
    </xf>
    <xf numFmtId="166" fontId="17" fillId="0" borderId="0" xfId="818" applyNumberFormat="1" applyFont="1" applyFill="1" applyAlignment="1">
      <alignment vertical="center"/>
    </xf>
    <xf numFmtId="166" fontId="16" fillId="0" borderId="0" xfId="816" applyNumberFormat="1" applyFont="1" applyAlignment="1">
      <alignment horizontal="center"/>
    </xf>
    <xf numFmtId="166" fontId="16" fillId="0" borderId="0" xfId="816" applyNumberFormat="1" applyFont="1" applyBorder="1"/>
    <xf numFmtId="166" fontId="16" fillId="0" borderId="0" xfId="816" applyNumberFormat="1" applyFont="1"/>
    <xf numFmtId="0" fontId="16" fillId="0" borderId="0" xfId="790" applyFont="1" applyAlignment="1">
      <alignment horizontal="center"/>
    </xf>
    <xf numFmtId="0" fontId="14" fillId="0" borderId="0" xfId="790" applyFont="1" applyFill="1" applyBorder="1"/>
    <xf numFmtId="3" fontId="5" fillId="0" borderId="0" xfId="790" applyNumberFormat="1" applyFont="1" applyBorder="1"/>
    <xf numFmtId="3" fontId="136" fillId="0" borderId="0" xfId="790" applyNumberFormat="1" applyFont="1" applyFill="1" applyBorder="1"/>
    <xf numFmtId="0" fontId="136" fillId="0" borderId="0" xfId="790" applyFont="1" applyFill="1" applyBorder="1"/>
    <xf numFmtId="3" fontId="136" fillId="0" borderId="0" xfId="790" applyNumberFormat="1" applyFont="1" applyFill="1" applyBorder="1" applyAlignment="1">
      <alignment horizontal="center"/>
    </xf>
    <xf numFmtId="165" fontId="5" fillId="0" borderId="0" xfId="816" applyFont="1"/>
    <xf numFmtId="0" fontId="5" fillId="30" borderId="54" xfId="0" applyFont="1" applyFill="1" applyBorder="1"/>
    <xf numFmtId="0" fontId="14" fillId="30" borderId="0" xfId="790" applyFont="1" applyFill="1" applyBorder="1"/>
    <xf numFmtId="3" fontId="14" fillId="30" borderId="0" xfId="790" applyNumberFormat="1" applyFont="1" applyFill="1" applyBorder="1"/>
    <xf numFmtId="17" fontId="137" fillId="30" borderId="0" xfId="790" applyNumberFormat="1" applyFont="1" applyFill="1" applyBorder="1" applyAlignment="1">
      <alignment horizontal="center"/>
    </xf>
    <xf numFmtId="17" fontId="137" fillId="30" borderId="24" xfId="790" applyNumberFormat="1" applyFont="1" applyFill="1" applyBorder="1" applyAlignment="1">
      <alignment horizontal="center"/>
    </xf>
    <xf numFmtId="3" fontId="5" fillId="0" borderId="0" xfId="0" applyNumberFormat="1" applyFont="1"/>
    <xf numFmtId="0" fontId="14" fillId="30" borderId="14" xfId="790" applyFont="1" applyFill="1" applyBorder="1" applyAlignment="1">
      <alignment horizontal="center"/>
    </xf>
    <xf numFmtId="0" fontId="14" fillId="30" borderId="14" xfId="790" applyFont="1" applyFill="1" applyBorder="1" applyAlignment="1">
      <alignment horizontal="center" wrapText="1"/>
    </xf>
    <xf numFmtId="3" fontId="138" fillId="0" borderId="0" xfId="790" applyNumberFormat="1" applyFont="1" applyFill="1" applyBorder="1"/>
    <xf numFmtId="0" fontId="5" fillId="0" borderId="55" xfId="0" applyFont="1" applyBorder="1"/>
    <xf numFmtId="0" fontId="5" fillId="0" borderId="49" xfId="0" applyFont="1" applyBorder="1"/>
    <xf numFmtId="0" fontId="5" fillId="0" borderId="49" xfId="0" applyFont="1" applyFill="1" applyBorder="1"/>
    <xf numFmtId="0" fontId="5" fillId="0" borderId="43" xfId="0" applyFont="1" applyBorder="1"/>
    <xf numFmtId="0" fontId="14" fillId="0" borderId="27" xfId="790" applyFont="1" applyBorder="1" applyAlignment="1">
      <alignment horizontal="left"/>
    </xf>
    <xf numFmtId="0" fontId="138" fillId="0" borderId="28" xfId="790" applyFont="1" applyBorder="1"/>
    <xf numFmtId="3" fontId="14" fillId="0" borderId="28" xfId="790" applyNumberFormat="1" applyFont="1" applyBorder="1"/>
    <xf numFmtId="4" fontId="14" fillId="0" borderId="28" xfId="790" applyNumberFormat="1" applyFont="1" applyBorder="1"/>
    <xf numFmtId="3" fontId="14" fillId="0" borderId="28" xfId="790" applyNumberFormat="1" applyFont="1" applyFill="1" applyBorder="1"/>
    <xf numFmtId="4" fontId="14" fillId="0" borderId="28" xfId="790" applyNumberFormat="1" applyFont="1" applyFill="1" applyBorder="1"/>
    <xf numFmtId="3" fontId="14" fillId="0" borderId="61" xfId="790" applyNumberFormat="1" applyFont="1" applyFill="1" applyBorder="1"/>
    <xf numFmtId="0" fontId="138" fillId="0" borderId="0" xfId="0" applyFont="1" applyFill="1" applyBorder="1" applyAlignment="1">
      <alignment horizontal="left"/>
    </xf>
    <xf numFmtId="0" fontId="14" fillId="0" borderId="21" xfId="790" applyFont="1" applyBorder="1" applyAlignment="1">
      <alignment horizontal="center"/>
    </xf>
    <xf numFmtId="0" fontId="5" fillId="0" borderId="17" xfId="790" applyFont="1" applyBorder="1"/>
    <xf numFmtId="3" fontId="5" fillId="0" borderId="17" xfId="790" applyNumberFormat="1" applyFont="1" applyBorder="1"/>
    <xf numFmtId="4" fontId="14" fillId="0" borderId="17" xfId="790" applyNumberFormat="1" applyFont="1" applyBorder="1"/>
    <xf numFmtId="3" fontId="5" fillId="0" borderId="17" xfId="790" applyNumberFormat="1" applyFont="1" applyFill="1" applyBorder="1"/>
    <xf numFmtId="4" fontId="14" fillId="0" borderId="17" xfId="790" applyNumberFormat="1" applyFont="1" applyFill="1" applyBorder="1"/>
    <xf numFmtId="3" fontId="5" fillId="0" borderId="28" xfId="790" applyNumberFormat="1" applyFont="1" applyFill="1" applyBorder="1"/>
    <xf numFmtId="3" fontId="5" fillId="0" borderId="53" xfId="790" applyNumberFormat="1" applyFont="1" applyFill="1" applyBorder="1"/>
    <xf numFmtId="0" fontId="70" fillId="0" borderId="0" xfId="0" applyFont="1" applyFill="1" applyBorder="1" applyAlignment="1">
      <alignment horizontal="left"/>
    </xf>
    <xf numFmtId="3" fontId="5" fillId="29" borderId="17" xfId="790" applyNumberFormat="1" applyFont="1" applyFill="1" applyBorder="1"/>
    <xf numFmtId="3" fontId="5" fillId="29" borderId="53" xfId="790" applyNumberFormat="1" applyFont="1" applyFill="1" applyBorder="1"/>
    <xf numFmtId="0" fontId="5" fillId="0" borderId="21" xfId="0" applyFont="1" applyBorder="1"/>
    <xf numFmtId="0" fontId="5" fillId="0" borderId="17" xfId="790" applyFont="1" applyBorder="1" applyAlignment="1">
      <alignment wrapText="1"/>
    </xf>
    <xf numFmtId="3" fontId="5" fillId="29" borderId="28" xfId="790" applyNumberFormat="1" applyFont="1" applyFill="1" applyBorder="1"/>
    <xf numFmtId="0" fontId="138" fillId="0" borderId="21" xfId="790" applyFont="1" applyBorder="1"/>
    <xf numFmtId="0" fontId="5" fillId="0" borderId="17" xfId="0" applyFont="1" applyBorder="1"/>
    <xf numFmtId="0" fontId="138" fillId="0" borderId="0" xfId="790" applyFont="1" applyBorder="1"/>
    <xf numFmtId="0" fontId="14" fillId="0" borderId="17" xfId="790" applyFont="1" applyBorder="1"/>
    <xf numFmtId="3" fontId="14" fillId="0" borderId="17" xfId="790" applyNumberFormat="1" applyFont="1" applyBorder="1"/>
    <xf numFmtId="3" fontId="14" fillId="0" borderId="17" xfId="790" applyNumberFormat="1" applyFont="1" applyFill="1" applyBorder="1"/>
    <xf numFmtId="3" fontId="14" fillId="0" borderId="53" xfId="790" applyNumberFormat="1" applyFont="1" applyBorder="1"/>
    <xf numFmtId="0" fontId="70" fillId="0" borderId="0" xfId="790" applyFont="1" applyBorder="1"/>
    <xf numFmtId="3" fontId="5" fillId="0" borderId="53" xfId="790" applyNumberFormat="1" applyFont="1" applyBorder="1"/>
    <xf numFmtId="0" fontId="5" fillId="0" borderId="21" xfId="0" applyFont="1" applyFill="1" applyBorder="1"/>
    <xf numFmtId="0" fontId="5" fillId="0" borderId="17" xfId="790" applyFont="1" applyFill="1" applyBorder="1" applyAlignment="1">
      <alignment horizontal="left" wrapText="1"/>
    </xf>
    <xf numFmtId="3" fontId="5" fillId="52" borderId="17" xfId="790" applyNumberFormat="1" applyFont="1" applyFill="1" applyBorder="1"/>
    <xf numFmtId="3" fontId="5" fillId="52" borderId="53" xfId="790" applyNumberFormat="1" applyFont="1" applyFill="1" applyBorder="1"/>
    <xf numFmtId="0" fontId="5" fillId="0" borderId="0" xfId="0" applyFont="1" applyFill="1"/>
    <xf numFmtId="3" fontId="138" fillId="0" borderId="17" xfId="790" applyNumberFormat="1" applyFont="1" applyFill="1" applyBorder="1"/>
    <xf numFmtId="3" fontId="138" fillId="0" borderId="53" xfId="790" applyNumberFormat="1" applyFont="1" applyFill="1" applyBorder="1"/>
    <xf numFmtId="0" fontId="139" fillId="0" borderId="0" xfId="0" applyFont="1" applyFill="1" applyBorder="1" applyAlignment="1">
      <alignment horizontal="left" wrapText="1"/>
    </xf>
    <xf numFmtId="0" fontId="14" fillId="0" borderId="21" xfId="790" applyFont="1" applyBorder="1"/>
    <xf numFmtId="165" fontId="14" fillId="0" borderId="28" xfId="816" applyFont="1" applyFill="1" applyBorder="1"/>
    <xf numFmtId="4" fontId="14" fillId="0" borderId="53" xfId="790" applyNumberFormat="1" applyFont="1" applyBorder="1"/>
    <xf numFmtId="0" fontId="14" fillId="30" borderId="29" xfId="790" applyFont="1" applyFill="1" applyBorder="1"/>
    <xf numFmtId="0" fontId="5" fillId="30" borderId="22" xfId="0" applyFont="1" applyFill="1" applyBorder="1"/>
    <xf numFmtId="3" fontId="14" fillId="30" borderId="22" xfId="790" applyNumberFormat="1" applyFont="1" applyFill="1" applyBorder="1"/>
    <xf numFmtId="4" fontId="14" fillId="30" borderId="22" xfId="790" applyNumberFormat="1" applyFont="1" applyFill="1" applyBorder="1"/>
    <xf numFmtId="3" fontId="14" fillId="30" borderId="62" xfId="790" applyNumberFormat="1" applyFont="1" applyFill="1" applyBorder="1"/>
    <xf numFmtId="3" fontId="5" fillId="0" borderId="0" xfId="0" applyNumberFormat="1" applyFont="1" applyBorder="1"/>
    <xf numFmtId="37" fontId="138" fillId="0" borderId="0" xfId="791" applyFont="1" applyFill="1" applyBorder="1" applyAlignment="1">
      <alignment horizontal="left" vertical="center" wrapText="1"/>
    </xf>
    <xf numFmtId="37" fontId="140" fillId="0" borderId="0" xfId="791" applyNumberFormat="1" applyFont="1" applyBorder="1" applyAlignment="1" applyProtection="1">
      <alignment horizontal="right"/>
    </xf>
    <xf numFmtId="37" fontId="5" fillId="0" borderId="0" xfId="0" applyNumberFormat="1" applyFont="1"/>
    <xf numFmtId="0" fontId="32" fillId="0" borderId="0" xfId="790" applyFont="1" applyAlignment="1">
      <alignment horizontal="left"/>
    </xf>
    <xf numFmtId="0" fontId="14" fillId="0" borderId="0" xfId="0" applyFont="1" applyBorder="1" applyAlignment="1">
      <alignment horizontal="left"/>
    </xf>
    <xf numFmtId="0" fontId="141" fillId="0" borderId="0" xfId="0" applyFont="1" applyBorder="1" applyAlignment="1">
      <alignment horizontal="left" wrapText="1"/>
    </xf>
    <xf numFmtId="0" fontId="14" fillId="30" borderId="152" xfId="790" applyFont="1" applyFill="1" applyBorder="1" applyAlignment="1">
      <alignment horizontal="center"/>
    </xf>
    <xf numFmtId="0" fontId="14" fillId="30" borderId="64" xfId="790" applyFont="1" applyFill="1" applyBorder="1" applyAlignment="1">
      <alignment horizontal="center"/>
    </xf>
    <xf numFmtId="0" fontId="14" fillId="30" borderId="64" xfId="790" applyFont="1" applyFill="1" applyBorder="1" applyAlignment="1">
      <alignment horizontal="center" wrapText="1"/>
    </xf>
    <xf numFmtId="0" fontId="14" fillId="30" borderId="98" xfId="790" applyFont="1" applyFill="1" applyBorder="1" applyAlignment="1">
      <alignment horizontal="center" wrapText="1"/>
    </xf>
    <xf numFmtId="0" fontId="14" fillId="30" borderId="129" xfId="790" applyFont="1" applyFill="1" applyBorder="1" applyAlignment="1">
      <alignment horizontal="center" wrapText="1"/>
    </xf>
    <xf numFmtId="0" fontId="138" fillId="0" borderId="27" xfId="790" applyFont="1" applyBorder="1"/>
    <xf numFmtId="2" fontId="14" fillId="0" borderId="28" xfId="0" applyNumberFormat="1" applyFont="1" applyBorder="1"/>
    <xf numFmtId="3" fontId="14" fillId="0" borderId="153" xfId="790" applyNumberFormat="1" applyFont="1" applyFill="1" applyBorder="1"/>
    <xf numFmtId="0" fontId="5" fillId="0" borderId="21" xfId="790" applyFont="1" applyBorder="1"/>
    <xf numFmtId="2" fontId="14" fillId="0" borderId="17" xfId="0" applyNumberFormat="1" applyFont="1" applyBorder="1"/>
    <xf numFmtId="3" fontId="142" fillId="0" borderId="17" xfId="790" applyNumberFormat="1" applyFont="1" applyFill="1" applyBorder="1"/>
    <xf numFmtId="3" fontId="14" fillId="0" borderId="53" xfId="790" applyNumberFormat="1" applyFont="1" applyFill="1" applyBorder="1"/>
    <xf numFmtId="0" fontId="5" fillId="0" borderId="21" xfId="790" applyFont="1" applyFill="1" applyBorder="1"/>
    <xf numFmtId="0" fontId="5" fillId="0" borderId="21" xfId="790" applyFont="1" applyBorder="1" applyAlignment="1">
      <alignment wrapText="1"/>
    </xf>
    <xf numFmtId="3" fontId="5" fillId="0" borderId="17" xfId="0" applyNumberFormat="1" applyFont="1" applyBorder="1" applyAlignment="1">
      <alignment horizontal="right"/>
    </xf>
    <xf numFmtId="4" fontId="5" fillId="0" borderId="17" xfId="0" applyNumberFormat="1" applyFont="1" applyBorder="1" applyAlignment="1">
      <alignment horizontal="right"/>
    </xf>
    <xf numFmtId="3" fontId="138" fillId="0" borderId="17" xfId="790" applyNumberFormat="1" applyFont="1" applyBorder="1"/>
    <xf numFmtId="4" fontId="138" fillId="0" borderId="17" xfId="790" applyNumberFormat="1" applyFont="1" applyBorder="1"/>
    <xf numFmtId="3" fontId="138" fillId="0" borderId="53" xfId="790" applyNumberFormat="1" applyFont="1" applyBorder="1"/>
    <xf numFmtId="165" fontId="14" fillId="0" borderId="17" xfId="816" applyFont="1" applyBorder="1"/>
    <xf numFmtId="0" fontId="14" fillId="30" borderId="54" xfId="790" applyFont="1" applyFill="1" applyBorder="1"/>
    <xf numFmtId="4" fontId="14" fillId="30" borderId="0" xfId="790" applyNumberFormat="1" applyFont="1" applyFill="1" applyBorder="1"/>
    <xf numFmtId="2" fontId="14" fillId="30" borderId="0" xfId="0" applyNumberFormat="1" applyFont="1" applyFill="1" applyBorder="1"/>
    <xf numFmtId="3" fontId="14" fillId="30" borderId="24" xfId="790" applyNumberFormat="1" applyFont="1" applyFill="1" applyBorder="1"/>
    <xf numFmtId="1" fontId="14" fillId="30" borderId="154" xfId="0" applyNumberFormat="1" applyFont="1" applyFill="1" applyBorder="1" applyAlignment="1">
      <alignment horizontal="center" vertical="center"/>
    </xf>
    <xf numFmtId="1" fontId="14" fillId="30" borderId="155" xfId="0" applyNumberFormat="1" applyFont="1" applyFill="1" applyBorder="1" applyAlignment="1">
      <alignment horizontal="center" vertical="center"/>
    </xf>
    <xf numFmtId="0" fontId="14" fillId="30" borderId="155" xfId="0" applyFont="1" applyFill="1" applyBorder="1" applyAlignment="1">
      <alignment horizontal="center" vertical="center"/>
    </xf>
    <xf numFmtId="3" fontId="14" fillId="30" borderId="155" xfId="0" applyNumberFormat="1" applyFont="1" applyFill="1" applyBorder="1" applyAlignment="1">
      <alignment horizontal="center" vertical="center"/>
    </xf>
    <xf numFmtId="0" fontId="14" fillId="30" borderId="155" xfId="0" applyFont="1" applyFill="1" applyBorder="1" applyAlignment="1">
      <alignment vertical="center"/>
    </xf>
    <xf numFmtId="0" fontId="14" fillId="30" borderId="156" xfId="0" applyFont="1" applyFill="1" applyBorder="1" applyAlignment="1">
      <alignment vertical="center"/>
    </xf>
    <xf numFmtId="0" fontId="5" fillId="0" borderId="0" xfId="0" applyFont="1" applyAlignment="1">
      <alignment vertical="center"/>
    </xf>
    <xf numFmtId="0" fontId="14" fillId="0" borderId="27" xfId="0" applyFont="1" applyBorder="1"/>
    <xf numFmtId="3" fontId="14" fillId="0" borderId="28" xfId="0" applyNumberFormat="1" applyFont="1" applyBorder="1"/>
    <xf numFmtId="4" fontId="14" fillId="0" borderId="28" xfId="0" applyNumberFormat="1" applyFont="1" applyBorder="1"/>
    <xf numFmtId="3" fontId="14" fillId="0" borderId="153" xfId="0" applyNumberFormat="1" applyFont="1" applyBorder="1"/>
    <xf numFmtId="3" fontId="14" fillId="0" borderId="61" xfId="0" applyNumberFormat="1" applyFont="1" applyBorder="1"/>
    <xf numFmtId="3" fontId="5" fillId="0" borderId="17" xfId="0" applyNumberFormat="1" applyFont="1" applyBorder="1"/>
    <xf numFmtId="4" fontId="5" fillId="0" borderId="17" xfId="0" applyNumberFormat="1" applyFont="1" applyBorder="1"/>
    <xf numFmtId="3" fontId="5" fillId="29" borderId="17" xfId="0" applyNumberFormat="1" applyFont="1" applyFill="1" applyBorder="1"/>
    <xf numFmtId="3" fontId="5" fillId="0" borderId="53" xfId="0" applyNumberFormat="1" applyFont="1" applyFill="1" applyBorder="1"/>
    <xf numFmtId="0" fontId="14" fillId="0" borderId="21" xfId="0" applyFont="1" applyBorder="1"/>
    <xf numFmtId="3" fontId="5" fillId="0" borderId="53" xfId="0" applyNumberFormat="1" applyFont="1" applyBorder="1"/>
    <xf numFmtId="3" fontId="14" fillId="0" borderId="17" xfId="0" applyNumberFormat="1" applyFont="1" applyBorder="1"/>
    <xf numFmtId="4" fontId="14" fillId="0" borderId="17" xfId="0" applyNumberFormat="1" applyFont="1" applyBorder="1"/>
    <xf numFmtId="3" fontId="14" fillId="0" borderId="53" xfId="0" applyNumberFormat="1" applyFont="1" applyBorder="1"/>
    <xf numFmtId="168" fontId="14" fillId="0" borderId="17" xfId="0" applyNumberFormat="1" applyFont="1" applyBorder="1"/>
    <xf numFmtId="169" fontId="14" fillId="0" borderId="17" xfId="0" applyNumberFormat="1" applyFont="1" applyBorder="1"/>
    <xf numFmtId="169" fontId="14" fillId="0" borderId="53" xfId="0" applyNumberFormat="1" applyFont="1" applyBorder="1"/>
    <xf numFmtId="0" fontId="14" fillId="30" borderId="54" xfId="0" applyFont="1" applyFill="1" applyBorder="1"/>
    <xf numFmtId="3" fontId="14" fillId="30" borderId="0" xfId="0" applyNumberFormat="1" applyFont="1" applyFill="1" applyBorder="1"/>
    <xf numFmtId="3" fontId="14" fillId="30" borderId="24" xfId="0" applyNumberFormat="1" applyFont="1" applyFill="1" applyBorder="1"/>
    <xf numFmtId="1" fontId="14" fillId="30" borderId="154" xfId="0" applyNumberFormat="1" applyFont="1" applyFill="1" applyBorder="1" applyAlignment="1">
      <alignment horizontal="center"/>
    </xf>
    <xf numFmtId="1" fontId="14" fillId="30" borderId="155" xfId="0" applyNumberFormat="1" applyFont="1" applyFill="1" applyBorder="1" applyAlignment="1">
      <alignment horizontal="center"/>
    </xf>
    <xf numFmtId="0" fontId="14" fillId="30" borderId="155" xfId="0" applyFont="1" applyFill="1" applyBorder="1" applyAlignment="1">
      <alignment horizontal="center"/>
    </xf>
    <xf numFmtId="0" fontId="14" fillId="30" borderId="155" xfId="0" applyFont="1" applyFill="1" applyBorder="1"/>
    <xf numFmtId="0" fontId="14" fillId="30" borderId="156" xfId="0" applyFont="1" applyFill="1" applyBorder="1"/>
    <xf numFmtId="3" fontId="14" fillId="29" borderId="28" xfId="0" applyNumberFormat="1" applyFont="1" applyFill="1" applyBorder="1"/>
    <xf numFmtId="3" fontId="14" fillId="29" borderId="61" xfId="0" applyNumberFormat="1" applyFont="1" applyFill="1" applyBorder="1"/>
    <xf numFmtId="3" fontId="14" fillId="29" borderId="17" xfId="0" applyNumberFormat="1" applyFont="1" applyFill="1" applyBorder="1"/>
    <xf numFmtId="3" fontId="14" fillId="29" borderId="53" xfId="0" applyNumberFormat="1" applyFont="1" applyFill="1" applyBorder="1"/>
    <xf numFmtId="0" fontId="14" fillId="30" borderId="56" xfId="0" applyFont="1" applyFill="1" applyBorder="1"/>
    <xf numFmtId="3" fontId="14" fillId="30" borderId="14" xfId="0" applyNumberFormat="1" applyFont="1" applyFill="1" applyBorder="1"/>
    <xf numFmtId="4" fontId="14" fillId="30" borderId="14" xfId="0" applyNumberFormat="1" applyFont="1" applyFill="1" applyBorder="1"/>
    <xf numFmtId="2" fontId="14" fillId="30" borderId="14" xfId="0" applyNumberFormat="1" applyFont="1" applyFill="1" applyBorder="1"/>
    <xf numFmtId="4" fontId="14" fillId="30" borderId="14" xfId="790" applyNumberFormat="1" applyFont="1" applyFill="1" applyBorder="1"/>
    <xf numFmtId="3" fontId="14" fillId="30" borderId="25" xfId="0" applyNumberFormat="1" applyFont="1" applyFill="1" applyBorder="1"/>
    <xf numFmtId="3" fontId="138" fillId="29" borderId="0" xfId="790" applyNumberFormat="1" applyFont="1" applyFill="1" applyBorder="1" applyAlignment="1">
      <alignment horizontal="left"/>
    </xf>
    <xf numFmtId="0" fontId="138" fillId="0" borderId="0" xfId="0" applyFont="1" applyBorder="1" applyAlignment="1"/>
    <xf numFmtId="0" fontId="138" fillId="0" borderId="0" xfId="0" applyFont="1" applyAlignment="1">
      <alignment horizontal="left" wrapText="1"/>
    </xf>
    <xf numFmtId="0" fontId="144" fillId="0" borderId="0" xfId="0" applyFont="1" applyBorder="1"/>
    <xf numFmtId="0" fontId="143" fillId="0" borderId="14" xfId="790" applyFont="1" applyFill="1" applyBorder="1"/>
    <xf numFmtId="3" fontId="144" fillId="0" borderId="14" xfId="790" applyNumberFormat="1" applyFont="1" applyBorder="1"/>
    <xf numFmtId="0" fontId="144" fillId="0" borderId="14" xfId="790" applyFont="1" applyBorder="1"/>
    <xf numFmtId="0" fontId="146" fillId="0" borderId="14" xfId="790" applyFont="1" applyFill="1" applyBorder="1"/>
    <xf numFmtId="17" fontId="143" fillId="0" borderId="14" xfId="790" applyNumberFormat="1" applyFont="1" applyFill="1" applyBorder="1" applyAlignment="1">
      <alignment horizontal="right"/>
    </xf>
    <xf numFmtId="3" fontId="143" fillId="0" borderId="0" xfId="790" applyNumberFormat="1" applyFont="1" applyBorder="1"/>
    <xf numFmtId="0" fontId="143" fillId="0" borderId="0" xfId="790" applyFont="1"/>
    <xf numFmtId="3" fontId="147" fillId="0" borderId="0" xfId="790" applyNumberFormat="1" applyFont="1" applyFill="1" applyBorder="1"/>
    <xf numFmtId="0" fontId="143" fillId="0" borderId="0" xfId="790" applyFont="1" applyBorder="1"/>
    <xf numFmtId="0" fontId="147" fillId="0" borderId="27" xfId="790" applyFont="1" applyBorder="1" applyAlignment="1">
      <alignment horizontal="left" wrapText="1"/>
    </xf>
    <xf numFmtId="3" fontId="143" fillId="0" borderId="28" xfId="790" applyNumberFormat="1" applyFont="1" applyBorder="1"/>
    <xf numFmtId="4" fontId="143" fillId="0" borderId="28" xfId="790" applyNumberFormat="1" applyFont="1" applyBorder="1"/>
    <xf numFmtId="3" fontId="143" fillId="0" borderId="61" xfId="790" applyNumberFormat="1" applyFont="1" applyBorder="1"/>
    <xf numFmtId="0" fontId="147" fillId="0" borderId="0" xfId="0" applyFont="1" applyFill="1" applyBorder="1" applyAlignment="1">
      <alignment horizontal="left"/>
    </xf>
    <xf numFmtId="0" fontId="144" fillId="0" borderId="21" xfId="790" applyFont="1" applyBorder="1"/>
    <xf numFmtId="3" fontId="144" fillId="0" borderId="17" xfId="790" applyNumberFormat="1" applyFont="1" applyBorder="1"/>
    <xf numFmtId="4" fontId="143" fillId="0" borderId="17" xfId="790" applyNumberFormat="1" applyFont="1" applyBorder="1"/>
    <xf numFmtId="3" fontId="144" fillId="29" borderId="17" xfId="790" applyNumberFormat="1" applyFont="1" applyFill="1" applyBorder="1"/>
    <xf numFmtId="3" fontId="144" fillId="0" borderId="17" xfId="790" applyNumberFormat="1" applyFont="1" applyFill="1" applyBorder="1"/>
    <xf numFmtId="3" fontId="144" fillId="0" borderId="53" xfId="790" applyNumberFormat="1" applyFont="1" applyFill="1" applyBorder="1"/>
    <xf numFmtId="0" fontId="148" fillId="0" borderId="0" xfId="0" applyFont="1" applyFill="1" applyBorder="1" applyAlignment="1">
      <alignment horizontal="left"/>
    </xf>
    <xf numFmtId="0" fontId="144" fillId="0" borderId="27" xfId="790" applyFont="1" applyBorder="1"/>
    <xf numFmtId="3" fontId="143" fillId="0" borderId="17" xfId="790" applyNumberFormat="1" applyFont="1" applyBorder="1"/>
    <xf numFmtId="3" fontId="144" fillId="0" borderId="53" xfId="790" applyNumberFormat="1" applyFont="1" applyBorder="1"/>
    <xf numFmtId="0" fontId="147" fillId="0" borderId="0" xfId="790" applyFont="1" applyBorder="1"/>
    <xf numFmtId="0" fontId="143" fillId="0" borderId="21" xfId="790" applyFont="1" applyBorder="1"/>
    <xf numFmtId="3" fontId="143" fillId="0" borderId="17" xfId="790" applyNumberFormat="1" applyFont="1" applyFill="1" applyBorder="1"/>
    <xf numFmtId="3" fontId="143" fillId="0" borderId="53" xfId="790" applyNumberFormat="1" applyFont="1" applyFill="1" applyBorder="1"/>
    <xf numFmtId="0" fontId="144" fillId="0" borderId="0" xfId="790" applyFont="1" applyBorder="1"/>
    <xf numFmtId="0" fontId="144" fillId="0" borderId="0" xfId="0" applyFont="1" applyFill="1" applyBorder="1" applyAlignment="1"/>
    <xf numFmtId="0" fontId="144" fillId="0" borderId="21" xfId="790" applyFont="1" applyBorder="1" applyAlignment="1">
      <alignment horizontal="center" wrapText="1"/>
    </xf>
    <xf numFmtId="0" fontId="144" fillId="0" borderId="0" xfId="790" applyFont="1" applyFill="1" applyBorder="1"/>
    <xf numFmtId="0" fontId="144" fillId="0" borderId="21" xfId="790" applyFont="1" applyBorder="1" applyAlignment="1">
      <alignment horizontal="left" wrapText="1"/>
    </xf>
    <xf numFmtId="3" fontId="144" fillId="0" borderId="0" xfId="790" applyNumberFormat="1" applyFont="1" applyBorder="1"/>
    <xf numFmtId="0" fontId="147" fillId="0" borderId="21" xfId="790" applyFont="1" applyBorder="1"/>
    <xf numFmtId="3" fontId="147" fillId="0" borderId="17" xfId="790" applyNumberFormat="1" applyFont="1" applyFill="1" applyBorder="1"/>
    <xf numFmtId="3" fontId="147" fillId="0" borderId="53" xfId="790" applyNumberFormat="1" applyFont="1" applyFill="1" applyBorder="1"/>
    <xf numFmtId="0" fontId="149" fillId="0" borderId="0" xfId="0" applyFont="1" applyFill="1" applyBorder="1" applyAlignment="1">
      <alignment horizontal="left" wrapText="1"/>
    </xf>
    <xf numFmtId="4" fontId="143" fillId="0" borderId="17" xfId="790" applyNumberFormat="1" applyFont="1" applyFill="1" applyBorder="1"/>
    <xf numFmtId="4" fontId="143" fillId="0" borderId="53" xfId="790" applyNumberFormat="1" applyFont="1" applyFill="1" applyBorder="1"/>
    <xf numFmtId="0" fontId="143" fillId="0" borderId="0" xfId="0" applyFont="1" applyFill="1" applyBorder="1" applyAlignment="1">
      <alignment horizontal="left"/>
    </xf>
    <xf numFmtId="0" fontId="143" fillId="30" borderId="29" xfId="790" applyFont="1" applyFill="1" applyBorder="1" applyAlignment="1">
      <alignment horizontal="left" wrapText="1"/>
    </xf>
    <xf numFmtId="3" fontId="143" fillId="30" borderId="22" xfId="790" applyNumberFormat="1" applyFont="1" applyFill="1" applyBorder="1"/>
    <xf numFmtId="4" fontId="143" fillId="30" borderId="22" xfId="790" applyNumberFormat="1" applyFont="1" applyFill="1" applyBorder="1"/>
    <xf numFmtId="3" fontId="143" fillId="30" borderId="62" xfId="790" applyNumberFormat="1" applyFont="1" applyFill="1" applyBorder="1"/>
    <xf numFmtId="0" fontId="143" fillId="0" borderId="0" xfId="0" applyFont="1" applyFill="1" applyBorder="1" applyAlignment="1">
      <alignment horizontal="left" vertical="center"/>
    </xf>
    <xf numFmtId="0" fontId="143" fillId="28" borderId="56" xfId="790" applyFont="1" applyFill="1" applyBorder="1"/>
    <xf numFmtId="0" fontId="143" fillId="28" borderId="14" xfId="790" applyFont="1" applyFill="1" applyBorder="1"/>
    <xf numFmtId="4" fontId="143" fillId="28" borderId="14" xfId="790" applyNumberFormat="1" applyFont="1" applyFill="1" applyBorder="1" applyAlignment="1">
      <alignment horizontal="center"/>
    </xf>
    <xf numFmtId="3" fontId="143" fillId="0" borderId="0" xfId="0" applyNumberFormat="1" applyFont="1" applyFill="1" applyBorder="1" applyAlignment="1">
      <alignment horizontal="left" vertical="center"/>
    </xf>
    <xf numFmtId="0" fontId="143" fillId="38" borderId="152" xfId="790" applyFont="1" applyFill="1" applyBorder="1" applyAlignment="1">
      <alignment horizontal="left"/>
    </xf>
    <xf numFmtId="0" fontId="143" fillId="38" borderId="64" xfId="790" applyFont="1" applyFill="1" applyBorder="1" applyAlignment="1">
      <alignment horizontal="left"/>
    </xf>
    <xf numFmtId="168" fontId="143" fillId="38" borderId="64" xfId="790" applyNumberFormat="1" applyFont="1" applyFill="1" applyBorder="1" applyAlignment="1">
      <alignment horizontal="center"/>
    </xf>
    <xf numFmtId="0" fontId="144" fillId="0" borderId="0" xfId="0" applyFont="1" applyFill="1" applyBorder="1" applyAlignment="1">
      <alignment wrapText="1"/>
    </xf>
    <xf numFmtId="0" fontId="143" fillId="0" borderId="157" xfId="790" applyFont="1" applyBorder="1"/>
    <xf numFmtId="3" fontId="143" fillId="0" borderId="153" xfId="790" applyNumberFormat="1" applyFont="1" applyBorder="1" applyAlignment="1">
      <alignment horizontal="right"/>
    </xf>
    <xf numFmtId="4" fontId="143" fillId="0" borderId="153" xfId="790" applyNumberFormat="1" applyFont="1" applyBorder="1"/>
    <xf numFmtId="0" fontId="144" fillId="0" borderId="0" xfId="0" applyFont="1" applyFill="1" applyBorder="1" applyAlignment="1">
      <alignment horizontal="left" vertical="center"/>
    </xf>
    <xf numFmtId="0" fontId="144" fillId="0" borderId="158" xfId="790" applyFont="1" applyBorder="1"/>
    <xf numFmtId="3" fontId="144" fillId="0" borderId="159" xfId="790" applyNumberFormat="1" applyFont="1" applyBorder="1"/>
    <xf numFmtId="0" fontId="143" fillId="38" borderId="154" xfId="790" applyFont="1" applyFill="1" applyBorder="1" applyAlignment="1">
      <alignment horizontal="left"/>
    </xf>
    <xf numFmtId="0" fontId="143" fillId="38" borderId="155" xfId="790" applyFont="1" applyFill="1" applyBorder="1" applyAlignment="1">
      <alignment horizontal="left"/>
    </xf>
    <xf numFmtId="168" fontId="143" fillId="38" borderId="155" xfId="790" applyNumberFormat="1" applyFont="1" applyFill="1" applyBorder="1" applyAlignment="1">
      <alignment horizontal="center"/>
    </xf>
    <xf numFmtId="3" fontId="143" fillId="0" borderId="153" xfId="790" applyNumberFormat="1" applyFont="1" applyFill="1" applyBorder="1" applyAlignment="1">
      <alignment horizontal="right"/>
    </xf>
    <xf numFmtId="0" fontId="144" fillId="0" borderId="29" xfId="790" applyFont="1" applyBorder="1"/>
    <xf numFmtId="3" fontId="144" fillId="0" borderId="22" xfId="790" applyNumberFormat="1" applyFont="1" applyBorder="1"/>
    <xf numFmtId="4" fontId="143" fillId="0" borderId="22" xfId="790" applyNumberFormat="1" applyFont="1" applyBorder="1"/>
    <xf numFmtId="3" fontId="144" fillId="0" borderId="22" xfId="790" applyNumberFormat="1" applyFont="1" applyFill="1" applyBorder="1"/>
    <xf numFmtId="168" fontId="143" fillId="38" borderId="0" xfId="790" applyNumberFormat="1" applyFont="1" applyFill="1" applyBorder="1" applyAlignment="1">
      <alignment horizontal="center"/>
    </xf>
    <xf numFmtId="0" fontId="144" fillId="0" borderId="43" xfId="0" applyFont="1" applyBorder="1" applyAlignment="1">
      <alignment horizontal="center" vertical="center"/>
    </xf>
    <xf numFmtId="2" fontId="144" fillId="0" borderId="160" xfId="0" applyNumberFormat="1" applyFont="1" applyBorder="1" applyAlignment="1">
      <alignment horizontal="left" vertical="center"/>
    </xf>
    <xf numFmtId="2" fontId="144" fillId="0" borderId="124" xfId="0" applyNumberFormat="1" applyFont="1" applyBorder="1" applyAlignment="1">
      <alignment horizontal="left" vertical="center"/>
    </xf>
    <xf numFmtId="0" fontId="144" fillId="0" borderId="124" xfId="0" applyFont="1" applyBorder="1" applyAlignment="1">
      <alignment horizontal="center"/>
    </xf>
    <xf numFmtId="2" fontId="144" fillId="0" borderId="0" xfId="0" applyNumberFormat="1" applyFont="1" applyBorder="1" applyAlignment="1">
      <alignment horizontal="left" vertical="center"/>
    </xf>
    <xf numFmtId="0" fontId="144" fillId="0" borderId="0" xfId="0" applyFont="1" applyBorder="1" applyAlignment="1">
      <alignment horizontal="center"/>
    </xf>
    <xf numFmtId="0" fontId="144" fillId="0" borderId="76" xfId="0" applyFont="1" applyBorder="1" applyAlignment="1">
      <alignment horizontal="center" vertical="center"/>
    </xf>
    <xf numFmtId="0" fontId="144" fillId="0" borderId="160" xfId="0" applyFont="1" applyFill="1" applyBorder="1" applyAlignment="1">
      <alignment horizontal="left" vertical="center" wrapText="1"/>
    </xf>
    <xf numFmtId="0" fontId="144" fillId="0" borderId="25" xfId="0" applyFont="1" applyFill="1" applyBorder="1" applyAlignment="1">
      <alignment horizontal="left" vertical="center" wrapText="1"/>
    </xf>
    <xf numFmtId="0" fontId="144" fillId="0" borderId="25" xfId="0" applyFont="1" applyBorder="1" applyAlignment="1">
      <alignment horizontal="center" vertical="center"/>
    </xf>
    <xf numFmtId="0" fontId="144" fillId="0" borderId="0" xfId="0" applyFont="1" applyFill="1" applyBorder="1" applyAlignment="1">
      <alignment horizontal="left" vertical="center" wrapText="1"/>
    </xf>
    <xf numFmtId="0" fontId="144" fillId="0" borderId="0" xfId="0" applyFont="1" applyBorder="1" applyAlignment="1">
      <alignment horizontal="center" vertical="center"/>
    </xf>
    <xf numFmtId="0" fontId="143" fillId="0" borderId="0" xfId="793" applyFont="1" applyFill="1" applyBorder="1" applyAlignment="1"/>
    <xf numFmtId="166" fontId="143" fillId="0" borderId="0" xfId="816" applyNumberFormat="1" applyFont="1" applyFill="1" applyBorder="1" applyAlignment="1">
      <alignment horizontal="center"/>
    </xf>
    <xf numFmtId="0" fontId="144" fillId="0" borderId="0" xfId="0" applyFont="1" applyFill="1"/>
    <xf numFmtId="0" fontId="144" fillId="0" borderId="0" xfId="793" applyFont="1" applyFill="1" applyBorder="1" applyAlignment="1"/>
    <xf numFmtId="166" fontId="144" fillId="0" borderId="0" xfId="816" applyNumberFormat="1" applyFont="1" applyFill="1" applyBorder="1" applyAlignment="1">
      <alignment horizontal="center"/>
    </xf>
    <xf numFmtId="167" fontId="144" fillId="0" borderId="0" xfId="816" applyNumberFormat="1" applyFont="1" applyFill="1" applyBorder="1" applyAlignment="1">
      <alignment horizontal="center"/>
    </xf>
    <xf numFmtId="0" fontId="144" fillId="0" borderId="0" xfId="0" applyFont="1" applyFill="1" applyBorder="1"/>
    <xf numFmtId="3" fontId="144" fillId="0" borderId="0" xfId="0" applyNumberFormat="1" applyFont="1" applyFill="1"/>
    <xf numFmtId="3" fontId="143" fillId="0" borderId="0" xfId="790" applyNumberFormat="1" applyFont="1"/>
    <xf numFmtId="2" fontId="143" fillId="0" borderId="0" xfId="790" applyNumberFormat="1" applyFont="1"/>
    <xf numFmtId="3" fontId="47" fillId="0" borderId="26" xfId="782" applyNumberFormat="1" applyFont="1" applyBorder="1"/>
    <xf numFmtId="3" fontId="151" fillId="30" borderId="19" xfId="187" quotePrefix="1" applyNumberFormat="1" applyFont="1" applyFill="1" applyBorder="1" applyAlignment="1">
      <alignment horizontal="center" vertical="center"/>
    </xf>
    <xf numFmtId="3" fontId="151" fillId="30" borderId="19" xfId="187" applyNumberFormat="1" applyFont="1" applyFill="1" applyBorder="1" applyAlignment="1">
      <alignment horizontal="center" vertical="center"/>
    </xf>
    <xf numFmtId="0" fontId="132" fillId="0" borderId="0" xfId="0" applyFont="1"/>
    <xf numFmtId="0" fontId="81" fillId="0" borderId="0" xfId="0" applyFont="1" applyBorder="1"/>
    <xf numFmtId="0" fontId="132" fillId="0" borderId="0" xfId="0" applyFont="1" applyFill="1" applyBorder="1"/>
    <xf numFmtId="166" fontId="132" fillId="29" borderId="0" xfId="818" applyNumberFormat="1" applyFont="1" applyFill="1" applyBorder="1"/>
    <xf numFmtId="166" fontId="132" fillId="29" borderId="0" xfId="816" applyNumberFormat="1" applyFont="1" applyFill="1" applyBorder="1"/>
    <xf numFmtId="166" fontId="132" fillId="52" borderId="0" xfId="816" applyNumberFormat="1" applyFont="1" applyFill="1" applyBorder="1"/>
    <xf numFmtId="0" fontId="132" fillId="0" borderId="0" xfId="0" applyFont="1" applyBorder="1"/>
    <xf numFmtId="3" fontId="81" fillId="0" borderId="0" xfId="0" applyNumberFormat="1" applyFont="1" applyBorder="1"/>
    <xf numFmtId="0" fontId="153" fillId="0" borderId="0" xfId="0" applyFont="1" applyBorder="1"/>
    <xf numFmtId="0" fontId="92" fillId="0" borderId="0" xfId="0" applyFont="1" applyBorder="1" applyAlignment="1">
      <alignment horizontal="left"/>
    </xf>
    <xf numFmtId="166" fontId="154" fillId="29" borderId="0" xfId="818" applyNumberFormat="1" applyFont="1" applyFill="1" applyBorder="1" applyAlignment="1">
      <alignment horizontal="left"/>
    </xf>
    <xf numFmtId="0" fontId="154" fillId="0" borderId="0" xfId="0" applyFont="1" applyBorder="1" applyAlignment="1">
      <alignment horizontal="left"/>
    </xf>
    <xf numFmtId="0" fontId="154" fillId="29" borderId="0" xfId="0" applyFont="1" applyFill="1" applyBorder="1" applyAlignment="1">
      <alignment horizontal="left"/>
    </xf>
    <xf numFmtId="0" fontId="154" fillId="52" borderId="0" xfId="0" applyFont="1" applyFill="1" applyBorder="1" applyAlignment="1">
      <alignment horizontal="left"/>
    </xf>
    <xf numFmtId="17" fontId="46" fillId="0" borderId="0" xfId="0" quotePrefix="1" applyNumberFormat="1" applyFont="1" applyAlignment="1">
      <alignment horizontal="right"/>
    </xf>
    <xf numFmtId="3" fontId="81" fillId="0" borderId="0" xfId="0" applyNumberFormat="1" applyFont="1"/>
    <xf numFmtId="0" fontId="153" fillId="0" borderId="0" xfId="0" applyFont="1"/>
    <xf numFmtId="0" fontId="81" fillId="31" borderId="142" xfId="0" applyFont="1" applyFill="1" applyBorder="1" applyAlignment="1" applyProtection="1">
      <alignment horizontal="centerContinuous"/>
      <protection locked="0"/>
    </xf>
    <xf numFmtId="0" fontId="81" fillId="0" borderId="0" xfId="0" applyFont="1" applyFill="1" applyBorder="1" applyAlignment="1">
      <alignment horizontal="center" wrapText="1"/>
    </xf>
    <xf numFmtId="0" fontId="81" fillId="0" borderId="31" xfId="0" applyFont="1" applyBorder="1" applyAlignment="1">
      <alignment horizontal="centerContinuous"/>
    </xf>
    <xf numFmtId="0" fontId="81" fillId="0" borderId="32" xfId="0" applyFont="1" applyBorder="1" applyAlignment="1">
      <alignment horizontal="centerContinuous"/>
    </xf>
    <xf numFmtId="0" fontId="81" fillId="31" borderId="85" xfId="0" applyFont="1" applyFill="1" applyBorder="1" applyAlignment="1" applyProtection="1">
      <alignment horizontal="centerContinuous"/>
      <protection locked="0"/>
    </xf>
    <xf numFmtId="0" fontId="81" fillId="31" borderId="161" xfId="0" applyFont="1" applyFill="1" applyBorder="1" applyAlignment="1" applyProtection="1">
      <alignment horizontal="centerContinuous"/>
      <protection locked="0"/>
    </xf>
    <xf numFmtId="0" fontId="132" fillId="31" borderId="162" xfId="0" applyFont="1" applyFill="1" applyBorder="1" applyProtection="1">
      <protection locked="0"/>
    </xf>
    <xf numFmtId="0" fontId="132" fillId="51" borderId="162" xfId="0" applyFont="1" applyFill="1" applyBorder="1" applyProtection="1">
      <protection locked="0"/>
    </xf>
    <xf numFmtId="0" fontId="81" fillId="0" borderId="33" xfId="0" applyFont="1" applyBorder="1" applyAlignment="1">
      <alignment horizontal="centerContinuous"/>
    </xf>
    <xf numFmtId="0" fontId="81" fillId="0" borderId="34" xfId="0" applyFont="1" applyBorder="1" applyAlignment="1">
      <alignment horizontal="centerContinuous"/>
    </xf>
    <xf numFmtId="0" fontId="81" fillId="31" borderId="30" xfId="0" applyFont="1" applyFill="1" applyBorder="1" applyAlignment="1" applyProtection="1">
      <alignment horizontal="center" wrapText="1"/>
      <protection locked="0"/>
    </xf>
    <xf numFmtId="168" fontId="155" fillId="31" borderId="163" xfId="818" applyNumberFormat="1" applyFont="1" applyFill="1" applyBorder="1" applyAlignment="1" applyProtection="1">
      <alignment horizontal="center" vertical="center" wrapText="1"/>
      <protection locked="0"/>
    </xf>
    <xf numFmtId="0" fontId="81" fillId="31" borderId="77" xfId="0" applyFont="1" applyFill="1" applyBorder="1" applyAlignment="1" applyProtection="1">
      <alignment horizontal="center" vertical="center" wrapText="1"/>
      <protection locked="0"/>
    </xf>
    <xf numFmtId="0" fontId="81" fillId="31" borderId="25" xfId="0" applyFont="1" applyFill="1" applyBorder="1" applyAlignment="1" applyProtection="1">
      <alignment horizontal="center" vertical="center" wrapText="1"/>
      <protection locked="0"/>
    </xf>
    <xf numFmtId="0" fontId="81" fillId="31" borderId="139" xfId="0" applyFont="1" applyFill="1" applyBorder="1" applyAlignment="1" applyProtection="1">
      <alignment horizontal="center" vertical="center" wrapText="1"/>
      <protection locked="0"/>
    </xf>
    <xf numFmtId="0" fontId="81" fillId="31" borderId="139" xfId="0" applyFont="1" applyFill="1" applyBorder="1" applyAlignment="1" applyProtection="1">
      <alignment horizontal="center" wrapText="1"/>
      <protection locked="0"/>
    </xf>
    <xf numFmtId="0" fontId="81" fillId="31" borderId="77" xfId="0" applyFont="1" applyFill="1" applyBorder="1" applyAlignment="1" applyProtection="1">
      <alignment horizontal="center" wrapText="1"/>
      <protection locked="0"/>
    </xf>
    <xf numFmtId="0" fontId="14" fillId="31" borderId="77" xfId="0" applyFont="1" applyFill="1" applyBorder="1" applyAlignment="1" applyProtection="1">
      <alignment horizontal="center" wrapText="1"/>
      <protection locked="0"/>
    </xf>
    <xf numFmtId="0" fontId="14" fillId="31" borderId="164" xfId="0" applyFont="1" applyFill="1" applyBorder="1" applyAlignment="1" applyProtection="1">
      <alignment horizontal="centerContinuous" wrapText="1"/>
      <protection locked="0"/>
    </xf>
    <xf numFmtId="0" fontId="81" fillId="51" borderId="77" xfId="0" applyFont="1" applyFill="1" applyBorder="1" applyAlignment="1" applyProtection="1">
      <alignment horizontal="center" wrapText="1"/>
      <protection locked="0"/>
    </xf>
    <xf numFmtId="0" fontId="81" fillId="0" borderId="33" xfId="0" applyFont="1" applyBorder="1" applyAlignment="1">
      <alignment horizontal="center"/>
    </xf>
    <xf numFmtId="0" fontId="81" fillId="0" borderId="34" xfId="0" applyFont="1" applyBorder="1" applyAlignment="1">
      <alignment horizontal="center"/>
    </xf>
    <xf numFmtId="0" fontId="81" fillId="0" borderId="40" xfId="0" applyFont="1" applyBorder="1" applyAlignment="1">
      <alignment horizontal="center"/>
    </xf>
    <xf numFmtId="3" fontId="151" fillId="30" borderId="37" xfId="187" quotePrefix="1" applyNumberFormat="1" applyFont="1" applyFill="1" applyBorder="1" applyAlignment="1">
      <alignment horizontal="center" vertical="center"/>
    </xf>
    <xf numFmtId="3" fontId="151" fillId="0" borderId="70" xfId="792" quotePrefix="1" applyFont="1" applyFill="1" applyBorder="1" applyAlignment="1">
      <alignment vertical="center"/>
    </xf>
    <xf numFmtId="172" fontId="132" fillId="29" borderId="103" xfId="0" applyNumberFormat="1" applyFont="1" applyFill="1" applyBorder="1" applyAlignment="1" applyProtection="1"/>
    <xf numFmtId="172" fontId="132" fillId="0" borderId="68" xfId="0" applyNumberFormat="1" applyFont="1" applyFill="1" applyBorder="1" applyAlignment="1" applyProtection="1"/>
    <xf numFmtId="172" fontId="132" fillId="0" borderId="50" xfId="0" applyNumberFormat="1" applyFont="1" applyFill="1" applyBorder="1" applyAlignment="1" applyProtection="1"/>
    <xf numFmtId="172" fontId="132" fillId="0" borderId="23" xfId="0" applyNumberFormat="1" applyFont="1" applyFill="1" applyBorder="1" applyAlignment="1" applyProtection="1"/>
    <xf numFmtId="172" fontId="132" fillId="0" borderId="140" xfId="0" applyNumberFormat="1" applyFont="1" applyFill="1" applyBorder="1" applyAlignment="1" applyProtection="1"/>
    <xf numFmtId="172" fontId="132" fillId="0" borderId="69" xfId="0" applyNumberFormat="1" applyFont="1" applyFill="1" applyBorder="1" applyAlignment="1" applyProtection="1"/>
    <xf numFmtId="172" fontId="132" fillId="0" borderId="75" xfId="0" applyNumberFormat="1" applyFont="1" applyFill="1" applyBorder="1" applyAlignment="1" applyProtection="1"/>
    <xf numFmtId="172" fontId="132" fillId="0" borderId="65" xfId="0" applyNumberFormat="1" applyFont="1" applyFill="1" applyBorder="1" applyAlignment="1" applyProtection="1"/>
    <xf numFmtId="172" fontId="132" fillId="52" borderId="70" xfId="0" applyNumberFormat="1" applyFont="1" applyFill="1" applyBorder="1" applyAlignment="1" applyProtection="1"/>
    <xf numFmtId="3" fontId="132" fillId="0" borderId="165" xfId="0" applyNumberFormat="1" applyFont="1" applyFill="1" applyBorder="1" applyAlignment="1" applyProtection="1"/>
    <xf numFmtId="3" fontId="132" fillId="0" borderId="166" xfId="0" applyNumberFormat="1" applyFont="1" applyFill="1" applyBorder="1" applyAlignment="1" applyProtection="1"/>
    <xf numFmtId="3" fontId="132" fillId="0" borderId="61" xfId="0" applyNumberFormat="1" applyFont="1" applyFill="1" applyBorder="1" applyAlignment="1"/>
    <xf numFmtId="4" fontId="132" fillId="0" borderId="0" xfId="0" applyNumberFormat="1" applyFont="1"/>
    <xf numFmtId="3" fontId="132" fillId="0" borderId="0" xfId="0" applyNumberFormat="1" applyFont="1"/>
    <xf numFmtId="169" fontId="132" fillId="0" borderId="0" xfId="0" applyNumberFormat="1" applyFont="1"/>
    <xf numFmtId="171" fontId="132" fillId="0" borderId="0" xfId="0" applyNumberFormat="1" applyFont="1"/>
    <xf numFmtId="1" fontId="132" fillId="0" borderId="0" xfId="0" applyNumberFormat="1" applyFont="1"/>
    <xf numFmtId="3" fontId="151" fillId="0" borderId="50" xfId="792" quotePrefix="1" applyFont="1" applyFill="1" applyBorder="1" applyAlignment="1">
      <alignment vertical="center"/>
    </xf>
    <xf numFmtId="172" fontId="132" fillId="0" borderId="21" xfId="0" applyNumberFormat="1" applyFont="1" applyFill="1" applyBorder="1" applyAlignment="1" applyProtection="1"/>
    <xf numFmtId="172" fontId="132" fillId="0" borderId="72" xfId="0" applyNumberFormat="1" applyFont="1" applyFill="1" applyBorder="1" applyAlignment="1" applyProtection="1"/>
    <xf numFmtId="172" fontId="132" fillId="29" borderId="80" xfId="0" applyNumberFormat="1" applyFont="1" applyFill="1" applyBorder="1" applyAlignment="1" applyProtection="1"/>
    <xf numFmtId="172" fontId="132" fillId="29" borderId="68" xfId="0" applyNumberFormat="1" applyFont="1" applyFill="1" applyBorder="1" applyAlignment="1" applyProtection="1"/>
    <xf numFmtId="172" fontId="132" fillId="52" borderId="50" xfId="0" applyNumberFormat="1" applyFont="1" applyFill="1" applyBorder="1" applyAlignment="1" applyProtection="1"/>
    <xf numFmtId="0" fontId="132" fillId="52" borderId="0" xfId="0" applyFont="1" applyFill="1"/>
    <xf numFmtId="172" fontId="132" fillId="0" borderId="80" xfId="0" applyNumberFormat="1" applyFont="1" applyFill="1" applyBorder="1" applyAlignment="1" applyProtection="1"/>
    <xf numFmtId="3" fontId="151" fillId="0" borderId="50" xfId="792" applyFont="1" applyFill="1" applyBorder="1" applyAlignment="1">
      <alignment vertical="center"/>
    </xf>
    <xf numFmtId="0" fontId="132" fillId="30" borderId="19" xfId="0" applyFont="1" applyFill="1" applyBorder="1"/>
    <xf numFmtId="3" fontId="81" fillId="0" borderId="50" xfId="0" applyNumberFormat="1" applyFont="1" applyFill="1" applyBorder="1" applyAlignment="1" applyProtection="1">
      <alignment horizontal="left"/>
    </xf>
    <xf numFmtId="172" fontId="132" fillId="29" borderId="92" xfId="0" applyNumberFormat="1" applyFont="1" applyFill="1" applyBorder="1" applyAlignment="1" applyProtection="1"/>
    <xf numFmtId="0" fontId="132" fillId="30" borderId="26" xfId="0" applyFont="1" applyFill="1" applyBorder="1"/>
    <xf numFmtId="3" fontId="81" fillId="56" borderId="51" xfId="0" applyNumberFormat="1" applyFont="1" applyFill="1" applyBorder="1" applyAlignment="1" applyProtection="1">
      <alignment horizontal="left"/>
    </xf>
    <xf numFmtId="3" fontId="81" fillId="56" borderId="167" xfId="818" applyNumberFormat="1" applyFont="1" applyFill="1" applyBorder="1" applyAlignment="1" applyProtection="1">
      <alignment horizontal="right"/>
    </xf>
    <xf numFmtId="3" fontId="81" fillId="56" borderId="139" xfId="818" applyNumberFormat="1" applyFont="1" applyFill="1" applyBorder="1" applyAlignment="1" applyProtection="1">
      <alignment horizontal="right"/>
    </xf>
    <xf numFmtId="3" fontId="81" fillId="56" borderId="14" xfId="818" applyNumberFormat="1" applyFont="1" applyFill="1" applyBorder="1" applyAlignment="1" applyProtection="1">
      <alignment horizontal="right"/>
    </xf>
    <xf numFmtId="3" fontId="81" fillId="56" borderId="25" xfId="818" applyNumberFormat="1" applyFont="1" applyFill="1" applyBorder="1" applyAlignment="1" applyProtection="1">
      <alignment horizontal="right"/>
    </xf>
    <xf numFmtId="3" fontId="81" fillId="56" borderId="52" xfId="818" applyNumberFormat="1" applyFont="1" applyFill="1" applyBorder="1" applyAlignment="1" applyProtection="1">
      <alignment horizontal="right"/>
    </xf>
    <xf numFmtId="3" fontId="81" fillId="56" borderId="139" xfId="816" applyNumberFormat="1" applyFont="1" applyFill="1" applyBorder="1" applyAlignment="1" applyProtection="1">
      <alignment horizontal="right"/>
    </xf>
    <xf numFmtId="3" fontId="81" fillId="56" borderId="77" xfId="816" applyNumberFormat="1" applyFont="1" applyFill="1" applyBorder="1" applyAlignment="1" applyProtection="1">
      <alignment horizontal="right"/>
    </xf>
    <xf numFmtId="3" fontId="151" fillId="56" borderId="77" xfId="816" applyNumberFormat="1" applyFont="1" applyFill="1" applyBorder="1" applyAlignment="1" applyProtection="1">
      <alignment horizontal="right"/>
    </xf>
    <xf numFmtId="3" fontId="81" fillId="56" borderId="168" xfId="0" applyNumberFormat="1" applyFont="1" applyFill="1" applyBorder="1" applyAlignment="1" applyProtection="1"/>
    <xf numFmtId="3" fontId="81" fillId="56" borderId="169" xfId="0" applyNumberFormat="1" applyFont="1" applyFill="1" applyBorder="1" applyAlignment="1" applyProtection="1"/>
    <xf numFmtId="3" fontId="81" fillId="56" borderId="170" xfId="0" applyNumberFormat="1" applyFont="1" applyFill="1" applyBorder="1" applyAlignment="1" applyProtection="1"/>
    <xf numFmtId="3" fontId="81" fillId="52" borderId="0" xfId="0" applyNumberFormat="1" applyFont="1" applyFill="1" applyBorder="1" applyAlignment="1" applyProtection="1"/>
    <xf numFmtId="3" fontId="14" fillId="52" borderId="0" xfId="0" applyNumberFormat="1" applyFont="1" applyFill="1" applyBorder="1"/>
    <xf numFmtId="0" fontId="132" fillId="29" borderId="0" xfId="0" applyFont="1" applyFill="1" applyBorder="1"/>
    <xf numFmtId="3" fontId="132" fillId="0" borderId="0" xfId="0" applyNumberFormat="1" applyFont="1" applyBorder="1"/>
    <xf numFmtId="0" fontId="132" fillId="52" borderId="0" xfId="0" applyFont="1" applyFill="1" applyBorder="1"/>
    <xf numFmtId="166" fontId="132" fillId="29" borderId="0" xfId="818" applyNumberFormat="1" applyFont="1" applyFill="1"/>
    <xf numFmtId="3" fontId="53" fillId="0" borderId="145" xfId="295" applyNumberFormat="1" applyFont="1" applyFill="1" applyBorder="1" applyAlignment="1">
      <alignment horizontal="right"/>
    </xf>
    <xf numFmtId="3" fontId="53" fillId="0" borderId="36" xfId="295" applyNumberFormat="1" applyFont="1" applyFill="1" applyBorder="1" applyAlignment="1">
      <alignment horizontal="right"/>
    </xf>
    <xf numFmtId="3" fontId="52" fillId="0" borderId="41" xfId="0" applyNumberFormat="1" applyFont="1" applyFill="1" applyBorder="1"/>
    <xf numFmtId="3" fontId="53" fillId="0" borderId="145" xfId="0" applyNumberFormat="1" applyFont="1" applyFill="1" applyBorder="1" applyAlignment="1">
      <alignment horizontal="right"/>
    </xf>
    <xf numFmtId="3" fontId="53" fillId="0" borderId="36" xfId="0" applyNumberFormat="1" applyFont="1" applyFill="1" applyBorder="1" applyAlignment="1">
      <alignment horizontal="right"/>
    </xf>
    <xf numFmtId="3" fontId="53" fillId="0" borderId="0" xfId="0" applyNumberFormat="1" applyFont="1" applyFill="1" applyBorder="1" applyAlignment="1">
      <alignment horizontal="right"/>
    </xf>
    <xf numFmtId="4" fontId="53" fillId="29" borderId="145" xfId="0" applyNumberFormat="1" applyFont="1" applyFill="1" applyBorder="1"/>
    <xf numFmtId="4" fontId="53" fillId="29" borderId="36" xfId="0" applyNumberFormat="1" applyFont="1" applyFill="1" applyBorder="1"/>
    <xf numFmtId="4" fontId="52" fillId="29" borderId="104" xfId="0" applyNumberFormat="1" applyFont="1" applyFill="1" applyBorder="1"/>
    <xf numFmtId="3" fontId="53" fillId="0" borderId="146" xfId="295" applyNumberFormat="1" applyFont="1" applyFill="1" applyBorder="1" applyAlignment="1">
      <alignment horizontal="right"/>
    </xf>
    <xf numFmtId="3" fontId="53" fillId="0" borderId="79" xfId="295" applyNumberFormat="1" applyFont="1" applyFill="1" applyBorder="1" applyAlignment="1">
      <alignment horizontal="right"/>
    </xf>
    <xf numFmtId="3" fontId="52" fillId="0" borderId="38" xfId="0" applyNumberFormat="1" applyFont="1" applyFill="1" applyBorder="1"/>
    <xf numFmtId="3" fontId="53" fillId="0" borderId="146" xfId="0" applyNumberFormat="1" applyFont="1" applyFill="1" applyBorder="1" applyAlignment="1">
      <alignment horizontal="right"/>
    </xf>
    <xf numFmtId="3" fontId="53" fillId="0" borderId="79" xfId="0" applyNumberFormat="1" applyFont="1" applyFill="1" applyBorder="1" applyAlignment="1">
      <alignment horizontal="right"/>
    </xf>
    <xf numFmtId="4" fontId="53" fillId="0" borderId="146" xfId="0" applyNumberFormat="1" applyFont="1" applyFill="1" applyBorder="1"/>
    <xf numFmtId="4" fontId="53" fillId="0" borderId="79" xfId="0" applyNumberFormat="1" applyFont="1" applyFill="1" applyBorder="1"/>
    <xf numFmtId="4" fontId="52" fillId="0" borderId="105" xfId="0" applyNumberFormat="1" applyFont="1" applyFill="1" applyBorder="1"/>
    <xf numFmtId="4" fontId="53" fillId="52" borderId="146" xfId="0" applyNumberFormat="1" applyFont="1" applyFill="1" applyBorder="1"/>
    <xf numFmtId="4" fontId="53" fillId="52" borderId="79" xfId="0" applyNumberFormat="1" applyFont="1" applyFill="1" applyBorder="1"/>
    <xf numFmtId="3" fontId="52" fillId="29" borderId="38" xfId="0" applyNumberFormat="1" applyFont="1" applyFill="1" applyBorder="1"/>
    <xf numFmtId="3" fontId="53" fillId="29" borderId="0" xfId="0" applyNumberFormat="1" applyFont="1" applyFill="1" applyBorder="1" applyAlignment="1">
      <alignment horizontal="right"/>
    </xf>
    <xf numFmtId="4" fontId="52" fillId="29" borderId="105" xfId="0" applyNumberFormat="1" applyFont="1" applyFill="1" applyBorder="1"/>
    <xf numFmtId="3" fontId="53" fillId="0" borderId="17" xfId="0" applyNumberFormat="1" applyFont="1" applyFill="1" applyBorder="1"/>
    <xf numFmtId="4" fontId="152" fillId="0" borderId="146" xfId="0" applyNumberFormat="1" applyFont="1" applyFill="1" applyBorder="1"/>
    <xf numFmtId="3" fontId="53" fillId="0" borderId="147" xfId="295" applyNumberFormat="1" applyFont="1" applyFill="1" applyBorder="1" applyAlignment="1">
      <alignment horizontal="right"/>
    </xf>
    <xf numFmtId="3" fontId="53" fillId="0" borderId="171" xfId="295" applyNumberFormat="1" applyFont="1" applyFill="1" applyBorder="1" applyAlignment="1">
      <alignment horizontal="right"/>
    </xf>
    <xf numFmtId="3" fontId="52" fillId="0" borderId="172" xfId="0" applyNumberFormat="1" applyFont="1" applyFill="1" applyBorder="1"/>
    <xf numFmtId="3" fontId="53" fillId="0" borderId="173" xfId="0" applyNumberFormat="1" applyFont="1" applyFill="1" applyBorder="1" applyAlignment="1">
      <alignment horizontal="right"/>
    </xf>
    <xf numFmtId="3" fontId="53" fillId="0" borderId="174" xfId="0" applyNumberFormat="1" applyFont="1" applyFill="1" applyBorder="1" applyAlignment="1">
      <alignment horizontal="right"/>
    </xf>
    <xf numFmtId="4" fontId="53" fillId="0" borderId="147" xfId="0" applyNumberFormat="1" applyFont="1" applyFill="1" applyBorder="1"/>
    <xf numFmtId="4" fontId="53" fillId="0" borderId="171" xfId="0" applyNumberFormat="1" applyFont="1" applyFill="1" applyBorder="1"/>
    <xf numFmtId="4" fontId="52" fillId="0" borderId="130" xfId="0" applyNumberFormat="1" applyFont="1" applyFill="1" applyBorder="1"/>
    <xf numFmtId="3" fontId="52" fillId="56" borderId="102" xfId="0" applyNumberFormat="1" applyFont="1" applyFill="1" applyBorder="1" applyAlignment="1">
      <alignment horizontal="right"/>
    </xf>
    <xf numFmtId="3" fontId="52" fillId="56" borderId="175" xfId="0" applyNumberFormat="1" applyFont="1" applyFill="1" applyBorder="1" applyAlignment="1">
      <alignment horizontal="right"/>
    </xf>
    <xf numFmtId="3" fontId="52" fillId="56" borderId="164" xfId="0" applyNumberFormat="1" applyFont="1" applyFill="1" applyBorder="1" applyAlignment="1">
      <alignment horizontal="right"/>
    </xf>
    <xf numFmtId="3" fontId="52" fillId="56" borderId="86" xfId="0" applyNumberFormat="1" applyFont="1" applyFill="1" applyBorder="1" applyAlignment="1">
      <alignment horizontal="right"/>
    </xf>
    <xf numFmtId="3" fontId="52" fillId="56" borderId="176" xfId="0" applyNumberFormat="1" applyFont="1" applyFill="1" applyBorder="1" applyAlignment="1">
      <alignment horizontal="right"/>
    </xf>
    <xf numFmtId="3" fontId="52" fillId="56" borderId="87" xfId="0" applyNumberFormat="1" applyFont="1" applyFill="1" applyBorder="1" applyAlignment="1">
      <alignment horizontal="right"/>
    </xf>
    <xf numFmtId="3" fontId="52" fillId="56" borderId="44" xfId="0" applyNumberFormat="1" applyFont="1" applyFill="1" applyBorder="1" applyAlignment="1">
      <alignment horizontal="right"/>
    </xf>
    <xf numFmtId="4" fontId="52" fillId="56" borderId="168" xfId="0" applyNumberFormat="1" applyFont="1" applyFill="1" applyBorder="1" applyAlignment="1">
      <alignment horizontal="right" vertical="center"/>
    </xf>
    <xf numFmtId="4" fontId="52" fillId="56" borderId="77" xfId="0" applyNumberFormat="1" applyFont="1" applyFill="1" applyBorder="1" applyAlignment="1">
      <alignment horizontal="right" vertical="center"/>
    </xf>
    <xf numFmtId="4" fontId="52" fillId="56" borderId="16" xfId="0" applyNumberFormat="1" applyFont="1" applyFill="1" applyBorder="1" applyAlignment="1">
      <alignment horizontal="right" vertical="center"/>
    </xf>
    <xf numFmtId="0" fontId="156" fillId="0" borderId="0" xfId="0" applyFont="1" applyFill="1" applyBorder="1" applyAlignment="1">
      <alignment horizontal="left"/>
    </xf>
    <xf numFmtId="0" fontId="14" fillId="0" borderId="41" xfId="795" applyFont="1" applyFill="1" applyBorder="1" applyAlignment="1">
      <alignment vertical="center"/>
    </xf>
    <xf numFmtId="0" fontId="14" fillId="0" borderId="38" xfId="795" applyFont="1" applyFill="1" applyBorder="1" applyAlignment="1">
      <alignment vertical="center"/>
    </xf>
    <xf numFmtId="0" fontId="14" fillId="29" borderId="38" xfId="795" applyFont="1" applyFill="1" applyBorder="1" applyAlignment="1">
      <alignment vertical="center"/>
    </xf>
    <xf numFmtId="0" fontId="14" fillId="0" borderId="177" xfId="795" applyFont="1" applyFill="1" applyBorder="1" applyAlignment="1">
      <alignment vertical="center"/>
    </xf>
    <xf numFmtId="0" fontId="59" fillId="29" borderId="0" xfId="0" applyFont="1" applyFill="1"/>
    <xf numFmtId="0" fontId="157" fillId="0" borderId="0" xfId="0" applyFont="1" applyFill="1" applyAlignment="1">
      <alignment vertical="center" wrapText="1"/>
    </xf>
    <xf numFmtId="0" fontId="16" fillId="52" borderId="0" xfId="0" applyFont="1" applyFill="1" applyBorder="1" applyAlignment="1">
      <alignment vertical="center" wrapText="1"/>
    </xf>
    <xf numFmtId="0" fontId="16" fillId="52" borderId="0" xfId="0" applyFont="1" applyFill="1" applyBorder="1" applyAlignment="1">
      <alignment horizontal="right"/>
    </xf>
    <xf numFmtId="17" fontId="65" fillId="0" borderId="14" xfId="0" quotePrefix="1" applyNumberFormat="1" applyFont="1" applyBorder="1" applyAlignment="1"/>
    <xf numFmtId="0" fontId="17" fillId="51" borderId="178" xfId="0" applyFont="1" applyFill="1" applyBorder="1"/>
    <xf numFmtId="0" fontId="17" fillId="51" borderId="34" xfId="0" applyFont="1" applyFill="1" applyBorder="1"/>
    <xf numFmtId="0" fontId="16" fillId="51" borderId="34" xfId="0" applyFont="1" applyFill="1" applyBorder="1" applyAlignment="1">
      <alignment horizontal="center"/>
    </xf>
    <xf numFmtId="0" fontId="16" fillId="51" borderId="107" xfId="0" applyFont="1" applyFill="1" applyBorder="1" applyAlignment="1">
      <alignment horizontal="center"/>
    </xf>
    <xf numFmtId="0" fontId="16" fillId="51" borderId="179" xfId="0" applyFont="1" applyFill="1" applyBorder="1" applyAlignment="1">
      <alignment horizontal="center"/>
    </xf>
    <xf numFmtId="0" fontId="16" fillId="51" borderId="180" xfId="0" applyFont="1" applyFill="1" applyBorder="1" applyAlignment="1">
      <alignment horizontal="center"/>
    </xf>
    <xf numFmtId="0" fontId="16" fillId="51" borderId="181" xfId="0" applyFont="1" applyFill="1" applyBorder="1" applyAlignment="1">
      <alignment horizontal="center"/>
    </xf>
    <xf numFmtId="0" fontId="16" fillId="51" borderId="182" xfId="0" applyFont="1" applyFill="1" applyBorder="1" applyAlignment="1">
      <alignment horizontal="center" wrapText="1"/>
    </xf>
    <xf numFmtId="0" fontId="31" fillId="51" borderId="112" xfId="0" applyFont="1" applyFill="1" applyBorder="1" applyAlignment="1">
      <alignment horizontal="center"/>
    </xf>
    <xf numFmtId="0" fontId="31" fillId="51" borderId="110" xfId="0" applyFont="1" applyFill="1" applyBorder="1" applyAlignment="1">
      <alignment horizontal="center"/>
    </xf>
    <xf numFmtId="0" fontId="31" fillId="51" borderId="183" xfId="0" applyFont="1" applyFill="1" applyBorder="1" applyAlignment="1">
      <alignment horizontal="center"/>
    </xf>
    <xf numFmtId="0" fontId="31" fillId="51" borderId="184" xfId="0" applyFont="1" applyFill="1" applyBorder="1" applyAlignment="1">
      <alignment horizontal="center"/>
    </xf>
    <xf numFmtId="0" fontId="31" fillId="51" borderId="185" xfId="0" applyFont="1" applyFill="1" applyBorder="1" applyAlignment="1">
      <alignment horizontal="center"/>
    </xf>
    <xf numFmtId="0" fontId="31" fillId="51" borderId="186" xfId="0" applyFont="1" applyFill="1" applyBorder="1" applyAlignment="1">
      <alignment horizontal="center" wrapText="1"/>
    </xf>
    <xf numFmtId="0" fontId="16" fillId="51" borderId="37" xfId="795" applyFont="1" applyFill="1" applyBorder="1" applyAlignment="1">
      <alignment horizontal="center" vertical="center"/>
    </xf>
    <xf numFmtId="0" fontId="16" fillId="0" borderId="78" xfId="0" applyFont="1" applyFill="1" applyBorder="1" applyAlignment="1">
      <alignment vertical="center"/>
    </xf>
    <xf numFmtId="3" fontId="17" fillId="52" borderId="165" xfId="0" applyNumberFormat="1" applyFont="1" applyFill="1" applyBorder="1"/>
    <xf numFmtId="3" fontId="17" fillId="52" borderId="65" xfId="0" applyNumberFormat="1" applyFont="1" applyFill="1" applyBorder="1"/>
    <xf numFmtId="3" fontId="16" fillId="52" borderId="166" xfId="0" applyNumberFormat="1" applyFont="1" applyFill="1" applyBorder="1"/>
    <xf numFmtId="3" fontId="17" fillId="0" borderId="165" xfId="0" applyNumberFormat="1" applyFont="1" applyFill="1" applyBorder="1"/>
    <xf numFmtId="3" fontId="17" fillId="0" borderId="65" xfId="0" applyNumberFormat="1" applyFont="1" applyFill="1" applyBorder="1"/>
    <xf numFmtId="3" fontId="16" fillId="0" borderId="166" xfId="0" applyNumberFormat="1" applyFont="1" applyFill="1" applyBorder="1"/>
    <xf numFmtId="4" fontId="17" fillId="29" borderId="165" xfId="0" applyNumberFormat="1" applyFont="1" applyFill="1" applyBorder="1"/>
    <xf numFmtId="4" fontId="17" fillId="29" borderId="65" xfId="0" applyNumberFormat="1" applyFont="1" applyFill="1" applyBorder="1"/>
    <xf numFmtId="0" fontId="16" fillId="51" borderId="19" xfId="795" quotePrefix="1" applyFont="1" applyFill="1" applyBorder="1" applyAlignment="1">
      <alignment horizontal="center" vertical="center"/>
    </xf>
    <xf numFmtId="0" fontId="16" fillId="0" borderId="79" xfId="0" applyFont="1" applyFill="1" applyBorder="1" applyAlignment="1">
      <alignment vertical="center" wrapText="1"/>
    </xf>
    <xf numFmtId="3" fontId="17" fillId="52" borderId="146" xfId="0" applyNumberFormat="1" applyFont="1" applyFill="1" applyBorder="1"/>
    <xf numFmtId="3" fontId="16" fillId="52" borderId="187" xfId="0" applyNumberFormat="1" applyFont="1" applyFill="1" applyBorder="1"/>
    <xf numFmtId="3" fontId="17" fillId="0" borderId="146" xfId="0" applyNumberFormat="1" applyFont="1" applyFill="1" applyBorder="1"/>
    <xf numFmtId="3" fontId="16" fillId="0" borderId="187" xfId="0" applyNumberFormat="1" applyFont="1" applyFill="1" applyBorder="1"/>
    <xf numFmtId="4" fontId="17" fillId="0" borderId="146" xfId="0" applyNumberFormat="1" applyFont="1" applyFill="1" applyBorder="1"/>
    <xf numFmtId="4" fontId="17" fillId="0" borderId="68" xfId="0" applyNumberFormat="1" applyFont="1" applyFill="1" applyBorder="1"/>
    <xf numFmtId="4" fontId="17" fillId="0" borderId="80" xfId="0" applyNumberFormat="1" applyFont="1" applyFill="1" applyBorder="1"/>
    <xf numFmtId="3" fontId="16" fillId="56" borderId="188" xfId="0" applyNumberFormat="1" applyFont="1" applyFill="1" applyBorder="1" applyAlignment="1">
      <alignment vertical="center"/>
    </xf>
    <xf numFmtId="3" fontId="16" fillId="56" borderId="73" xfId="0" applyNumberFormat="1" applyFont="1" applyFill="1" applyBorder="1" applyAlignment="1">
      <alignment vertical="center"/>
    </xf>
    <xf numFmtId="3" fontId="16" fillId="56" borderId="169" xfId="0" applyNumberFormat="1" applyFont="1" applyFill="1" applyBorder="1" applyAlignment="1">
      <alignment vertical="center"/>
    </xf>
    <xf numFmtId="4" fontId="16" fillId="56" borderId="168" xfId="0" applyNumberFormat="1" applyFont="1" applyFill="1" applyBorder="1" applyAlignment="1">
      <alignment horizontal="right" vertical="center"/>
    </xf>
    <xf numFmtId="4" fontId="16" fillId="56" borderId="77" xfId="0" applyNumberFormat="1" applyFont="1" applyFill="1" applyBorder="1" applyAlignment="1">
      <alignment horizontal="right" vertical="center"/>
    </xf>
    <xf numFmtId="4" fontId="16" fillId="56" borderId="16" xfId="0" applyNumberFormat="1" applyFont="1" applyFill="1" applyBorder="1" applyAlignment="1">
      <alignment horizontal="right" vertical="center"/>
    </xf>
    <xf numFmtId="0" fontId="17" fillId="0" borderId="0" xfId="0" applyFont="1" applyFill="1" applyBorder="1" applyAlignment="1">
      <alignment horizontal="center"/>
    </xf>
    <xf numFmtId="172" fontId="16" fillId="51" borderId="117" xfId="0" applyNumberFormat="1" applyFont="1" applyFill="1" applyBorder="1" applyAlignment="1">
      <alignment horizontal="center" vertical="center" wrapText="1"/>
    </xf>
    <xf numFmtId="172" fontId="16" fillId="51" borderId="115" xfId="0" applyNumberFormat="1" applyFont="1" applyFill="1" applyBorder="1" applyAlignment="1">
      <alignment horizontal="center" vertical="center" wrapText="1"/>
    </xf>
    <xf numFmtId="172" fontId="16" fillId="51" borderId="189" xfId="0" applyNumberFormat="1" applyFont="1" applyFill="1" applyBorder="1" applyAlignment="1">
      <alignment horizontal="center" vertical="center" wrapText="1"/>
    </xf>
    <xf numFmtId="0" fontId="16" fillId="30" borderId="54" xfId="795" quotePrefix="1" applyFont="1" applyFill="1" applyBorder="1" applyAlignment="1">
      <alignment horizontal="center" vertical="top"/>
    </xf>
    <xf numFmtId="173" fontId="17" fillId="29" borderId="75" xfId="818" applyNumberFormat="1" applyFont="1" applyFill="1" applyBorder="1" applyAlignment="1">
      <alignment horizontal="right" wrapText="1"/>
    </xf>
    <xf numFmtId="173" fontId="17" fillId="29" borderId="65" xfId="818" applyNumberFormat="1" applyFont="1" applyFill="1" applyBorder="1" applyAlignment="1">
      <alignment horizontal="right" wrapText="1"/>
    </xf>
    <xf numFmtId="173" fontId="17" fillId="29" borderId="70" xfId="818" applyNumberFormat="1" applyFont="1" applyFill="1" applyBorder="1" applyAlignment="1">
      <alignment horizontal="right" wrapText="1"/>
    </xf>
    <xf numFmtId="3" fontId="42" fillId="0" borderId="104" xfId="0" applyNumberFormat="1" applyFont="1" applyBorder="1"/>
    <xf numFmtId="0" fontId="16" fillId="30" borderId="157" xfId="795" quotePrefix="1" applyFont="1" applyFill="1" applyBorder="1" applyAlignment="1">
      <alignment horizontal="center" vertical="top"/>
    </xf>
    <xf numFmtId="173" fontId="17" fillId="29" borderId="80" xfId="818" applyNumberFormat="1" applyFont="1" applyFill="1" applyBorder="1" applyAlignment="1">
      <alignment horizontal="right" wrapText="1"/>
    </xf>
    <xf numFmtId="173" fontId="17" fillId="29" borderId="68" xfId="818" applyNumberFormat="1" applyFont="1" applyFill="1" applyBorder="1" applyAlignment="1">
      <alignment horizontal="right" wrapText="1"/>
    </xf>
    <xf numFmtId="173" fontId="17" fillId="0" borderId="68" xfId="818" applyNumberFormat="1" applyFont="1" applyFill="1" applyBorder="1" applyAlignment="1">
      <alignment horizontal="right" wrapText="1"/>
    </xf>
    <xf numFmtId="173" fontId="17" fillId="0" borderId="50" xfId="818" applyNumberFormat="1" applyFont="1" applyFill="1" applyBorder="1" applyAlignment="1">
      <alignment horizontal="right" wrapText="1"/>
    </xf>
    <xf numFmtId="3" fontId="42" fillId="0" borderId="105" xfId="0" applyNumberFormat="1" applyFont="1" applyBorder="1"/>
    <xf numFmtId="0" fontId="16" fillId="30" borderId="21" xfId="795" quotePrefix="1" applyFont="1" applyFill="1" applyBorder="1" applyAlignment="1">
      <alignment horizontal="center" vertical="top"/>
    </xf>
    <xf numFmtId="173" fontId="17" fillId="0" borderId="80" xfId="818" applyNumberFormat="1" applyFont="1" applyFill="1" applyBorder="1" applyAlignment="1">
      <alignment horizontal="right" wrapText="1"/>
    </xf>
    <xf numFmtId="0" fontId="16" fillId="30" borderId="158" xfId="795" quotePrefix="1" applyFont="1" applyFill="1" applyBorder="1" applyAlignment="1">
      <alignment horizontal="center" vertical="top"/>
    </xf>
    <xf numFmtId="173" fontId="17" fillId="0" borderId="148" xfId="818" applyNumberFormat="1" applyFont="1" applyFill="1" applyBorder="1" applyAlignment="1">
      <alignment horizontal="right" wrapText="1"/>
    </xf>
    <xf numFmtId="173" fontId="17" fillId="0" borderId="149" xfId="818" applyNumberFormat="1" applyFont="1" applyFill="1" applyBorder="1" applyAlignment="1">
      <alignment horizontal="right" wrapText="1"/>
    </xf>
    <xf numFmtId="173" fontId="17" fillId="0" borderId="150" xfId="818" applyNumberFormat="1" applyFont="1" applyFill="1" applyBorder="1" applyAlignment="1">
      <alignment horizontal="right" wrapText="1"/>
    </xf>
    <xf numFmtId="3" fontId="42" fillId="0" borderId="130" xfId="0" applyNumberFormat="1" applyFont="1" applyBorder="1"/>
    <xf numFmtId="3" fontId="16" fillId="30" borderId="102" xfId="0" applyNumberFormat="1" applyFont="1" applyFill="1" applyBorder="1"/>
    <xf numFmtId="3" fontId="16" fillId="30" borderId="190" xfId="0" applyNumberFormat="1" applyFont="1" applyFill="1" applyBorder="1"/>
    <xf numFmtId="0" fontId="51" fillId="0" borderId="0" xfId="0" applyFont="1" applyFill="1" applyBorder="1" applyAlignment="1">
      <alignment horizontal="left" wrapText="1"/>
    </xf>
    <xf numFmtId="0" fontId="9" fillId="0" borderId="41" xfId="795" applyFont="1" applyFill="1" applyBorder="1" applyAlignment="1">
      <alignment vertical="center"/>
    </xf>
    <xf numFmtId="0" fontId="9" fillId="0" borderId="38" xfId="795" applyFont="1" applyFill="1" applyBorder="1" applyAlignment="1">
      <alignment vertical="center"/>
    </xf>
    <xf numFmtId="0" fontId="9" fillId="0" borderId="177" xfId="795" applyFont="1" applyFill="1" applyBorder="1" applyAlignment="1">
      <alignment vertical="center"/>
    </xf>
    <xf numFmtId="0" fontId="16" fillId="51" borderId="21" xfId="0" applyFont="1" applyFill="1" applyBorder="1" applyAlignment="1">
      <alignment horizontal="center"/>
    </xf>
    <xf numFmtId="0" fontId="16" fillId="0" borderId="41" xfId="0" applyFont="1" applyBorder="1"/>
    <xf numFmtId="3" fontId="17" fillId="29" borderId="75" xfId="818" applyNumberFormat="1" applyFont="1" applyFill="1" applyBorder="1" applyAlignment="1">
      <alignment horizontal="right" wrapText="1"/>
    </xf>
    <xf numFmtId="3" fontId="17" fillId="29" borderId="65" xfId="818" applyNumberFormat="1" applyFont="1" applyFill="1" applyBorder="1" applyAlignment="1">
      <alignment horizontal="right" wrapText="1"/>
    </xf>
    <xf numFmtId="3" fontId="17" fillId="29" borderId="70" xfId="818" applyNumberFormat="1" applyFont="1" applyFill="1" applyBorder="1" applyAlignment="1">
      <alignment horizontal="right" wrapText="1"/>
    </xf>
    <xf numFmtId="0" fontId="16" fillId="0" borderId="38" xfId="0" applyFont="1" applyBorder="1"/>
    <xf numFmtId="3" fontId="17" fillId="29" borderId="80" xfId="818" applyNumberFormat="1" applyFont="1" applyFill="1" applyBorder="1" applyAlignment="1">
      <alignment horizontal="right" wrapText="1"/>
    </xf>
    <xf numFmtId="3" fontId="17" fillId="29" borderId="68" xfId="818" applyNumberFormat="1" applyFont="1" applyFill="1" applyBorder="1" applyAlignment="1">
      <alignment horizontal="right" wrapText="1"/>
    </xf>
    <xf numFmtId="3" fontId="17" fillId="0" borderId="68" xfId="818" applyNumberFormat="1" applyFont="1" applyFill="1" applyBorder="1" applyAlignment="1">
      <alignment horizontal="right" wrapText="1"/>
    </xf>
    <xf numFmtId="0" fontId="17" fillId="0" borderId="50" xfId="818" applyNumberFormat="1" applyFont="1" applyFill="1" applyBorder="1" applyAlignment="1">
      <alignment horizontal="right" wrapText="1"/>
    </xf>
    <xf numFmtId="3" fontId="17" fillId="0" borderId="80" xfId="818" applyNumberFormat="1" applyFont="1" applyFill="1" applyBorder="1" applyAlignment="1">
      <alignment horizontal="right" wrapText="1"/>
    </xf>
    <xf numFmtId="0" fontId="17" fillId="0" borderId="80" xfId="818" applyNumberFormat="1" applyFont="1" applyFill="1" applyBorder="1" applyAlignment="1">
      <alignment horizontal="right" wrapText="1"/>
    </xf>
    <xf numFmtId="0" fontId="17" fillId="0" borderId="68" xfId="818" applyNumberFormat="1" applyFont="1" applyFill="1" applyBorder="1" applyAlignment="1">
      <alignment horizontal="right" wrapText="1"/>
    </xf>
    <xf numFmtId="3" fontId="17" fillId="0" borderId="50" xfId="818" applyNumberFormat="1" applyFont="1" applyFill="1" applyBorder="1" applyAlignment="1">
      <alignment horizontal="right" wrapText="1"/>
    </xf>
    <xf numFmtId="0" fontId="16" fillId="51" borderId="58" xfId="0" applyFont="1" applyFill="1" applyBorder="1" applyAlignment="1">
      <alignment horizontal="center"/>
    </xf>
    <xf numFmtId="0" fontId="16" fillId="0" borderId="177" xfId="0" applyFont="1" applyBorder="1"/>
    <xf numFmtId="3" fontId="17" fillId="0" borderId="83" xfId="818" applyNumberFormat="1" applyFont="1" applyFill="1" applyBorder="1" applyAlignment="1">
      <alignment horizontal="right" wrapText="1"/>
    </xf>
    <xf numFmtId="3" fontId="17" fillId="0" borderId="191" xfId="818" applyNumberFormat="1" applyFont="1" applyFill="1" applyBorder="1" applyAlignment="1">
      <alignment horizontal="right" wrapText="1"/>
    </xf>
    <xf numFmtId="0" fontId="17" fillId="0" borderId="191" xfId="818" applyNumberFormat="1" applyFont="1" applyFill="1" applyBorder="1" applyAlignment="1">
      <alignment horizontal="right" wrapText="1"/>
    </xf>
    <xf numFmtId="3" fontId="17" fillId="0" borderId="84" xfId="818" applyNumberFormat="1" applyFont="1" applyFill="1" applyBorder="1" applyAlignment="1">
      <alignment horizontal="right" wrapText="1"/>
    </xf>
    <xf numFmtId="172" fontId="16" fillId="30" borderId="164" xfId="0" applyNumberFormat="1" applyFont="1" applyFill="1" applyBorder="1"/>
    <xf numFmtId="172" fontId="16" fillId="30" borderId="192" xfId="0" applyNumberFormat="1" applyFont="1" applyFill="1" applyBorder="1"/>
    <xf numFmtId="0" fontId="16" fillId="30" borderId="92" xfId="0" applyFont="1" applyFill="1" applyBorder="1" applyAlignment="1">
      <alignment horizontal="center"/>
    </xf>
    <xf numFmtId="0" fontId="16" fillId="30" borderId="193" xfId="0" applyFont="1" applyFill="1" applyBorder="1" applyAlignment="1">
      <alignment horizontal="center"/>
    </xf>
    <xf numFmtId="0" fontId="158" fillId="30" borderId="154" xfId="794" applyFont="1" applyFill="1" applyBorder="1" applyAlignment="1">
      <alignment horizontal="center" wrapText="1"/>
    </xf>
    <xf numFmtId="164" fontId="14" fillId="30" borderId="155" xfId="794" applyNumberFormat="1" applyFont="1" applyFill="1" applyBorder="1" applyAlignment="1">
      <alignment horizontal="center" vertical="center" wrapText="1"/>
    </xf>
    <xf numFmtId="165" fontId="136" fillId="30" borderId="155" xfId="816" applyFont="1" applyFill="1" applyBorder="1" applyAlignment="1">
      <alignment horizontal="right" vertical="center" wrapText="1"/>
    </xf>
    <xf numFmtId="2" fontId="136" fillId="30" borderId="155" xfId="794" applyNumberFormat="1" applyFont="1" applyFill="1" applyBorder="1" applyAlignment="1">
      <alignment horizontal="left" vertical="center" wrapText="1"/>
    </xf>
    <xf numFmtId="0" fontId="158" fillId="30" borderId="155" xfId="794" applyFont="1" applyFill="1" applyBorder="1" applyAlignment="1">
      <alignment horizontal="center" wrapText="1"/>
    </xf>
    <xf numFmtId="0" fontId="158" fillId="30" borderId="156" xfId="794" applyFont="1" applyFill="1" applyBorder="1" applyAlignment="1">
      <alignment horizontal="right" vertical="center" wrapText="1"/>
    </xf>
    <xf numFmtId="0" fontId="14" fillId="36" borderId="194" xfId="794" applyFont="1" applyFill="1" applyBorder="1" applyAlignment="1">
      <alignment horizontal="center" vertical="center" wrapText="1"/>
    </xf>
    <xf numFmtId="0" fontId="14" fillId="36" borderId="40" xfId="794" applyFont="1" applyFill="1" applyBorder="1" applyAlignment="1">
      <alignment horizontal="center" vertical="center" wrapText="1"/>
    </xf>
    <xf numFmtId="0" fontId="14" fillId="36" borderId="195" xfId="794" applyFont="1" applyFill="1" applyBorder="1" applyAlignment="1">
      <alignment horizontal="center" vertical="center" wrapText="1"/>
    </xf>
    <xf numFmtId="0" fontId="14" fillId="0" borderId="194" xfId="794" applyFont="1" applyBorder="1" applyAlignment="1">
      <alignment horizontal="center" vertical="center" wrapText="1"/>
    </xf>
    <xf numFmtId="0" fontId="5" fillId="0" borderId="40" xfId="794" applyFont="1" applyFill="1" applyBorder="1" applyAlignment="1">
      <alignment horizontal="justify" vertical="center" wrapText="1"/>
    </xf>
    <xf numFmtId="0" fontId="5" fillId="0" borderId="40" xfId="794" applyFont="1" applyBorder="1" applyAlignment="1">
      <alignment horizontal="left" vertical="center" wrapText="1"/>
    </xf>
    <xf numFmtId="0" fontId="5" fillId="0" borderId="40" xfId="794" applyFont="1" applyBorder="1" applyAlignment="1">
      <alignment horizontal="justify" vertical="center" wrapText="1"/>
    </xf>
    <xf numFmtId="165" fontId="14" fillId="0" borderId="195" xfId="816" applyNumberFormat="1" applyFont="1" applyFill="1" applyBorder="1" applyAlignment="1">
      <alignment vertical="center"/>
    </xf>
    <xf numFmtId="0" fontId="14" fillId="0" borderId="40" xfId="794" applyFont="1" applyBorder="1" applyAlignment="1">
      <alignment horizontal="left" vertical="center" wrapText="1"/>
    </xf>
    <xf numFmtId="0" fontId="14" fillId="0" borderId="40" xfId="794" applyFont="1" applyBorder="1" applyAlignment="1">
      <alignment horizontal="justify" vertical="center"/>
    </xf>
    <xf numFmtId="0" fontId="5" fillId="0" borderId="40" xfId="794" applyFont="1" applyBorder="1" applyAlignment="1">
      <alignment horizontal="justify" vertical="center"/>
    </xf>
    <xf numFmtId="0" fontId="14" fillId="0" borderId="194" xfId="794" applyFont="1" applyFill="1" applyBorder="1" applyAlignment="1">
      <alignment horizontal="center" vertical="center" wrapText="1"/>
    </xf>
    <xf numFmtId="0" fontId="150" fillId="0" borderId="0" xfId="0" applyFont="1" applyFill="1" applyBorder="1"/>
    <xf numFmtId="0" fontId="5" fillId="0" borderId="40" xfId="794" applyFont="1" applyFill="1" applyBorder="1" applyAlignment="1">
      <alignment horizontal="justify" vertical="center"/>
    </xf>
    <xf numFmtId="0" fontId="5" fillId="0" borderId="0" xfId="0" applyFont="1" applyFill="1" applyBorder="1"/>
    <xf numFmtId="0" fontId="5" fillId="0" borderId="40" xfId="794" applyFont="1" applyFill="1" applyBorder="1" applyAlignment="1">
      <alignment horizontal="left" vertical="center"/>
    </xf>
    <xf numFmtId="0" fontId="5" fillId="0" borderId="40" xfId="794" applyFont="1" applyFill="1" applyBorder="1" applyAlignment="1">
      <alignment horizontal="left" vertical="center" wrapText="1"/>
    </xf>
    <xf numFmtId="0" fontId="5" fillId="0" borderId="31" xfId="794" applyFont="1" applyBorder="1" applyAlignment="1">
      <alignment horizontal="justify" vertical="center"/>
    </xf>
    <xf numFmtId="165" fontId="14" fillId="0" borderId="195" xfId="816" applyNumberFormat="1" applyFont="1" applyFill="1" applyBorder="1" applyAlignment="1">
      <alignment horizontal="right" vertical="center"/>
    </xf>
    <xf numFmtId="0" fontId="5" fillId="0" borderId="39" xfId="794" applyFont="1" applyBorder="1" applyAlignment="1">
      <alignment horizontal="justify" vertical="center"/>
    </xf>
    <xf numFmtId="0" fontId="5" fillId="29" borderId="0" xfId="794" applyFont="1" applyFill="1" applyBorder="1" applyAlignment="1">
      <alignment horizontal="justify" vertical="center"/>
    </xf>
    <xf numFmtId="0" fontId="5" fillId="29" borderId="40" xfId="794" applyFont="1" applyFill="1" applyBorder="1" applyAlignment="1">
      <alignment horizontal="justify" vertical="center"/>
    </xf>
    <xf numFmtId="0" fontId="160" fillId="0" borderId="40" xfId="0" applyFont="1" applyBorder="1" applyAlignment="1">
      <alignment horizontal="justify" vertical="center"/>
    </xf>
    <xf numFmtId="0" fontId="5" fillId="29" borderId="40" xfId="794" applyFont="1" applyFill="1" applyBorder="1" applyAlignment="1">
      <alignment horizontal="left" vertical="center"/>
    </xf>
    <xf numFmtId="0" fontId="14" fillId="0" borderId="88" xfId="794" applyFont="1" applyBorder="1" applyAlignment="1">
      <alignment horizontal="center" vertical="center" wrapText="1"/>
    </xf>
    <xf numFmtId="0" fontId="5" fillId="29" borderId="86" xfId="794" applyFont="1" applyFill="1" applyBorder="1" applyAlignment="1">
      <alignment horizontal="justify" vertical="center"/>
    </xf>
    <xf numFmtId="0" fontId="5" fillId="29" borderId="86" xfId="794" applyFont="1" applyFill="1" applyBorder="1" applyAlignment="1">
      <alignment horizontal="left" vertical="center"/>
    </xf>
    <xf numFmtId="0" fontId="5" fillId="0" borderId="86" xfId="794" applyFont="1" applyBorder="1" applyAlignment="1">
      <alignment horizontal="justify" vertical="center" wrapText="1"/>
    </xf>
    <xf numFmtId="165" fontId="14" fillId="29" borderId="106" xfId="794" applyNumberFormat="1" applyFont="1" applyFill="1" applyBorder="1" applyAlignment="1">
      <alignment horizontal="center" vertical="center"/>
    </xf>
    <xf numFmtId="0" fontId="5" fillId="0" borderId="0" xfId="0" applyFont="1" applyAlignment="1">
      <alignment horizontal="left"/>
    </xf>
    <xf numFmtId="3" fontId="132" fillId="52" borderId="0" xfId="0" applyNumberFormat="1" applyFont="1" applyFill="1"/>
    <xf numFmtId="0" fontId="40" fillId="0" borderId="0" xfId="0" applyFont="1" applyFill="1" applyAlignment="1">
      <alignment horizontal="left"/>
    </xf>
    <xf numFmtId="0" fontId="59" fillId="0" borderId="0" xfId="0" applyFont="1" applyBorder="1" applyAlignment="1"/>
    <xf numFmtId="166" fontId="66" fillId="0" borderId="0" xfId="818" applyNumberFormat="1" applyFont="1"/>
    <xf numFmtId="0" fontId="161" fillId="0" borderId="0" xfId="0" applyFont="1" applyBorder="1" applyAlignment="1"/>
    <xf numFmtId="0" fontId="162" fillId="0" borderId="0" xfId="0" applyFont="1" applyBorder="1" applyAlignment="1"/>
    <xf numFmtId="17" fontId="17" fillId="0" borderId="0" xfId="0" applyNumberFormat="1" applyFont="1"/>
    <xf numFmtId="0" fontId="40" fillId="51" borderId="43" xfId="0" applyFont="1" applyFill="1" applyBorder="1" applyAlignment="1">
      <alignment horizontal="left"/>
    </xf>
    <xf numFmtId="0" fontId="40" fillId="51" borderId="24" xfId="0" applyFont="1" applyFill="1" applyBorder="1" applyAlignment="1">
      <alignment horizontal="left"/>
    </xf>
    <xf numFmtId="3" fontId="16" fillId="51" borderId="141" xfId="795" applyNumberFormat="1" applyFont="1" applyFill="1" applyBorder="1" applyAlignment="1">
      <alignment horizontal="center" wrapText="1"/>
    </xf>
    <xf numFmtId="3" fontId="16" fillId="51" borderId="196" xfId="795" applyNumberFormat="1" applyFont="1" applyFill="1" applyBorder="1" applyAlignment="1">
      <alignment horizontal="center" wrapText="1"/>
    </xf>
    <xf numFmtId="3" fontId="16" fillId="51" borderId="34" xfId="795" applyNumberFormat="1" applyFont="1" applyFill="1" applyBorder="1" applyAlignment="1">
      <alignment horizontal="center" wrapText="1"/>
    </xf>
    <xf numFmtId="3" fontId="16" fillId="51" borderId="161" xfId="795" applyNumberFormat="1" applyFont="1" applyFill="1" applyBorder="1" applyAlignment="1">
      <alignment horizontal="center" wrapText="1"/>
    </xf>
    <xf numFmtId="3" fontId="16" fillId="51" borderId="24" xfId="795" applyNumberFormat="1" applyFont="1" applyFill="1" applyBorder="1" applyAlignment="1">
      <alignment horizontal="center" wrapText="1"/>
    </xf>
    <xf numFmtId="3" fontId="31" fillId="51" borderId="52" xfId="795" applyNumberFormat="1" applyFont="1" applyFill="1" applyBorder="1" applyAlignment="1">
      <alignment horizontal="center"/>
    </xf>
    <xf numFmtId="3" fontId="31" fillId="51" borderId="168" xfId="795" applyNumberFormat="1" applyFont="1" applyFill="1" applyBorder="1" applyAlignment="1">
      <alignment horizontal="center"/>
    </xf>
    <xf numFmtId="3" fontId="31" fillId="51" borderId="137" xfId="0" applyNumberFormat="1" applyFont="1" applyFill="1" applyBorder="1" applyAlignment="1">
      <alignment horizontal="center"/>
    </xf>
    <xf numFmtId="3" fontId="31" fillId="51" borderId="139" xfId="795" applyNumberFormat="1" applyFont="1" applyFill="1" applyBorder="1" applyAlignment="1">
      <alignment horizontal="center"/>
    </xf>
    <xf numFmtId="3" fontId="31" fillId="51" borderId="25" xfId="0" applyNumberFormat="1" applyFont="1" applyFill="1" applyBorder="1" applyAlignment="1">
      <alignment horizontal="center"/>
    </xf>
    <xf numFmtId="0" fontId="42" fillId="0" borderId="28" xfId="0" applyNumberFormat="1" applyFont="1" applyBorder="1"/>
    <xf numFmtId="3" fontId="17" fillId="29" borderId="35" xfId="0" applyNumberFormat="1" applyFont="1" applyFill="1" applyBorder="1" applyAlignment="1">
      <alignment horizontal="right" wrapText="1"/>
    </xf>
    <xf numFmtId="3" fontId="17" fillId="29" borderId="34" xfId="0" applyNumberFormat="1" applyFont="1" applyFill="1" applyBorder="1" applyAlignment="1">
      <alignment horizontal="right" wrapText="1"/>
    </xf>
    <xf numFmtId="3" fontId="49" fillId="29" borderId="65" xfId="787" applyNumberFormat="1" applyFont="1" applyFill="1" applyBorder="1" applyAlignment="1">
      <alignment horizontal="right" wrapText="1"/>
    </xf>
    <xf numFmtId="3" fontId="49" fillId="29" borderId="165" xfId="787" applyNumberFormat="1" applyFont="1" applyFill="1" applyBorder="1" applyAlignment="1">
      <alignment horizontal="right" wrapText="1"/>
    </xf>
    <xf numFmtId="3" fontId="49" fillId="29" borderId="166" xfId="787" applyNumberFormat="1" applyFont="1" applyFill="1" applyBorder="1" applyAlignment="1">
      <alignment horizontal="right" wrapText="1"/>
    </xf>
    <xf numFmtId="3" fontId="49" fillId="29" borderId="75" xfId="787" applyNumberFormat="1" applyFont="1" applyFill="1" applyBorder="1" applyAlignment="1">
      <alignment horizontal="right" wrapText="1"/>
    </xf>
    <xf numFmtId="3" fontId="49" fillId="29" borderId="70" xfId="787" applyNumberFormat="1" applyFont="1" applyFill="1" applyBorder="1" applyAlignment="1">
      <alignment horizontal="right" wrapText="1"/>
    </xf>
    <xf numFmtId="3" fontId="47" fillId="0" borderId="37" xfId="797" applyNumberFormat="1" applyFont="1" applyFill="1" applyBorder="1" applyAlignment="1">
      <alignment horizontal="right"/>
    </xf>
    <xf numFmtId="3" fontId="47" fillId="0" borderId="166" xfId="0" applyNumberFormat="1" applyFont="1" applyFill="1" applyBorder="1"/>
    <xf numFmtId="3" fontId="47" fillId="0" borderId="197" xfId="797" applyNumberFormat="1" applyFont="1" applyFill="1" applyBorder="1" applyAlignment="1">
      <alignment horizontal="right"/>
    </xf>
    <xf numFmtId="3" fontId="88" fillId="0" borderId="17" xfId="792" quotePrefix="1" applyFont="1" applyFill="1" applyBorder="1" applyAlignment="1">
      <alignment vertical="center"/>
    </xf>
    <xf numFmtId="3" fontId="17" fillId="29" borderId="17" xfId="0" applyNumberFormat="1" applyFont="1" applyFill="1" applyBorder="1" applyAlignment="1">
      <alignment horizontal="right" wrapText="1"/>
    </xf>
    <xf numFmtId="3" fontId="17" fillId="29" borderId="79" xfId="0" applyNumberFormat="1" applyFont="1" applyFill="1" applyBorder="1" applyAlignment="1">
      <alignment horizontal="right" wrapText="1"/>
    </xf>
    <xf numFmtId="3" fontId="49" fillId="29" borderId="68" xfId="787" applyNumberFormat="1" applyFont="1" applyFill="1" applyBorder="1" applyAlignment="1">
      <alignment horizontal="right" wrapText="1"/>
    </xf>
    <xf numFmtId="0" fontId="49" fillId="29" borderId="146" xfId="787" applyFont="1" applyFill="1" applyBorder="1" applyAlignment="1">
      <alignment horizontal="right" wrapText="1"/>
    </xf>
    <xf numFmtId="3" fontId="49" fillId="29" borderId="187" xfId="787" applyNumberFormat="1" applyFont="1" applyFill="1" applyBorder="1" applyAlignment="1">
      <alignment horizontal="right" wrapText="1"/>
    </xf>
    <xf numFmtId="3" fontId="49" fillId="29" borderId="80" xfId="787" applyNumberFormat="1" applyFont="1" applyFill="1" applyBorder="1" applyAlignment="1">
      <alignment horizontal="right" wrapText="1"/>
    </xf>
    <xf numFmtId="3" fontId="49" fillId="29" borderId="50" xfId="787" applyNumberFormat="1" applyFont="1" applyFill="1" applyBorder="1" applyAlignment="1">
      <alignment horizontal="right" wrapText="1"/>
    </xf>
    <xf numFmtId="3" fontId="47" fillId="0" borderId="19" xfId="797" applyNumberFormat="1" applyFont="1" applyFill="1" applyBorder="1" applyAlignment="1">
      <alignment horizontal="right"/>
    </xf>
    <xf numFmtId="3" fontId="47" fillId="0" borderId="187" xfId="0" applyNumberFormat="1" applyFont="1" applyFill="1" applyBorder="1"/>
    <xf numFmtId="3" fontId="47" fillId="0" borderId="105" xfId="797" applyNumberFormat="1" applyFont="1" applyFill="1" applyBorder="1" applyAlignment="1">
      <alignment horizontal="right"/>
    </xf>
    <xf numFmtId="3" fontId="49" fillId="29" borderId="146" xfId="787" applyNumberFormat="1" applyFont="1" applyFill="1" applyBorder="1" applyAlignment="1">
      <alignment horizontal="right" wrapText="1"/>
    </xf>
    <xf numFmtId="3" fontId="49" fillId="29" borderId="196" xfId="787" applyNumberFormat="1" applyFont="1" applyFill="1" applyBorder="1" applyAlignment="1">
      <alignment horizontal="right" wrapText="1"/>
    </xf>
    <xf numFmtId="3" fontId="47" fillId="0" borderId="187" xfId="797" applyNumberFormat="1" applyFont="1" applyFill="1" applyBorder="1" applyAlignment="1">
      <alignment horizontal="right"/>
    </xf>
    <xf numFmtId="3" fontId="88" fillId="0" borderId="17" xfId="792" applyFont="1" applyFill="1" applyBorder="1" applyAlignment="1">
      <alignment vertical="center"/>
    </xf>
    <xf numFmtId="0" fontId="49" fillId="29" borderId="196" xfId="787" applyFont="1" applyFill="1" applyBorder="1" applyAlignment="1">
      <alignment horizontal="right" wrapText="1"/>
    </xf>
    <xf numFmtId="3" fontId="17" fillId="29" borderId="177" xfId="0" applyNumberFormat="1" applyFont="1" applyFill="1" applyBorder="1" applyAlignment="1">
      <alignment horizontal="right" wrapText="1"/>
    </xf>
    <xf numFmtId="3" fontId="17" fillId="29" borderId="159" xfId="0" applyNumberFormat="1" applyFont="1" applyFill="1" applyBorder="1" applyAlignment="1">
      <alignment horizontal="right" wrapText="1"/>
    </xf>
    <xf numFmtId="3" fontId="17" fillId="29" borderId="171" xfId="0" applyNumberFormat="1" applyFont="1" applyFill="1" applyBorder="1" applyAlignment="1">
      <alignment horizontal="right" wrapText="1"/>
    </xf>
    <xf numFmtId="3" fontId="66" fillId="29" borderId="147" xfId="783" applyNumberFormat="1" applyFont="1" applyFill="1" applyBorder="1"/>
    <xf numFmtId="3" fontId="17" fillId="29" borderId="149" xfId="818" applyNumberFormat="1" applyFont="1" applyFill="1" applyBorder="1" applyAlignment="1">
      <alignment horizontal="right" wrapText="1"/>
    </xf>
    <xf numFmtId="3" fontId="17" fillId="29" borderId="147" xfId="818" applyNumberFormat="1" applyFont="1" applyFill="1" applyBorder="1" applyAlignment="1">
      <alignment horizontal="right" wrapText="1"/>
    </xf>
    <xf numFmtId="3" fontId="17" fillId="29" borderId="198" xfId="818" applyNumberFormat="1" applyFont="1" applyFill="1" applyBorder="1" applyAlignment="1">
      <alignment horizontal="right" wrapText="1"/>
    </xf>
    <xf numFmtId="3" fontId="49" fillId="29" borderId="148" xfId="787" applyNumberFormat="1" applyFont="1" applyFill="1" applyBorder="1" applyAlignment="1">
      <alignment horizontal="right" wrapText="1"/>
    </xf>
    <xf numFmtId="3" fontId="17" fillId="29" borderId="150" xfId="818" applyNumberFormat="1" applyFont="1" applyFill="1" applyBorder="1" applyAlignment="1">
      <alignment horizontal="right" wrapText="1"/>
    </xf>
    <xf numFmtId="3" fontId="47" fillId="0" borderId="199" xfId="797" applyNumberFormat="1" applyFont="1" applyFill="1" applyBorder="1" applyAlignment="1">
      <alignment horizontal="right"/>
    </xf>
    <xf numFmtId="3" fontId="47" fillId="0" borderId="198" xfId="0" applyNumberFormat="1" applyFont="1" applyFill="1" applyBorder="1"/>
    <xf numFmtId="3" fontId="47" fillId="0" borderId="130" xfId="797" applyNumberFormat="1" applyFont="1" applyFill="1" applyBorder="1" applyAlignment="1">
      <alignment horizontal="right"/>
    </xf>
    <xf numFmtId="3" fontId="88" fillId="30" borderId="56" xfId="187" applyNumberFormat="1" applyFont="1" applyFill="1" applyBorder="1" applyAlignment="1">
      <alignment horizontal="center" vertical="center"/>
    </xf>
    <xf numFmtId="3" fontId="88" fillId="30" borderId="137" xfId="792" applyFont="1" applyFill="1" applyBorder="1" applyAlignment="1">
      <alignment vertical="center"/>
    </xf>
    <xf numFmtId="3" fontId="42" fillId="30" borderId="138" xfId="797" applyNumberFormat="1" applyFont="1" applyFill="1" applyBorder="1" applyAlignment="1">
      <alignment horizontal="right"/>
    </xf>
    <xf numFmtId="3" fontId="42" fillId="30" borderId="14" xfId="797" applyNumberFormat="1" applyFont="1" applyFill="1" applyBorder="1" applyAlignment="1">
      <alignment horizontal="right"/>
    </xf>
    <xf numFmtId="3" fontId="42" fillId="30" borderId="139" xfId="797" applyNumberFormat="1" applyFont="1" applyFill="1" applyBorder="1" applyAlignment="1">
      <alignment horizontal="right"/>
    </xf>
    <xf numFmtId="3" fontId="42" fillId="30" borderId="168" xfId="797" applyNumberFormat="1" applyFont="1" applyFill="1" applyBorder="1" applyAlignment="1">
      <alignment horizontal="right"/>
    </xf>
    <xf numFmtId="3" fontId="42" fillId="30" borderId="200" xfId="0" applyNumberFormat="1" applyFont="1" applyFill="1" applyBorder="1"/>
    <xf numFmtId="3" fontId="42" fillId="30" borderId="139" xfId="0" applyNumberFormat="1" applyFont="1" applyFill="1" applyBorder="1"/>
    <xf numFmtId="3" fontId="42" fillId="30" borderId="52" xfId="797" applyNumberFormat="1" applyFont="1" applyFill="1" applyBorder="1" applyAlignment="1">
      <alignment horizontal="right"/>
    </xf>
    <xf numFmtId="3" fontId="42" fillId="30" borderId="190" xfId="797" applyNumberFormat="1" applyFont="1" applyFill="1" applyBorder="1" applyAlignment="1">
      <alignment horizontal="right"/>
    </xf>
    <xf numFmtId="0" fontId="163" fillId="0" borderId="0" xfId="0" applyFont="1"/>
    <xf numFmtId="0" fontId="164" fillId="0" borderId="0" xfId="793" applyFont="1" applyFill="1" applyBorder="1" applyAlignment="1"/>
    <xf numFmtId="0" fontId="165" fillId="0" borderId="0" xfId="793" applyFont="1" applyFill="1" applyBorder="1" applyAlignment="1"/>
    <xf numFmtId="165" fontId="165" fillId="0" borderId="0" xfId="816" applyNumberFormat="1" applyFont="1" applyFill="1" applyBorder="1" applyAlignment="1">
      <alignment horizontal="center"/>
    </xf>
    <xf numFmtId="3" fontId="166" fillId="0" borderId="0" xfId="790" applyNumberFormat="1" applyFont="1" applyBorder="1"/>
    <xf numFmtId="0" fontId="165" fillId="0" borderId="0" xfId="0" applyFont="1" applyFill="1" applyBorder="1"/>
    <xf numFmtId="0" fontId="165" fillId="0" borderId="0" xfId="0" applyFont="1" applyFill="1"/>
    <xf numFmtId="3" fontId="164" fillId="0" borderId="0" xfId="0" applyNumberFormat="1" applyFont="1" applyFill="1" applyBorder="1" applyAlignment="1" applyProtection="1">
      <alignment horizontal="left" wrapText="1"/>
    </xf>
    <xf numFmtId="0" fontId="166" fillId="0" borderId="0" xfId="790" applyFont="1"/>
    <xf numFmtId="3" fontId="164" fillId="35" borderId="0" xfId="0" applyNumberFormat="1" applyFont="1" applyFill="1" applyBorder="1" applyAlignment="1" applyProtection="1">
      <alignment horizontal="left" wrapText="1"/>
    </xf>
    <xf numFmtId="0" fontId="166" fillId="0" borderId="0" xfId="790" applyFont="1" applyBorder="1"/>
    <xf numFmtId="3" fontId="166" fillId="0" borderId="0" xfId="790" applyNumberFormat="1" applyFont="1"/>
    <xf numFmtId="0" fontId="16" fillId="30" borderId="25" xfId="790" applyFont="1" applyFill="1" applyBorder="1" applyAlignment="1">
      <alignment horizontal="center" wrapText="1"/>
    </xf>
    <xf numFmtId="0" fontId="166" fillId="30" borderId="152" xfId="790" applyFont="1" applyFill="1" applyBorder="1" applyAlignment="1">
      <alignment horizontal="center"/>
    </xf>
    <xf numFmtId="0" fontId="166" fillId="30" borderId="64" xfId="790" applyFont="1" applyFill="1" applyBorder="1" applyAlignment="1">
      <alignment horizontal="center"/>
    </xf>
    <xf numFmtId="0" fontId="166" fillId="30" borderId="64" xfId="790" applyFont="1" applyFill="1" applyBorder="1" applyAlignment="1">
      <alignment horizontal="center" vertical="center" wrapText="1"/>
    </xf>
    <xf numFmtId="0" fontId="166" fillId="30" borderId="64" xfId="790" applyFont="1" applyFill="1" applyBorder="1" applyAlignment="1">
      <alignment horizontal="center" wrapText="1"/>
    </xf>
    <xf numFmtId="0" fontId="166" fillId="30" borderId="98" xfId="790" applyFont="1" applyFill="1" applyBorder="1" applyAlignment="1">
      <alignment horizontal="center" vertical="center" wrapText="1"/>
    </xf>
    <xf numFmtId="0" fontId="166" fillId="30" borderId="98" xfId="790" applyFont="1" applyFill="1" applyBorder="1" applyAlignment="1">
      <alignment horizontal="center" wrapText="1"/>
    </xf>
    <xf numFmtId="0" fontId="166" fillId="30" borderId="201" xfId="790" applyFont="1" applyFill="1" applyBorder="1" applyAlignment="1">
      <alignment horizontal="center" wrapText="1"/>
    </xf>
    <xf numFmtId="3" fontId="30" fillId="56" borderId="73" xfId="0" applyNumberFormat="1" applyFont="1" applyFill="1" applyBorder="1" applyAlignment="1">
      <alignment horizontal="left" wrapText="1"/>
    </xf>
    <xf numFmtId="37" fontId="221" fillId="0" borderId="0" xfId="791" applyFont="1" applyFill="1" applyBorder="1" applyAlignment="1">
      <alignment horizontal="left" vertical="center" wrapText="1"/>
    </xf>
    <xf numFmtId="0" fontId="0" fillId="61" borderId="0" xfId="0" applyFill="1"/>
    <xf numFmtId="3" fontId="0" fillId="61" borderId="0" xfId="0" applyNumberFormat="1" applyFill="1"/>
    <xf numFmtId="165" fontId="0" fillId="0" borderId="0" xfId="816" applyFont="1" applyFill="1"/>
    <xf numFmtId="0" fontId="0" fillId="62" borderId="0" xfId="0" applyFill="1"/>
    <xf numFmtId="0" fontId="6" fillId="62" borderId="0" xfId="0" applyFont="1" applyFill="1"/>
    <xf numFmtId="0" fontId="9" fillId="30" borderId="92" xfId="795" quotePrefix="1" applyNumberFormat="1" applyFont="1" applyFill="1" applyBorder="1" applyAlignment="1">
      <alignment horizontal="center" vertical="top"/>
    </xf>
    <xf numFmtId="3" fontId="222" fillId="52" borderId="230" xfId="0" applyNumberFormat="1" applyFont="1" applyFill="1" applyBorder="1" applyAlignment="1">
      <alignment horizontal="center" wrapText="1" readingOrder="1"/>
    </xf>
    <xf numFmtId="0" fontId="50" fillId="0" borderId="0" xfId="0" applyFont="1" applyFill="1" applyBorder="1" applyAlignment="1">
      <alignment horizontal="left" wrapText="1"/>
    </xf>
    <xf numFmtId="0" fontId="15" fillId="52" borderId="0" xfId="795" applyFont="1" applyFill="1" applyBorder="1" applyAlignment="1">
      <alignment vertical="center" wrapText="1"/>
    </xf>
    <xf numFmtId="3" fontId="53" fillId="52" borderId="145" xfId="0" applyNumberFormat="1" applyFont="1" applyFill="1" applyBorder="1" applyAlignment="1">
      <alignment horizontal="right"/>
    </xf>
    <xf numFmtId="3" fontId="53" fillId="52" borderId="36" xfId="0" applyNumberFormat="1" applyFont="1" applyFill="1" applyBorder="1" applyAlignment="1">
      <alignment horizontal="right"/>
    </xf>
    <xf numFmtId="3" fontId="53" fillId="52" borderId="146" xfId="0" applyNumberFormat="1" applyFont="1" applyFill="1" applyBorder="1" applyAlignment="1">
      <alignment horizontal="right"/>
    </xf>
    <xf numFmtId="3" fontId="53" fillId="52" borderId="79" xfId="0" applyNumberFormat="1" applyFont="1" applyFill="1" applyBorder="1" applyAlignment="1">
      <alignment horizontal="right"/>
    </xf>
    <xf numFmtId="3" fontId="53" fillId="52" borderId="173" xfId="0" applyNumberFormat="1" applyFont="1" applyFill="1" applyBorder="1" applyAlignment="1">
      <alignment horizontal="right"/>
    </xf>
    <xf numFmtId="3" fontId="53" fillId="52" borderId="174" xfId="0" applyNumberFormat="1" applyFont="1" applyFill="1" applyBorder="1" applyAlignment="1">
      <alignment horizontal="right"/>
    </xf>
    <xf numFmtId="3" fontId="52" fillId="52" borderId="102" xfId="0" applyNumberFormat="1" applyFont="1" applyFill="1" applyBorder="1" applyAlignment="1">
      <alignment horizontal="right"/>
    </xf>
    <xf numFmtId="3" fontId="52" fillId="52" borderId="87" xfId="0" applyNumberFormat="1" applyFont="1" applyFill="1" applyBorder="1" applyAlignment="1">
      <alignment horizontal="right"/>
    </xf>
    <xf numFmtId="3" fontId="52" fillId="52" borderId="44" xfId="0" applyNumberFormat="1" applyFont="1" applyFill="1" applyBorder="1" applyAlignment="1">
      <alignment horizontal="right"/>
    </xf>
    <xf numFmtId="0" fontId="10" fillId="52" borderId="0" xfId="0" applyFont="1" applyFill="1"/>
    <xf numFmtId="166" fontId="10" fillId="52" borderId="0" xfId="0" applyNumberFormat="1" applyFont="1" applyFill="1"/>
    <xf numFmtId="0" fontId="50" fillId="52" borderId="0" xfId="0" applyFont="1" applyFill="1" applyBorder="1" applyAlignment="1">
      <alignment horizontal="left" wrapText="1"/>
    </xf>
    <xf numFmtId="172" fontId="16" fillId="52" borderId="115" xfId="0" applyNumberFormat="1" applyFont="1" applyFill="1" applyBorder="1" applyAlignment="1">
      <alignment horizontal="center" vertical="center" wrapText="1"/>
    </xf>
    <xf numFmtId="173" fontId="17" fillId="52" borderId="65" xfId="818" applyNumberFormat="1" applyFont="1" applyFill="1" applyBorder="1" applyAlignment="1">
      <alignment horizontal="right" wrapText="1"/>
    </xf>
    <xf numFmtId="173" fontId="17" fillId="52" borderId="68" xfId="818" applyNumberFormat="1" applyFont="1" applyFill="1" applyBorder="1" applyAlignment="1">
      <alignment horizontal="right" wrapText="1"/>
    </xf>
    <xf numFmtId="173" fontId="17" fillId="52" borderId="149" xfId="818" applyNumberFormat="1" applyFont="1" applyFill="1" applyBorder="1" applyAlignment="1">
      <alignment horizontal="right" wrapText="1"/>
    </xf>
    <xf numFmtId="3" fontId="16" fillId="52" borderId="102" xfId="0" applyNumberFormat="1" applyFont="1" applyFill="1" applyBorder="1"/>
    <xf numFmtId="0" fontId="15" fillId="52" borderId="0" xfId="0" applyFont="1" applyFill="1" applyBorder="1" applyAlignment="1"/>
    <xf numFmtId="172" fontId="9" fillId="52" borderId="115" xfId="0" applyNumberFormat="1" applyFont="1" applyFill="1" applyBorder="1" applyAlignment="1">
      <alignment horizontal="center" vertical="center" wrapText="1"/>
    </xf>
    <xf numFmtId="173" fontId="220" fillId="52" borderId="82" xfId="818" applyNumberFormat="1" applyFont="1" applyFill="1" applyBorder="1" applyAlignment="1">
      <alignment horizontal="right" wrapText="1"/>
    </xf>
    <xf numFmtId="3" fontId="9" fillId="52" borderId="102" xfId="0" applyNumberFormat="1" applyFont="1" applyFill="1" applyBorder="1"/>
    <xf numFmtId="173" fontId="218" fillId="52" borderId="82" xfId="818" applyNumberFormat="1" applyFont="1" applyFill="1" applyBorder="1" applyAlignment="1">
      <alignment horizontal="right" wrapText="1"/>
    </xf>
    <xf numFmtId="0" fontId="90" fillId="29" borderId="0" xfId="472" applyFont="1" applyFill="1" applyAlignment="1">
      <alignment horizontal="left" vertical="center"/>
    </xf>
    <xf numFmtId="0" fontId="89" fillId="29" borderId="0" xfId="472" applyFont="1" applyFill="1" applyAlignment="1">
      <alignment horizontal="left" vertical="center"/>
    </xf>
    <xf numFmtId="0" fontId="53" fillId="0" borderId="0" xfId="0" applyFont="1" applyAlignment="1">
      <alignment horizontal="left"/>
    </xf>
    <xf numFmtId="0" fontId="52" fillId="0" borderId="0" xfId="0" applyFont="1" applyFill="1" applyBorder="1" applyAlignment="1">
      <alignment horizontal="left" wrapText="1"/>
    </xf>
    <xf numFmtId="0" fontId="55" fillId="54" borderId="0" xfId="0" applyFont="1" applyFill="1" applyBorder="1" applyAlignment="1">
      <alignment horizontal="center" wrapText="1"/>
    </xf>
    <xf numFmtId="0" fontId="2" fillId="53" borderId="49" xfId="790" applyFont="1" applyFill="1" applyBorder="1" applyAlignment="1">
      <alignment horizontal="center" vertical="center" wrapText="1"/>
    </xf>
    <xf numFmtId="0" fontId="0" fillId="0" borderId="14" xfId="0" applyBorder="1" applyAlignment="1">
      <alignment horizontal="center" vertical="center" wrapText="1"/>
    </xf>
    <xf numFmtId="0" fontId="29" fillId="0" borderId="14" xfId="789" applyFont="1" applyBorder="1" applyAlignment="1">
      <alignment horizontal="center"/>
    </xf>
    <xf numFmtId="3" fontId="19" fillId="0" borderId="0" xfId="0" applyNumberFormat="1" applyFont="1" applyFill="1" applyBorder="1" applyAlignment="1" applyProtection="1">
      <alignment horizontal="left" wrapText="1"/>
    </xf>
    <xf numFmtId="37" fontId="32" fillId="0" borderId="0" xfId="791" applyFont="1" applyFill="1" applyBorder="1" applyAlignment="1">
      <alignment horizontal="left" vertical="center" wrapText="1"/>
    </xf>
    <xf numFmtId="0" fontId="11" fillId="0" borderId="49" xfId="0" applyFont="1" applyBorder="1" applyAlignment="1">
      <alignment horizontal="left" wrapText="1"/>
    </xf>
    <xf numFmtId="0" fontId="29" fillId="0" borderId="0" xfId="789" applyFont="1" applyBorder="1" applyAlignment="1">
      <alignment horizontal="center"/>
    </xf>
    <xf numFmtId="0" fontId="11" fillId="0" borderId="0" xfId="0" applyFont="1" applyBorder="1" applyAlignment="1">
      <alignment horizontal="left" wrapText="1"/>
    </xf>
    <xf numFmtId="0" fontId="32" fillId="29" borderId="0" xfId="790" applyFont="1" applyFill="1" applyBorder="1" applyAlignment="1">
      <alignment wrapText="1"/>
    </xf>
    <xf numFmtId="0" fontId="17" fillId="29" borderId="0" xfId="0" applyFont="1" applyFill="1" applyBorder="1" applyAlignment="1">
      <alignment wrapText="1"/>
    </xf>
    <xf numFmtId="0" fontId="16" fillId="30" borderId="125" xfId="790" applyFont="1" applyFill="1" applyBorder="1" applyAlignment="1">
      <alignment horizontal="center"/>
    </xf>
    <xf numFmtId="0" fontId="16" fillId="30" borderId="151" xfId="790" applyFont="1" applyFill="1" applyBorder="1" applyAlignment="1">
      <alignment horizontal="center"/>
    </xf>
    <xf numFmtId="0" fontId="16" fillId="30" borderId="124" xfId="790" applyFont="1" applyFill="1" applyBorder="1" applyAlignment="1">
      <alignment horizontal="center"/>
    </xf>
    <xf numFmtId="0" fontId="16" fillId="30" borderId="54" xfId="793" applyFont="1" applyFill="1" applyBorder="1" applyAlignment="1">
      <alignment wrapText="1"/>
    </xf>
    <xf numFmtId="0" fontId="16" fillId="30" borderId="0" xfId="793" applyFont="1" applyFill="1" applyBorder="1" applyAlignment="1"/>
    <xf numFmtId="0" fontId="16" fillId="0" borderId="54" xfId="790" applyFont="1" applyBorder="1" applyAlignment="1">
      <alignment horizontal="left" wrapText="1"/>
    </xf>
    <xf numFmtId="0" fontId="16" fillId="0" borderId="0" xfId="790" applyFont="1" applyBorder="1" applyAlignment="1">
      <alignment horizontal="left" wrapText="1"/>
    </xf>
    <xf numFmtId="3" fontId="42" fillId="60" borderId="125" xfId="0" applyNumberFormat="1" applyFont="1" applyFill="1" applyBorder="1" applyAlignment="1">
      <alignment horizontal="left" wrapText="1"/>
    </xf>
    <xf numFmtId="3" fontId="42" fillId="60" borderId="202" xfId="0" applyNumberFormat="1" applyFont="1" applyFill="1" applyBorder="1" applyAlignment="1">
      <alignment horizontal="left" wrapText="1"/>
    </xf>
    <xf numFmtId="3" fontId="42" fillId="60" borderId="151" xfId="0" applyNumberFormat="1" applyFont="1" applyFill="1" applyBorder="1" applyAlignment="1">
      <alignment horizontal="left" wrapText="1"/>
    </xf>
    <xf numFmtId="4" fontId="16" fillId="30" borderId="125" xfId="790" applyNumberFormat="1" applyFont="1" applyFill="1" applyBorder="1" applyAlignment="1">
      <alignment horizontal="center"/>
    </xf>
    <xf numFmtId="4" fontId="16" fillId="30" borderId="151" xfId="790" applyNumberFormat="1" applyFont="1" applyFill="1" applyBorder="1" applyAlignment="1">
      <alignment horizontal="center"/>
    </xf>
    <xf numFmtId="0" fontId="138" fillId="0" borderId="0" xfId="790" applyFont="1" applyAlignment="1">
      <alignment horizontal="left"/>
    </xf>
    <xf numFmtId="0" fontId="14" fillId="30" borderId="56" xfId="790" applyFont="1" applyFill="1" applyBorder="1" applyAlignment="1">
      <alignment horizontal="center"/>
    </xf>
    <xf numFmtId="0" fontId="14" fillId="30" borderId="14" xfId="790" applyFont="1" applyFill="1" applyBorder="1" applyAlignment="1">
      <alignment horizontal="center"/>
    </xf>
    <xf numFmtId="0" fontId="14" fillId="0" borderId="0" xfId="0" applyFont="1" applyBorder="1" applyAlignment="1">
      <alignment horizontal="left" wrapText="1"/>
    </xf>
    <xf numFmtId="0" fontId="80" fillId="0" borderId="0" xfId="0" applyFont="1" applyFill="1" applyBorder="1" applyAlignment="1">
      <alignment horizontal="left" wrapText="1"/>
    </xf>
    <xf numFmtId="0" fontId="14" fillId="30" borderId="125" xfId="790" applyFont="1" applyFill="1" applyBorder="1" applyAlignment="1">
      <alignment horizontal="center" vertical="center"/>
    </xf>
    <xf numFmtId="0" fontId="14" fillId="30" borderId="151" xfId="790" applyFont="1" applyFill="1" applyBorder="1" applyAlignment="1">
      <alignment horizontal="center" vertical="center"/>
    </xf>
    <xf numFmtId="0" fontId="14" fillId="30" borderId="124" xfId="790" applyFont="1" applyFill="1" applyBorder="1" applyAlignment="1">
      <alignment horizontal="center" vertical="center"/>
    </xf>
    <xf numFmtId="0" fontId="14" fillId="30" borderId="155" xfId="0" applyFont="1" applyFill="1" applyBorder="1" applyAlignment="1">
      <alignment horizontal="center" vertical="center"/>
    </xf>
    <xf numFmtId="0" fontId="14" fillId="30" borderId="155" xfId="0" applyFont="1" applyFill="1" applyBorder="1" applyAlignment="1">
      <alignment horizontal="center"/>
    </xf>
    <xf numFmtId="0" fontId="141" fillId="0" borderId="0" xfId="0" applyFont="1" applyBorder="1" applyAlignment="1">
      <alignment horizontal="left" wrapText="1"/>
    </xf>
    <xf numFmtId="0" fontId="14" fillId="30" borderId="125" xfId="790" applyFont="1" applyFill="1" applyBorder="1" applyAlignment="1">
      <alignment horizontal="center" wrapText="1"/>
    </xf>
    <xf numFmtId="0" fontId="14" fillId="30" borderId="151" xfId="790" applyFont="1" applyFill="1" applyBorder="1" applyAlignment="1">
      <alignment horizontal="center" wrapText="1"/>
    </xf>
    <xf numFmtId="0" fontId="14" fillId="30" borderId="124" xfId="790" applyFont="1" applyFill="1" applyBorder="1" applyAlignment="1">
      <alignment horizontal="center" wrapText="1"/>
    </xf>
    <xf numFmtId="3" fontId="164" fillId="35" borderId="0" xfId="0" applyNumberFormat="1" applyFont="1" applyFill="1" applyBorder="1" applyAlignment="1" applyProtection="1">
      <alignment horizontal="left" wrapText="1"/>
    </xf>
    <xf numFmtId="0" fontId="143" fillId="0" borderId="0" xfId="0" applyFont="1" applyBorder="1" applyAlignment="1">
      <alignment horizontal="left"/>
    </xf>
    <xf numFmtId="0" fontId="145" fillId="0" borderId="0" xfId="0" applyFont="1" applyBorder="1" applyAlignment="1">
      <alignment horizontal="left" wrapText="1"/>
    </xf>
    <xf numFmtId="3" fontId="164" fillId="0" borderId="0" xfId="0" applyNumberFormat="1" applyFont="1" applyFill="1" applyBorder="1" applyAlignment="1" applyProtection="1">
      <alignment horizontal="left" wrapText="1"/>
    </xf>
    <xf numFmtId="4" fontId="143" fillId="28" borderId="14" xfId="790" applyNumberFormat="1" applyFont="1" applyFill="1" applyBorder="1" applyAlignment="1">
      <alignment horizontal="center"/>
    </xf>
    <xf numFmtId="168" fontId="143" fillId="38" borderId="64" xfId="790" applyNumberFormat="1" applyFont="1" applyFill="1" applyBorder="1" applyAlignment="1">
      <alignment horizontal="center"/>
    </xf>
    <xf numFmtId="168" fontId="143" fillId="38" borderId="155" xfId="790" applyNumberFormat="1" applyFont="1" applyFill="1" applyBorder="1" applyAlignment="1">
      <alignment horizontal="center"/>
    </xf>
    <xf numFmtId="0" fontId="143" fillId="30" borderId="125" xfId="790" applyFont="1" applyFill="1" applyBorder="1" applyAlignment="1">
      <alignment horizontal="center"/>
    </xf>
    <xf numFmtId="0" fontId="143" fillId="30" borderId="151" xfId="790" applyFont="1" applyFill="1" applyBorder="1" applyAlignment="1">
      <alignment horizontal="center"/>
    </xf>
    <xf numFmtId="0" fontId="143" fillId="30" borderId="124" xfId="790" applyFont="1" applyFill="1" applyBorder="1" applyAlignment="1">
      <alignment horizontal="center"/>
    </xf>
    <xf numFmtId="0" fontId="144" fillId="0" borderId="43" xfId="0" applyFont="1" applyBorder="1" applyAlignment="1">
      <alignment horizontal="center" vertical="center"/>
    </xf>
    <xf numFmtId="0" fontId="144" fillId="0" borderId="76" xfId="0" applyFont="1" applyBorder="1" applyAlignment="1">
      <alignment horizontal="center" vertical="center"/>
    </xf>
    <xf numFmtId="3" fontId="36" fillId="31" borderId="49" xfId="792" applyFont="1" applyFill="1" applyBorder="1" applyAlignment="1">
      <alignment horizontal="center" vertical="center" wrapText="1"/>
    </xf>
    <xf numFmtId="3" fontId="36" fillId="31" borderId="43" xfId="792" applyFont="1" applyFill="1" applyBorder="1" applyAlignment="1">
      <alignment horizontal="center" vertical="center" wrapText="1"/>
    </xf>
    <xf numFmtId="0" fontId="23" fillId="31" borderId="144" xfId="782" applyFont="1" applyFill="1" applyBorder="1" applyAlignment="1">
      <alignment horizontal="center" vertical="center" wrapText="1"/>
    </xf>
    <xf numFmtId="0" fontId="23" fillId="31" borderId="76" xfId="782" applyFont="1" applyFill="1" applyBorder="1" applyAlignment="1">
      <alignment horizontal="center" vertical="center" wrapText="1"/>
    </xf>
    <xf numFmtId="3" fontId="38" fillId="31" borderId="56" xfId="792" applyFont="1" applyFill="1" applyBorder="1" applyAlignment="1">
      <alignment horizontal="center" vertical="center" wrapText="1"/>
    </xf>
    <xf numFmtId="3" fontId="38" fillId="31" borderId="14" xfId="792" applyFont="1" applyFill="1" applyBorder="1" applyAlignment="1">
      <alignment horizontal="center" vertical="center" wrapText="1"/>
    </xf>
    <xf numFmtId="3" fontId="38" fillId="31" borderId="25" xfId="792" applyFont="1" applyFill="1" applyBorder="1" applyAlignment="1">
      <alignment horizontal="center" vertical="center" wrapText="1"/>
    </xf>
    <xf numFmtId="3" fontId="38" fillId="31" borderId="151" xfId="792" applyFont="1" applyFill="1" applyBorder="1" applyAlignment="1">
      <alignment horizontal="center" vertical="center" wrapText="1"/>
    </xf>
    <xf numFmtId="3" fontId="38" fillId="31" borderId="124" xfId="792" applyFont="1" applyFill="1" applyBorder="1" applyAlignment="1">
      <alignment horizontal="center" vertical="center" wrapText="1"/>
    </xf>
    <xf numFmtId="0" fontId="73" fillId="0" borderId="49" xfId="0" applyFont="1" applyBorder="1" applyAlignment="1">
      <alignment horizontal="left" wrapText="1"/>
    </xf>
    <xf numFmtId="17" fontId="76" fillId="0" borderId="14" xfId="782" quotePrefix="1" applyNumberFormat="1" applyFont="1" applyFill="1" applyBorder="1" applyAlignment="1">
      <alignment horizontal="right"/>
    </xf>
    <xf numFmtId="3" fontId="36" fillId="31" borderId="55" xfId="792" applyFont="1" applyFill="1" applyBorder="1" applyAlignment="1">
      <alignment horizontal="center" vertical="center" wrapText="1"/>
    </xf>
    <xf numFmtId="0" fontId="23" fillId="31" borderId="205" xfId="782" applyFont="1" applyFill="1" applyBorder="1" applyAlignment="1">
      <alignment horizontal="center" vertical="center" wrapText="1"/>
    </xf>
    <xf numFmtId="0" fontId="23" fillId="31" borderId="143" xfId="782" applyFont="1" applyFill="1" applyBorder="1" applyAlignment="1">
      <alignment horizontal="center" vertical="center" wrapText="1"/>
    </xf>
    <xf numFmtId="0" fontId="23" fillId="31" borderId="16" xfId="782" applyFont="1" applyFill="1" applyBorder="1" applyAlignment="1">
      <alignment horizontal="center" vertical="center" wrapText="1"/>
    </xf>
    <xf numFmtId="3" fontId="36" fillId="31" borderId="144" xfId="792" applyFont="1" applyFill="1" applyBorder="1" applyAlignment="1">
      <alignment horizontal="center" vertical="center" wrapText="1"/>
    </xf>
    <xf numFmtId="3" fontId="36" fillId="31" borderId="204" xfId="792" applyFont="1" applyFill="1" applyBorder="1" applyAlignment="1">
      <alignment horizontal="center" vertical="center" wrapText="1"/>
    </xf>
    <xf numFmtId="3" fontId="36" fillId="31" borderId="76" xfId="792" applyFont="1" applyFill="1" applyBorder="1" applyAlignment="1">
      <alignment horizontal="center" vertical="center" wrapText="1"/>
    </xf>
    <xf numFmtId="3" fontId="72" fillId="31" borderId="56" xfId="792" applyFont="1" applyFill="1" applyBorder="1" applyAlignment="1">
      <alignment horizontal="center" vertical="center" wrapText="1"/>
    </xf>
    <xf numFmtId="3" fontId="72" fillId="31" borderId="14" xfId="792" applyFont="1" applyFill="1" applyBorder="1" applyAlignment="1">
      <alignment horizontal="center" vertical="center" wrapText="1"/>
    </xf>
    <xf numFmtId="3" fontId="72" fillId="31" borderId="25" xfId="792" applyFont="1" applyFill="1" applyBorder="1" applyAlignment="1">
      <alignment horizontal="center" vertical="center" wrapText="1"/>
    </xf>
    <xf numFmtId="4" fontId="33" fillId="30" borderId="0" xfId="792" applyNumberFormat="1" applyFont="1" applyFill="1" applyBorder="1" applyAlignment="1">
      <alignment horizontal="center" vertical="center" wrapText="1"/>
    </xf>
    <xf numFmtId="0" fontId="23" fillId="31" borderId="203" xfId="782" applyFont="1" applyFill="1" applyBorder="1" applyAlignment="1">
      <alignment horizontal="center" vertical="center" wrapText="1"/>
    </xf>
    <xf numFmtId="0" fontId="23" fillId="31" borderId="141" xfId="782" applyFont="1" applyFill="1" applyBorder="1" applyAlignment="1">
      <alignment horizontal="center" vertical="center" wrapText="1"/>
    </xf>
    <xf numFmtId="0" fontId="23" fillId="31" borderId="52" xfId="782" applyFont="1" applyFill="1" applyBorder="1" applyAlignment="1">
      <alignment horizontal="center" vertical="center" wrapText="1"/>
    </xf>
    <xf numFmtId="0" fontId="29" fillId="31" borderId="125" xfId="782" applyFont="1" applyFill="1" applyBorder="1" applyAlignment="1">
      <alignment horizontal="center"/>
    </xf>
    <xf numFmtId="0" fontId="29" fillId="31" borderId="151" xfId="782" applyFont="1" applyFill="1" applyBorder="1" applyAlignment="1">
      <alignment horizontal="center"/>
    </xf>
    <xf numFmtId="0" fontId="29" fillId="31" borderId="124" xfId="782" applyFont="1" applyFill="1" applyBorder="1" applyAlignment="1">
      <alignment horizontal="center"/>
    </xf>
    <xf numFmtId="17" fontId="73" fillId="0" borderId="0" xfId="782" quotePrefix="1" applyNumberFormat="1" applyFont="1" applyFill="1" applyBorder="1" applyAlignment="1">
      <alignment horizontal="right"/>
    </xf>
    <xf numFmtId="4" fontId="33" fillId="30" borderId="54" xfId="792" applyNumberFormat="1" applyFont="1" applyFill="1" applyBorder="1" applyAlignment="1">
      <alignment horizontal="center" vertical="center" wrapText="1"/>
    </xf>
    <xf numFmtId="0" fontId="23" fillId="31" borderId="151" xfId="782" applyFont="1" applyFill="1" applyBorder="1" applyAlignment="1">
      <alignment horizontal="center"/>
    </xf>
    <xf numFmtId="0" fontId="23" fillId="31" borderId="124" xfId="782" applyFont="1" applyFill="1" applyBorder="1" applyAlignment="1">
      <alignment horizontal="center"/>
    </xf>
    <xf numFmtId="3" fontId="133" fillId="31" borderId="56" xfId="792" applyFont="1" applyFill="1" applyBorder="1" applyAlignment="1">
      <alignment horizontal="center" vertical="center" wrapText="1"/>
    </xf>
    <xf numFmtId="3" fontId="133" fillId="31" borderId="14" xfId="792" applyFont="1" applyFill="1" applyBorder="1" applyAlignment="1">
      <alignment horizontal="center" vertical="center" wrapText="1"/>
    </xf>
    <xf numFmtId="3" fontId="133" fillId="31" borderId="25" xfId="792" applyFont="1" applyFill="1" applyBorder="1" applyAlignment="1">
      <alignment horizontal="center" vertical="center" wrapText="1"/>
    </xf>
    <xf numFmtId="3" fontId="36" fillId="31" borderId="144" xfId="792" applyFont="1" applyFill="1" applyBorder="1" applyAlignment="1">
      <alignment horizontal="center" vertical="center" textRotation="90" wrapText="1"/>
    </xf>
    <xf numFmtId="3" fontId="36" fillId="31" borderId="204" xfId="792" applyFont="1" applyFill="1" applyBorder="1" applyAlignment="1">
      <alignment horizontal="center" vertical="center" textRotation="90" wrapText="1"/>
    </xf>
    <xf numFmtId="3" fontId="36" fillId="31" borderId="76" xfId="792" applyFont="1" applyFill="1" applyBorder="1" applyAlignment="1">
      <alignment horizontal="center" vertical="center" textRotation="90" wrapText="1"/>
    </xf>
    <xf numFmtId="3" fontId="12" fillId="31" borderId="55" xfId="792" applyFont="1" applyFill="1" applyBorder="1" applyAlignment="1">
      <alignment horizontal="center" vertical="top" wrapText="1"/>
    </xf>
    <xf numFmtId="3" fontId="12" fillId="31" borderId="49" xfId="792" applyFont="1" applyFill="1" applyBorder="1" applyAlignment="1">
      <alignment horizontal="center" vertical="top" wrapText="1"/>
    </xf>
    <xf numFmtId="3" fontId="12" fillId="31" borderId="43" xfId="792" applyFont="1" applyFill="1" applyBorder="1" applyAlignment="1">
      <alignment horizontal="center" vertical="top" wrapText="1"/>
    </xf>
    <xf numFmtId="3" fontId="12" fillId="31" borderId="54" xfId="792" applyFont="1" applyFill="1" applyBorder="1" applyAlignment="1">
      <alignment horizontal="center" vertical="top" wrapText="1"/>
    </xf>
    <xf numFmtId="3" fontId="12" fillId="31" borderId="0" xfId="792" applyFont="1" applyFill="1" applyBorder="1" applyAlignment="1">
      <alignment horizontal="center" vertical="top" wrapText="1"/>
    </xf>
    <xf numFmtId="3" fontId="12" fillId="31" borderId="24" xfId="792" applyFont="1" applyFill="1" applyBorder="1" applyAlignment="1">
      <alignment horizontal="center" vertical="top" wrapText="1"/>
    </xf>
    <xf numFmtId="3" fontId="12" fillId="31" borderId="144" xfId="792" applyFont="1" applyFill="1" applyBorder="1" applyAlignment="1">
      <alignment horizontal="center" wrapText="1"/>
    </xf>
    <xf numFmtId="3" fontId="12" fillId="31" borderId="76" xfId="792" applyFont="1" applyFill="1" applyBorder="1" applyAlignment="1">
      <alignment horizontal="center" wrapText="1"/>
    </xf>
    <xf numFmtId="3" fontId="36" fillId="31" borderId="55" xfId="792" applyFont="1" applyFill="1" applyBorder="1" applyAlignment="1">
      <alignment horizontal="center" vertical="center" textRotation="90" wrapText="1"/>
    </xf>
    <xf numFmtId="3" fontId="36" fillId="31" borderId="54" xfId="792" applyFont="1" applyFill="1" applyBorder="1" applyAlignment="1">
      <alignment horizontal="center" vertical="center" textRotation="90" wrapText="1"/>
    </xf>
    <xf numFmtId="3" fontId="36" fillId="31" borderId="56" xfId="792" applyFont="1" applyFill="1" applyBorder="1" applyAlignment="1">
      <alignment horizontal="center" vertical="center" textRotation="90" wrapText="1"/>
    </xf>
    <xf numFmtId="3" fontId="30" fillId="31" borderId="144" xfId="792" applyFont="1" applyFill="1" applyBorder="1" applyAlignment="1">
      <alignment horizontal="center" vertical="center" wrapText="1"/>
    </xf>
    <xf numFmtId="3" fontId="30" fillId="31" borderId="204" xfId="792" applyFont="1" applyFill="1" applyBorder="1" applyAlignment="1">
      <alignment horizontal="center" vertical="center" wrapText="1"/>
    </xf>
    <xf numFmtId="3" fontId="30" fillId="31" borderId="76" xfId="792" applyFont="1" applyFill="1" applyBorder="1" applyAlignment="1">
      <alignment horizontal="center" vertical="center" wrapText="1"/>
    </xf>
    <xf numFmtId="37" fontId="19" fillId="0" borderId="0" xfId="791" applyFont="1" applyFill="1" applyBorder="1" applyAlignment="1">
      <alignment horizontal="left" vertical="center" wrapText="1"/>
    </xf>
    <xf numFmtId="17" fontId="73" fillId="0" borderId="14" xfId="0" quotePrefix="1" applyNumberFormat="1" applyFont="1" applyBorder="1" applyAlignment="1">
      <alignment horizontal="right"/>
    </xf>
    <xf numFmtId="0" fontId="9" fillId="51" borderId="144" xfId="0" applyFont="1" applyFill="1" applyBorder="1" applyAlignment="1">
      <alignment horizontal="center" wrapText="1"/>
    </xf>
    <xf numFmtId="0" fontId="9" fillId="51" borderId="204" xfId="0" applyFont="1" applyFill="1" applyBorder="1" applyAlignment="1">
      <alignment horizontal="center" wrapText="1"/>
    </xf>
    <xf numFmtId="0" fontId="9" fillId="51" borderId="76" xfId="0" applyFont="1" applyFill="1" applyBorder="1" applyAlignment="1">
      <alignment horizontal="center" wrapText="1"/>
    </xf>
    <xf numFmtId="0" fontId="9" fillId="51" borderId="43" xfId="0" applyFont="1" applyFill="1" applyBorder="1" applyAlignment="1">
      <alignment horizontal="center" wrapText="1"/>
    </xf>
    <xf numFmtId="0" fontId="9" fillId="51" borderId="24" xfId="0" applyFont="1" applyFill="1" applyBorder="1" applyAlignment="1">
      <alignment horizontal="center" wrapText="1"/>
    </xf>
    <xf numFmtId="0" fontId="9" fillId="51" borderId="25" xfId="0" applyFont="1" applyFill="1" applyBorder="1" applyAlignment="1">
      <alignment horizontal="center" wrapText="1"/>
    </xf>
    <xf numFmtId="0" fontId="9" fillId="31" borderId="43" xfId="0" applyFont="1" applyFill="1" applyBorder="1" applyAlignment="1">
      <alignment horizontal="center" wrapText="1"/>
    </xf>
    <xf numFmtId="0" fontId="9" fillId="31" borderId="24" xfId="0" applyFont="1" applyFill="1" applyBorder="1" applyAlignment="1">
      <alignment horizontal="center" wrapText="1"/>
    </xf>
    <xf numFmtId="0" fontId="9" fillId="31" borderId="25" xfId="0" applyFont="1" applyFill="1" applyBorder="1" applyAlignment="1">
      <alignment horizontal="center" wrapText="1"/>
    </xf>
    <xf numFmtId="17" fontId="73" fillId="0" borderId="14" xfId="0" quotePrefix="1" applyNumberFormat="1" applyFont="1" applyBorder="1" applyAlignment="1">
      <alignment horizontal="center"/>
    </xf>
    <xf numFmtId="0" fontId="9" fillId="31" borderId="144" xfId="0" applyFont="1" applyFill="1" applyBorder="1" applyAlignment="1">
      <alignment horizontal="center" wrapText="1"/>
    </xf>
    <xf numFmtId="0" fontId="9" fillId="31" borderId="204" xfId="0" applyFont="1" applyFill="1" applyBorder="1" applyAlignment="1">
      <alignment horizontal="center" wrapText="1"/>
    </xf>
    <xf numFmtId="0" fontId="9" fillId="31" borderId="76" xfId="0" applyFont="1" applyFill="1" applyBorder="1" applyAlignment="1">
      <alignment horizontal="center" wrapText="1"/>
    </xf>
    <xf numFmtId="0" fontId="12" fillId="51" borderId="203" xfId="0" applyFont="1" applyFill="1" applyBorder="1" applyAlignment="1" applyProtection="1">
      <alignment vertical="center" textRotation="90" wrapText="1"/>
      <protection locked="0"/>
    </xf>
    <xf numFmtId="0" fontId="7" fillId="51" borderId="141" xfId="0" applyFont="1" applyFill="1" applyBorder="1" applyAlignment="1" applyProtection="1">
      <alignment vertical="center" textRotation="90" wrapText="1"/>
      <protection locked="0"/>
    </xf>
    <xf numFmtId="0" fontId="7" fillId="51" borderId="52" xfId="0" applyFont="1" applyFill="1" applyBorder="1" applyAlignment="1" applyProtection="1">
      <alignment vertical="center" textRotation="90" wrapText="1"/>
      <protection locked="0"/>
    </xf>
    <xf numFmtId="0" fontId="12" fillId="31" borderId="203" xfId="0" applyFont="1" applyFill="1" applyBorder="1" applyAlignment="1" applyProtection="1">
      <alignment vertical="center" textRotation="90" wrapText="1"/>
      <protection locked="0"/>
    </xf>
    <xf numFmtId="0" fontId="7" fillId="31" borderId="141" xfId="0" applyFont="1" applyFill="1" applyBorder="1" applyAlignment="1" applyProtection="1">
      <alignment vertical="center" textRotation="90" wrapText="1"/>
      <protection locked="0"/>
    </xf>
    <xf numFmtId="0" fontId="7" fillId="31" borderId="52" xfId="0" applyFont="1" applyFill="1" applyBorder="1" applyAlignment="1" applyProtection="1">
      <alignment vertical="center" textRotation="90" wrapText="1"/>
      <protection locked="0"/>
    </xf>
    <xf numFmtId="0" fontId="9" fillId="51" borderId="55" xfId="0" applyFont="1" applyFill="1" applyBorder="1" applyAlignment="1">
      <alignment horizontal="center" wrapText="1"/>
    </xf>
    <xf numFmtId="0" fontId="9" fillId="51" borderId="49" xfId="0" applyFont="1" applyFill="1" applyBorder="1" applyAlignment="1">
      <alignment horizontal="center" wrapText="1"/>
    </xf>
    <xf numFmtId="0" fontId="9" fillId="51" borderId="56" xfId="0" applyFont="1" applyFill="1" applyBorder="1" applyAlignment="1">
      <alignment horizontal="center" wrapText="1"/>
    </xf>
    <xf numFmtId="0" fontId="9" fillId="51" borderId="14" xfId="0" applyFont="1" applyFill="1" applyBorder="1" applyAlignment="1">
      <alignment horizontal="center" wrapText="1"/>
    </xf>
    <xf numFmtId="0" fontId="9" fillId="31" borderId="55" xfId="0" applyFont="1" applyFill="1" applyBorder="1" applyAlignment="1">
      <alignment horizontal="center" wrapText="1"/>
    </xf>
    <xf numFmtId="0" fontId="9" fillId="31" borderId="49" xfId="0" applyFont="1" applyFill="1" applyBorder="1" applyAlignment="1">
      <alignment horizontal="center" wrapText="1"/>
    </xf>
    <xf numFmtId="0" fontId="9" fillId="31" borderId="56" xfId="0" applyFont="1" applyFill="1" applyBorder="1" applyAlignment="1">
      <alignment horizontal="center" wrapText="1"/>
    </xf>
    <xf numFmtId="0" fontId="9" fillId="31" borderId="14" xfId="0" applyFont="1" applyFill="1" applyBorder="1" applyAlignment="1">
      <alignment horizontal="center" wrapText="1"/>
    </xf>
    <xf numFmtId="0" fontId="9" fillId="51" borderId="125" xfId="794" applyFont="1" applyFill="1" applyBorder="1" applyAlignment="1">
      <alignment horizontal="center"/>
    </xf>
    <xf numFmtId="0" fontId="9" fillId="51" borderId="151" xfId="794" applyFont="1" applyFill="1" applyBorder="1" applyAlignment="1">
      <alignment horizontal="center"/>
    </xf>
    <xf numFmtId="3" fontId="36" fillId="51" borderId="55" xfId="792" applyFont="1" applyFill="1" applyBorder="1" applyAlignment="1">
      <alignment horizontal="center" vertical="center" wrapText="1"/>
    </xf>
    <xf numFmtId="3" fontId="36" fillId="51" borderId="49" xfId="792" applyFont="1" applyFill="1" applyBorder="1" applyAlignment="1">
      <alignment horizontal="center" vertical="center" wrapText="1"/>
    </xf>
    <xf numFmtId="3" fontId="36" fillId="51" borderId="43" xfId="792" applyFont="1" applyFill="1" applyBorder="1" applyAlignment="1">
      <alignment horizontal="center" vertical="center" wrapText="1"/>
    </xf>
    <xf numFmtId="0" fontId="40" fillId="0" borderId="0" xfId="0" applyFont="1" applyFill="1" applyAlignment="1">
      <alignment horizontal="left"/>
    </xf>
    <xf numFmtId="0" fontId="115" fillId="0" borderId="0" xfId="0" applyFont="1" applyBorder="1" applyAlignment="1">
      <alignment horizontal="left"/>
    </xf>
    <xf numFmtId="0" fontId="16" fillId="51" borderId="206" xfId="0" applyFont="1" applyFill="1" applyBorder="1" applyAlignment="1">
      <alignment horizontal="center" wrapText="1"/>
    </xf>
    <xf numFmtId="0" fontId="16" fillId="51" borderId="196" xfId="0" applyFont="1" applyFill="1" applyBorder="1" applyAlignment="1">
      <alignment horizontal="center" wrapText="1"/>
    </xf>
    <xf numFmtId="0" fontId="16" fillId="51" borderId="120" xfId="0" applyFont="1" applyFill="1" applyBorder="1" applyAlignment="1">
      <alignment horizontal="center" wrapText="1"/>
    </xf>
    <xf numFmtId="0" fontId="16" fillId="51" borderId="121" xfId="0" applyFont="1" applyFill="1" applyBorder="1" applyAlignment="1">
      <alignment horizontal="center" wrapText="1"/>
    </xf>
    <xf numFmtId="0" fontId="16" fillId="51" borderId="207" xfId="0" applyFont="1" applyFill="1" applyBorder="1" applyAlignment="1">
      <alignment horizontal="center" wrapText="1"/>
    </xf>
    <xf numFmtId="0" fontId="16" fillId="51" borderId="208" xfId="0" applyFont="1" applyFill="1" applyBorder="1" applyAlignment="1">
      <alignment horizontal="center" wrapText="1"/>
    </xf>
    <xf numFmtId="0" fontId="16" fillId="51" borderId="119" xfId="0" applyFont="1" applyFill="1" applyBorder="1" applyAlignment="1">
      <alignment horizontal="center" wrapText="1"/>
    </xf>
    <xf numFmtId="0" fontId="16" fillId="51" borderId="33" xfId="0" applyFont="1" applyFill="1" applyBorder="1" applyAlignment="1">
      <alignment horizontal="center" wrapText="1"/>
    </xf>
    <xf numFmtId="0" fontId="16" fillId="51" borderId="39" xfId="0" applyFont="1" applyFill="1" applyBorder="1" applyAlignment="1">
      <alignment horizontal="center" wrapText="1"/>
    </xf>
    <xf numFmtId="0" fontId="16" fillId="51" borderId="203" xfId="0" applyFont="1" applyFill="1" applyBorder="1" applyAlignment="1" applyProtection="1">
      <alignment vertical="center" textRotation="90" wrapText="1"/>
      <protection locked="0"/>
    </xf>
    <xf numFmtId="0" fontId="17" fillId="51" borderId="141" xfId="0" applyFont="1" applyFill="1" applyBorder="1" applyAlignment="1" applyProtection="1">
      <alignment vertical="center" textRotation="90" wrapText="1"/>
      <protection locked="0"/>
    </xf>
    <xf numFmtId="0" fontId="17" fillId="51" borderId="209" xfId="0" applyFont="1" applyFill="1" applyBorder="1" applyAlignment="1" applyProtection="1">
      <alignment vertical="center" textRotation="90" wrapText="1"/>
      <protection locked="0"/>
    </xf>
    <xf numFmtId="17" fontId="65" fillId="0" borderId="14" xfId="0" quotePrefix="1" applyNumberFormat="1" applyFont="1" applyBorder="1" applyAlignment="1">
      <alignment horizontal="right"/>
    </xf>
    <xf numFmtId="17" fontId="16" fillId="0" borderId="14" xfId="0" quotePrefix="1" applyNumberFormat="1" applyFont="1" applyBorder="1" applyAlignment="1">
      <alignment horizontal="right"/>
    </xf>
    <xf numFmtId="17" fontId="16" fillId="0" borderId="14" xfId="0" applyNumberFormat="1" applyFont="1" applyBorder="1" applyAlignment="1">
      <alignment horizontal="right"/>
    </xf>
    <xf numFmtId="3" fontId="88" fillId="51" borderId="144" xfId="792" applyFont="1" applyFill="1" applyBorder="1" applyAlignment="1">
      <alignment horizontal="center" vertical="center" textRotation="90" wrapText="1"/>
    </xf>
    <xf numFmtId="3" fontId="88" fillId="51" borderId="204" xfId="792" applyFont="1" applyFill="1" applyBorder="1" applyAlignment="1">
      <alignment horizontal="center" vertical="center" textRotation="90" wrapText="1"/>
    </xf>
    <xf numFmtId="3" fontId="88" fillId="51" borderId="76" xfId="792" applyFont="1" applyFill="1" applyBorder="1" applyAlignment="1">
      <alignment horizontal="center" vertical="center" textRotation="90" wrapText="1"/>
    </xf>
    <xf numFmtId="3" fontId="75" fillId="51" borderId="144" xfId="792" applyFont="1" applyFill="1" applyBorder="1" applyAlignment="1">
      <alignment horizontal="center" vertical="center" wrapText="1"/>
    </xf>
    <xf numFmtId="3" fontId="75" fillId="51" borderId="204" xfId="792" applyFont="1" applyFill="1" applyBorder="1" applyAlignment="1">
      <alignment horizontal="center" vertical="center" wrapText="1"/>
    </xf>
    <xf numFmtId="3" fontId="75" fillId="51" borderId="76" xfId="792" applyFont="1" applyFill="1" applyBorder="1" applyAlignment="1">
      <alignment horizontal="center" vertical="center" wrapText="1"/>
    </xf>
    <xf numFmtId="0" fontId="40" fillId="51" borderId="55" xfId="0" applyFont="1" applyFill="1" applyBorder="1" applyAlignment="1">
      <alignment horizontal="center" wrapText="1"/>
    </xf>
    <xf numFmtId="0" fontId="40" fillId="51" borderId="49" xfId="0" applyFont="1" applyFill="1" applyBorder="1" applyAlignment="1">
      <alignment horizontal="center" wrapText="1"/>
    </xf>
    <xf numFmtId="0" fontId="40" fillId="51" borderId="56" xfId="0" applyFont="1" applyFill="1" applyBorder="1" applyAlignment="1">
      <alignment horizontal="center" wrapText="1"/>
    </xf>
    <xf numFmtId="0" fontId="40" fillId="51" borderId="14" xfId="0" applyFont="1" applyFill="1" applyBorder="1" applyAlignment="1">
      <alignment horizontal="center" wrapText="1"/>
    </xf>
    <xf numFmtId="166" fontId="40" fillId="51" borderId="125" xfId="818" applyNumberFormat="1" applyFont="1" applyFill="1" applyBorder="1" applyAlignment="1">
      <alignment horizontal="center" wrapText="1"/>
    </xf>
    <xf numFmtId="166" fontId="40" fillId="51" borderId="151" xfId="818" applyNumberFormat="1" applyFont="1" applyFill="1" applyBorder="1" applyAlignment="1">
      <alignment horizontal="center" wrapText="1"/>
    </xf>
    <xf numFmtId="166" fontId="40" fillId="51" borderId="210" xfId="818" applyNumberFormat="1" applyFont="1" applyFill="1" applyBorder="1" applyAlignment="1">
      <alignment horizontal="center" wrapText="1"/>
    </xf>
    <xf numFmtId="0" fontId="40" fillId="51" borderId="211" xfId="0" applyFont="1" applyFill="1" applyBorder="1" applyAlignment="1">
      <alignment horizontal="center" wrapText="1"/>
    </xf>
    <xf numFmtId="0" fontId="40" fillId="51" borderId="151" xfId="0" applyFont="1" applyFill="1" applyBorder="1" applyAlignment="1">
      <alignment horizontal="center" wrapText="1"/>
    </xf>
    <xf numFmtId="0" fontId="40" fillId="51" borderId="202" xfId="0" applyFont="1" applyFill="1" applyBorder="1" applyAlignment="1">
      <alignment horizontal="center" wrapText="1"/>
    </xf>
    <xf numFmtId="0" fontId="40" fillId="51" borderId="122" xfId="0" applyFont="1" applyFill="1" applyBorder="1" applyAlignment="1">
      <alignment horizontal="center" wrapText="1"/>
    </xf>
    <xf numFmtId="0" fontId="40" fillId="51" borderId="124" xfId="0" applyFont="1" applyFill="1" applyBorder="1" applyAlignment="1">
      <alignment horizontal="center" wrapText="1"/>
    </xf>
    <xf numFmtId="0" fontId="40" fillId="51" borderId="43" xfId="0" applyFont="1" applyFill="1" applyBorder="1" applyAlignment="1">
      <alignment horizontal="center" wrapText="1"/>
    </xf>
    <xf numFmtId="0" fontId="40" fillId="51" borderId="25" xfId="0" applyFont="1" applyFill="1" applyBorder="1" applyAlignment="1">
      <alignment horizontal="center" wrapText="1"/>
    </xf>
    <xf numFmtId="3" fontId="138" fillId="35" borderId="0" xfId="0" applyNumberFormat="1" applyFont="1" applyFill="1" applyBorder="1" applyAlignment="1" applyProtection="1">
      <alignment horizontal="left" wrapText="1"/>
    </xf>
    <xf numFmtId="3" fontId="138" fillId="35" borderId="0" xfId="0" applyNumberFormat="1" applyFont="1" applyFill="1" applyBorder="1" applyAlignment="1" applyProtection="1">
      <alignment horizontal="left"/>
    </xf>
    <xf numFmtId="17" fontId="14" fillId="0" borderId="14" xfId="0" quotePrefix="1" applyNumberFormat="1" applyFont="1" applyBorder="1" applyAlignment="1">
      <alignment horizontal="right"/>
    </xf>
    <xf numFmtId="17" fontId="14" fillId="0" borderId="14" xfId="0" applyNumberFormat="1" applyFont="1" applyBorder="1" applyAlignment="1">
      <alignment horizontal="right"/>
    </xf>
    <xf numFmtId="0" fontId="81" fillId="31" borderId="211" xfId="0" applyFont="1" applyFill="1" applyBorder="1" applyAlignment="1" applyProtection="1">
      <alignment horizontal="center" wrapText="1"/>
      <protection locked="0"/>
    </xf>
    <xf numFmtId="0" fontId="81" fillId="31" borderId="151" xfId="0" applyFont="1" applyFill="1" applyBorder="1" applyAlignment="1" applyProtection="1">
      <alignment horizontal="center" wrapText="1"/>
      <protection locked="0"/>
    </xf>
    <xf numFmtId="0" fontId="81" fillId="31" borderId="210" xfId="0" applyFont="1" applyFill="1" applyBorder="1" applyAlignment="1" applyProtection="1">
      <alignment horizontal="center" wrapText="1"/>
      <protection locked="0"/>
    </xf>
    <xf numFmtId="0" fontId="81" fillId="31" borderId="212" xfId="0" applyFont="1" applyFill="1" applyBorder="1" applyAlignment="1" applyProtection="1">
      <alignment horizontal="center"/>
      <protection locked="0"/>
    </xf>
    <xf numFmtId="0" fontId="81" fillId="31" borderId="98" xfId="0" applyFont="1" applyFill="1" applyBorder="1" applyAlignment="1" applyProtection="1">
      <alignment horizontal="center"/>
      <protection locked="0"/>
    </xf>
    <xf numFmtId="0" fontId="81" fillId="31" borderId="213" xfId="0" applyFont="1" applyFill="1" applyBorder="1" applyAlignment="1" applyProtection="1">
      <alignment horizontal="center"/>
      <protection locked="0"/>
    </xf>
    <xf numFmtId="0" fontId="14" fillId="31" borderId="214" xfId="0" applyFont="1" applyFill="1" applyBorder="1" applyAlignment="1" applyProtection="1">
      <alignment horizontal="center" wrapText="1"/>
      <protection locked="0"/>
    </xf>
    <xf numFmtId="0" fontId="14" fillId="31" borderId="196" xfId="0" applyFont="1" applyFill="1" applyBorder="1" applyAlignment="1" applyProtection="1">
      <alignment horizontal="center" wrapText="1"/>
      <protection locked="0"/>
    </xf>
    <xf numFmtId="0" fontId="14" fillId="31" borderId="168" xfId="0" applyFont="1" applyFill="1" applyBorder="1" applyAlignment="1" applyProtection="1">
      <alignment horizontal="center" wrapText="1"/>
      <protection locked="0"/>
    </xf>
    <xf numFmtId="0" fontId="14" fillId="31" borderId="207" xfId="0" applyFont="1" applyFill="1" applyBorder="1" applyAlignment="1" applyProtection="1">
      <alignment horizontal="center" wrapText="1"/>
      <protection locked="0"/>
    </xf>
    <xf numFmtId="0" fontId="14" fillId="31" borderId="208" xfId="0" applyFont="1" applyFill="1" applyBorder="1" applyAlignment="1" applyProtection="1">
      <alignment horizontal="center" wrapText="1"/>
      <protection locked="0"/>
    </xf>
    <xf numFmtId="0" fontId="14" fillId="31" borderId="200" xfId="0" applyFont="1" applyFill="1" applyBorder="1" applyAlignment="1" applyProtection="1">
      <alignment horizontal="center" wrapText="1"/>
      <protection locked="0"/>
    </xf>
    <xf numFmtId="0" fontId="14" fillId="31" borderId="43" xfId="0" applyFont="1" applyFill="1" applyBorder="1" applyAlignment="1" applyProtection="1">
      <alignment horizontal="center" wrapText="1"/>
      <protection locked="0"/>
    </xf>
    <xf numFmtId="0" fontId="14" fillId="31" borderId="24" xfId="0" applyFont="1" applyFill="1" applyBorder="1" applyAlignment="1" applyProtection="1">
      <alignment horizontal="center" wrapText="1"/>
      <protection locked="0"/>
    </xf>
    <xf numFmtId="0" fontId="14" fillId="31" borderId="25" xfId="0" applyFont="1" applyFill="1" applyBorder="1" applyAlignment="1" applyProtection="1">
      <alignment horizontal="center" wrapText="1"/>
      <protection locked="0"/>
    </xf>
    <xf numFmtId="0" fontId="81" fillId="31" borderId="215" xfId="0" applyFont="1" applyFill="1" applyBorder="1" applyAlignment="1" applyProtection="1">
      <alignment horizontal="center" wrapText="1"/>
      <protection locked="0"/>
    </xf>
    <xf numFmtId="0" fontId="81" fillId="31" borderId="98" xfId="0" applyFont="1" applyFill="1" applyBorder="1" applyAlignment="1" applyProtection="1">
      <alignment horizontal="center" wrapText="1"/>
      <protection locked="0"/>
    </xf>
    <xf numFmtId="0" fontId="81" fillId="31" borderId="201" xfId="0" applyFont="1" applyFill="1" applyBorder="1" applyAlignment="1" applyProtection="1">
      <alignment horizontal="center" wrapText="1"/>
      <protection locked="0"/>
    </xf>
    <xf numFmtId="0" fontId="81" fillId="31" borderId="215" xfId="0" applyFont="1" applyFill="1" applyBorder="1" applyAlignment="1" applyProtection="1">
      <alignment horizontal="center"/>
      <protection locked="0"/>
    </xf>
    <xf numFmtId="0" fontId="81" fillId="31" borderId="201" xfId="0" applyFont="1" applyFill="1" applyBorder="1" applyAlignment="1" applyProtection="1">
      <alignment horizontal="center"/>
      <protection locked="0"/>
    </xf>
    <xf numFmtId="0" fontId="14" fillId="31" borderId="203" xfId="0" applyFont="1" applyFill="1" applyBorder="1" applyAlignment="1" applyProtection="1">
      <alignment vertical="center" textRotation="90" wrapText="1"/>
      <protection locked="0"/>
    </xf>
    <xf numFmtId="0" fontId="5" fillId="31" borderId="141" xfId="0" applyFont="1" applyFill="1" applyBorder="1" applyAlignment="1" applyProtection="1">
      <alignment vertical="center" textRotation="90" wrapText="1"/>
      <protection locked="0"/>
    </xf>
    <xf numFmtId="0" fontId="5" fillId="31" borderId="52" xfId="0" applyFont="1" applyFill="1" applyBorder="1" applyAlignment="1" applyProtection="1">
      <alignment vertical="center" textRotation="90" wrapText="1"/>
      <protection locked="0"/>
    </xf>
    <xf numFmtId="0" fontId="81" fillId="31" borderId="183" xfId="0" applyFont="1" applyFill="1" applyBorder="1" applyAlignment="1" applyProtection="1">
      <alignment horizontal="center"/>
      <protection locked="0"/>
    </xf>
    <xf numFmtId="1" fontId="14" fillId="52" borderId="0" xfId="850" applyNumberFormat="1" applyFont="1" applyFill="1" applyBorder="1" applyAlignment="1">
      <alignment horizontal="center" vertical="top" wrapText="1"/>
    </xf>
    <xf numFmtId="0" fontId="70" fillId="52" borderId="64" xfId="228" applyFont="1" applyFill="1" applyBorder="1" applyAlignment="1">
      <alignment horizontal="center" vertical="top" wrapText="1"/>
    </xf>
    <xf numFmtId="0" fontId="6" fillId="58" borderId="131" xfId="228" applyFont="1" applyFill="1" applyBorder="1" applyAlignment="1">
      <alignment horizontal="center" vertical="center" wrapText="1"/>
    </xf>
    <xf numFmtId="0" fontId="6" fillId="58" borderId="155" xfId="228" applyFont="1" applyFill="1" applyBorder="1" applyAlignment="1">
      <alignment horizontal="center" vertical="center"/>
    </xf>
    <xf numFmtId="0" fontId="6" fillId="58" borderId="132" xfId="228" applyFont="1" applyFill="1" applyBorder="1" applyAlignment="1">
      <alignment horizontal="center" vertical="center"/>
    </xf>
    <xf numFmtId="0" fontId="40" fillId="30" borderId="125" xfId="0" applyFont="1" applyFill="1" applyBorder="1" applyAlignment="1">
      <alignment horizontal="center" vertical="center" wrapText="1"/>
    </xf>
    <xf numFmtId="0" fontId="40" fillId="30" borderId="151" xfId="0" applyFont="1" applyFill="1" applyBorder="1" applyAlignment="1">
      <alignment horizontal="center" vertical="center" wrapText="1"/>
    </xf>
    <xf numFmtId="0" fontId="40" fillId="30" borderId="124" xfId="0" applyFont="1" applyFill="1" applyBorder="1" applyAlignment="1">
      <alignment horizontal="center" vertical="center" wrapText="1"/>
    </xf>
    <xf numFmtId="0" fontId="9" fillId="0" borderId="0" xfId="784" applyFont="1" applyFill="1" applyBorder="1" applyAlignment="1">
      <alignment horizontal="center" vertical="center" wrapText="1"/>
    </xf>
    <xf numFmtId="0" fontId="118" fillId="0" borderId="0" xfId="0" applyFont="1" applyBorder="1" applyAlignment="1">
      <alignment horizontal="left" vertical="center" wrapText="1"/>
    </xf>
    <xf numFmtId="0" fontId="14" fillId="0" borderId="0" xfId="795" applyFont="1" applyFill="1" applyAlignment="1">
      <alignment horizontal="left" vertical="center" wrapText="1"/>
    </xf>
    <xf numFmtId="0" fontId="5" fillId="0" borderId="0" xfId="0" applyFont="1" applyAlignment="1">
      <alignment wrapText="1"/>
    </xf>
    <xf numFmtId="0" fontId="16" fillId="51" borderId="216" xfId="795" applyFont="1" applyFill="1" applyBorder="1" applyAlignment="1">
      <alignment horizontal="center" vertical="center" textRotation="90"/>
    </xf>
    <xf numFmtId="0" fontId="16" fillId="51" borderId="217" xfId="795" applyFont="1" applyFill="1" applyBorder="1" applyAlignment="1">
      <alignment horizontal="center" vertical="center" textRotation="90"/>
    </xf>
    <xf numFmtId="0" fontId="16" fillId="51" borderId="218" xfId="795" applyFont="1" applyFill="1" applyBorder="1" applyAlignment="1">
      <alignment horizontal="center" vertical="center" textRotation="90"/>
    </xf>
    <xf numFmtId="0" fontId="14" fillId="51" borderId="119" xfId="795" applyFont="1" applyFill="1" applyBorder="1" applyAlignment="1">
      <alignment horizontal="center" wrapText="1"/>
    </xf>
    <xf numFmtId="0" fontId="14" fillId="51" borderId="33" xfId="795" applyFont="1" applyFill="1" applyBorder="1" applyAlignment="1">
      <alignment horizontal="center"/>
    </xf>
    <xf numFmtId="0" fontId="14" fillId="51" borderId="39" xfId="795" applyFont="1" applyFill="1" applyBorder="1" applyAlignment="1">
      <alignment horizontal="center"/>
    </xf>
    <xf numFmtId="3" fontId="6" fillId="51" borderId="212" xfId="795" applyNumberFormat="1" applyFont="1" applyFill="1" applyBorder="1" applyAlignment="1">
      <alignment horizontal="center" wrapText="1"/>
    </xf>
    <xf numFmtId="3" fontId="6" fillId="51" borderId="98" xfId="795" applyNumberFormat="1" applyFont="1" applyFill="1" applyBorder="1" applyAlignment="1">
      <alignment horizontal="center" wrapText="1"/>
    </xf>
    <xf numFmtId="0" fontId="14" fillId="56" borderId="229" xfId="795" applyFont="1" applyFill="1" applyBorder="1" applyAlignment="1">
      <alignment horizontal="center" vertical="center"/>
    </xf>
    <xf numFmtId="0" fontId="14" fillId="56" borderId="87" xfId="795" applyFont="1" applyFill="1" applyBorder="1" applyAlignment="1">
      <alignment horizontal="center" vertical="center"/>
    </xf>
    <xf numFmtId="3" fontId="6" fillId="51" borderId="220" xfId="0" applyNumberFormat="1" applyFont="1" applyFill="1" applyBorder="1" applyAlignment="1">
      <alignment horizontal="center" wrapText="1"/>
    </xf>
    <xf numFmtId="3" fontId="6" fillId="51" borderId="49" xfId="0" applyNumberFormat="1" applyFont="1" applyFill="1" applyBorder="1" applyAlignment="1">
      <alignment horizontal="center"/>
    </xf>
    <xf numFmtId="3" fontId="6" fillId="51" borderId="178" xfId="0" applyNumberFormat="1" applyFont="1" applyFill="1" applyBorder="1" applyAlignment="1">
      <alignment horizontal="center"/>
    </xf>
    <xf numFmtId="3" fontId="6" fillId="51" borderId="212" xfId="0" applyNumberFormat="1" applyFont="1" applyFill="1" applyBorder="1" applyAlignment="1">
      <alignment horizontal="center" wrapText="1"/>
    </xf>
    <xf numFmtId="3" fontId="6" fillId="51" borderId="98" xfId="0" applyNumberFormat="1" applyFont="1" applyFill="1" applyBorder="1" applyAlignment="1">
      <alignment horizontal="center"/>
    </xf>
    <xf numFmtId="3" fontId="6" fillId="51" borderId="201" xfId="0" applyNumberFormat="1" applyFont="1" applyFill="1" applyBorder="1" applyAlignment="1">
      <alignment horizontal="center"/>
    </xf>
    <xf numFmtId="17" fontId="6" fillId="0" borderId="14" xfId="0" quotePrefix="1" applyNumberFormat="1" applyFont="1" applyBorder="1" applyAlignment="1">
      <alignment horizontal="center"/>
    </xf>
    <xf numFmtId="17" fontId="6" fillId="0" borderId="14" xfId="0" applyNumberFormat="1" applyFont="1" applyBorder="1" applyAlignment="1">
      <alignment horizontal="center"/>
    </xf>
    <xf numFmtId="0" fontId="16" fillId="56" borderId="56" xfId="0" applyFont="1" applyFill="1" applyBorder="1" applyAlignment="1">
      <alignment horizontal="left" vertical="center" wrapText="1"/>
    </xf>
    <xf numFmtId="0" fontId="17" fillId="56" borderId="137" xfId="0" applyFont="1" applyFill="1" applyBorder="1" applyAlignment="1">
      <alignment horizontal="left" vertical="center" wrapText="1"/>
    </xf>
    <xf numFmtId="0" fontId="16" fillId="0" borderId="0" xfId="0" applyFont="1" applyFill="1" applyBorder="1" applyAlignment="1">
      <alignment horizontal="left" vertical="center" wrapText="1"/>
    </xf>
    <xf numFmtId="0" fontId="17" fillId="0" borderId="0" xfId="0" applyFont="1" applyFill="1" applyBorder="1" applyAlignment="1">
      <alignment horizontal="left" wrapText="1"/>
    </xf>
    <xf numFmtId="0" fontId="16" fillId="29" borderId="0" xfId="0" applyFont="1" applyFill="1" applyBorder="1" applyAlignment="1">
      <alignment horizontal="center" vertical="center" wrapText="1"/>
    </xf>
    <xf numFmtId="0" fontId="16" fillId="51" borderId="203" xfId="795" applyFont="1" applyFill="1" applyBorder="1" applyAlignment="1">
      <alignment horizontal="center" vertical="center" textRotation="90" wrapText="1"/>
    </xf>
    <xf numFmtId="0" fontId="17" fillId="51" borderId="141" xfId="0" applyFont="1" applyFill="1" applyBorder="1" applyAlignment="1">
      <alignment horizontal="center" vertical="center" wrapText="1"/>
    </xf>
    <xf numFmtId="0" fontId="17" fillId="51" borderId="209" xfId="0" applyFont="1" applyFill="1" applyBorder="1" applyAlignment="1">
      <alignment horizontal="center" vertical="center" wrapText="1"/>
    </xf>
    <xf numFmtId="0" fontId="16" fillId="51" borderId="119" xfId="0" applyFont="1" applyFill="1" applyBorder="1" applyAlignment="1">
      <alignment horizontal="center"/>
    </xf>
    <xf numFmtId="0" fontId="16" fillId="51" borderId="120" xfId="0" applyFont="1" applyFill="1" applyBorder="1" applyAlignment="1">
      <alignment horizontal="center"/>
    </xf>
    <xf numFmtId="0" fontId="31" fillId="51" borderId="39" xfId="0" applyFont="1" applyFill="1" applyBorder="1" applyAlignment="1">
      <alignment horizontal="center"/>
    </xf>
    <xf numFmtId="0" fontId="31" fillId="51" borderId="114" xfId="0" applyFont="1" applyFill="1" applyBorder="1" applyAlignment="1">
      <alignment horizontal="center"/>
    </xf>
    <xf numFmtId="17" fontId="16" fillId="0" borderId="14" xfId="0" quotePrefix="1" applyNumberFormat="1" applyFont="1" applyBorder="1" applyAlignment="1">
      <alignment horizontal="center"/>
    </xf>
    <xf numFmtId="17" fontId="16" fillId="0" borderId="14" xfId="0" applyNumberFormat="1" applyFont="1" applyBorder="1" applyAlignment="1">
      <alignment horizontal="center"/>
    </xf>
    <xf numFmtId="0" fontId="16" fillId="51" borderId="120" xfId="0" applyFont="1" applyFill="1" applyBorder="1" applyAlignment="1">
      <alignment horizontal="center" vertical="center" wrapText="1"/>
    </xf>
    <xf numFmtId="0" fontId="16" fillId="51" borderId="121" xfId="0" applyFont="1" applyFill="1" applyBorder="1" applyAlignment="1">
      <alignment horizontal="center" vertical="center"/>
    </xf>
    <xf numFmtId="0" fontId="16" fillId="51" borderId="114" xfId="0" applyFont="1" applyFill="1" applyBorder="1" applyAlignment="1">
      <alignment horizontal="center" vertical="center"/>
    </xf>
    <xf numFmtId="0" fontId="16" fillId="0" borderId="0" xfId="0" applyFont="1" applyFill="1" applyBorder="1" applyAlignment="1">
      <alignment horizontal="left" wrapText="1"/>
    </xf>
    <xf numFmtId="0" fontId="50" fillId="0" borderId="0" xfId="0" applyFont="1" applyFill="1" applyBorder="1" applyAlignment="1">
      <alignment wrapText="1"/>
    </xf>
    <xf numFmtId="0" fontId="16" fillId="30" borderId="56" xfId="795" applyFont="1" applyFill="1" applyBorder="1" applyAlignment="1">
      <alignment horizontal="center" vertical="top" wrapText="1"/>
    </xf>
    <xf numFmtId="0" fontId="16" fillId="30" borderId="14" xfId="795" quotePrefix="1" applyFont="1" applyFill="1" applyBorder="1" applyAlignment="1">
      <alignment horizontal="center" vertical="top" wrapText="1"/>
    </xf>
    <xf numFmtId="3" fontId="16" fillId="51" borderId="49" xfId="795" applyNumberFormat="1" applyFont="1" applyFill="1" applyBorder="1" applyAlignment="1">
      <alignment horizontal="center" wrapText="1"/>
    </xf>
    <xf numFmtId="172" fontId="16" fillId="51" borderId="131" xfId="0" applyNumberFormat="1" applyFont="1" applyFill="1" applyBorder="1" applyAlignment="1">
      <alignment horizontal="center"/>
    </xf>
    <xf numFmtId="172" fontId="16" fillId="51" borderId="155" xfId="0" applyNumberFormat="1" applyFont="1" applyFill="1" applyBorder="1" applyAlignment="1">
      <alignment horizontal="center"/>
    </xf>
    <xf numFmtId="172" fontId="16" fillId="51" borderId="132" xfId="0" applyNumberFormat="1" applyFont="1" applyFill="1" applyBorder="1" applyAlignment="1">
      <alignment horizontal="center"/>
    </xf>
    <xf numFmtId="0" fontId="9" fillId="51" borderId="119" xfId="795" applyFont="1" applyFill="1" applyBorder="1" applyAlignment="1">
      <alignment horizontal="center" wrapText="1"/>
    </xf>
    <xf numFmtId="0" fontId="9" fillId="51" borderId="33" xfId="795" applyFont="1" applyFill="1" applyBorder="1" applyAlignment="1">
      <alignment horizontal="center"/>
    </xf>
    <xf numFmtId="0" fontId="9" fillId="51" borderId="39" xfId="795" applyFont="1" applyFill="1" applyBorder="1" applyAlignment="1">
      <alignment horizontal="center"/>
    </xf>
    <xf numFmtId="0" fontId="16" fillId="51" borderId="216" xfId="0" applyFont="1" applyFill="1" applyBorder="1" applyAlignment="1">
      <alignment horizontal="center" vertical="center" textRotation="90" wrapText="1"/>
    </xf>
    <xf numFmtId="0" fontId="16" fillId="51" borderId="217" xfId="0" applyFont="1" applyFill="1" applyBorder="1" applyAlignment="1">
      <alignment horizontal="center" vertical="center" textRotation="90" wrapText="1"/>
    </xf>
    <xf numFmtId="0" fontId="16" fillId="51" borderId="218" xfId="0" applyFont="1" applyFill="1" applyBorder="1" applyAlignment="1">
      <alignment horizontal="center" vertical="center" textRotation="90" wrapText="1"/>
    </xf>
    <xf numFmtId="0" fontId="126" fillId="30" borderId="219" xfId="795" applyFont="1" applyFill="1" applyBorder="1" applyAlignment="1">
      <alignment horizontal="center" vertical="top" wrapText="1"/>
    </xf>
    <xf numFmtId="0" fontId="126" fillId="30" borderId="44" xfId="795" quotePrefix="1" applyFont="1" applyFill="1" applyBorder="1" applyAlignment="1">
      <alignment horizontal="center" vertical="top" wrapText="1"/>
    </xf>
    <xf numFmtId="0" fontId="6" fillId="0" borderId="0" xfId="0" applyFont="1" applyFill="1" applyBorder="1" applyAlignment="1">
      <alignment horizontal="left" wrapText="1"/>
    </xf>
    <xf numFmtId="0" fontId="12" fillId="51" borderId="216" xfId="0" applyFont="1" applyFill="1" applyBorder="1" applyAlignment="1">
      <alignment horizontal="center" textRotation="90" wrapText="1"/>
    </xf>
    <xf numFmtId="0" fontId="12" fillId="51" borderId="217" xfId="0" applyFont="1" applyFill="1" applyBorder="1" applyAlignment="1">
      <alignment horizontal="center" textRotation="90" wrapText="1"/>
    </xf>
    <xf numFmtId="0" fontId="12" fillId="51" borderId="218" xfId="0" applyFont="1" applyFill="1" applyBorder="1" applyAlignment="1">
      <alignment horizontal="center" textRotation="90" wrapText="1"/>
    </xf>
    <xf numFmtId="172" fontId="9" fillId="51" borderId="220" xfId="0" applyNumberFormat="1" applyFont="1" applyFill="1" applyBorder="1" applyAlignment="1">
      <alignment horizontal="center"/>
    </xf>
    <xf numFmtId="172" fontId="9" fillId="51" borderId="49" xfId="0" applyNumberFormat="1" applyFont="1" applyFill="1" applyBorder="1" applyAlignment="1">
      <alignment horizontal="center"/>
    </xf>
    <xf numFmtId="172" fontId="9" fillId="51" borderId="178" xfId="0" applyNumberFormat="1" applyFont="1" applyFill="1" applyBorder="1" applyAlignment="1">
      <alignment horizontal="center"/>
    </xf>
    <xf numFmtId="172" fontId="9" fillId="51" borderId="113" xfId="0" applyNumberFormat="1" applyFont="1" applyFill="1" applyBorder="1" applyAlignment="1">
      <alignment horizontal="center"/>
    </xf>
    <xf numFmtId="172" fontId="9" fillId="51" borderId="64" xfId="0" applyNumberFormat="1" applyFont="1" applyFill="1" applyBorder="1" applyAlignment="1">
      <alignment horizontal="center"/>
    </xf>
    <xf numFmtId="172" fontId="9" fillId="51" borderId="112" xfId="0" applyNumberFormat="1" applyFont="1" applyFill="1" applyBorder="1" applyAlignment="1">
      <alignment horizontal="center"/>
    </xf>
    <xf numFmtId="172" fontId="9" fillId="51" borderId="120" xfId="0" applyNumberFormat="1" applyFont="1" applyFill="1" applyBorder="1" applyAlignment="1">
      <alignment horizontal="center" wrapText="1"/>
    </xf>
    <xf numFmtId="172" fontId="9" fillId="51" borderId="121" xfId="0" applyNumberFormat="1" applyFont="1" applyFill="1" applyBorder="1" applyAlignment="1">
      <alignment horizontal="center" wrapText="1"/>
    </xf>
    <xf numFmtId="172" fontId="9" fillId="51" borderId="114" xfId="0" applyNumberFormat="1" applyFont="1" applyFill="1" applyBorder="1" applyAlignment="1">
      <alignment horizontal="center" wrapText="1"/>
    </xf>
    <xf numFmtId="0" fontId="16" fillId="51" borderId="219" xfId="0" applyFont="1" applyFill="1" applyBorder="1" applyAlignment="1">
      <alignment horizontal="center"/>
    </xf>
    <xf numFmtId="0" fontId="16" fillId="51" borderId="87" xfId="0" applyFont="1" applyFill="1" applyBorder="1" applyAlignment="1">
      <alignment horizontal="center"/>
    </xf>
    <xf numFmtId="3" fontId="6" fillId="51" borderId="212" xfId="795" applyNumberFormat="1" applyFont="1" applyFill="1" applyBorder="1" applyAlignment="1">
      <alignment horizontal="center" vertical="center" wrapText="1"/>
    </xf>
    <xf numFmtId="3" fontId="6" fillId="51" borderId="98" xfId="795" applyNumberFormat="1" applyFont="1" applyFill="1" applyBorder="1" applyAlignment="1">
      <alignment horizontal="center" vertical="center" wrapText="1"/>
    </xf>
    <xf numFmtId="3" fontId="6" fillId="51" borderId="213" xfId="795" applyNumberFormat="1" applyFont="1" applyFill="1" applyBorder="1" applyAlignment="1">
      <alignment horizontal="center" vertical="center" wrapText="1"/>
    </xf>
    <xf numFmtId="172" fontId="6" fillId="51" borderId="131" xfId="0" applyNumberFormat="1" applyFont="1" applyFill="1" applyBorder="1" applyAlignment="1">
      <alignment horizontal="center" vertical="center"/>
    </xf>
    <xf numFmtId="172" fontId="6" fillId="51" borderId="155" xfId="0" applyNumberFormat="1" applyFont="1" applyFill="1" applyBorder="1" applyAlignment="1">
      <alignment horizontal="center" vertical="center"/>
    </xf>
    <xf numFmtId="172" fontId="6" fillId="51" borderId="132" xfId="0" applyNumberFormat="1" applyFont="1" applyFill="1" applyBorder="1" applyAlignment="1">
      <alignment horizontal="center" vertical="center"/>
    </xf>
    <xf numFmtId="0" fontId="50" fillId="0" borderId="0" xfId="0" applyFont="1" applyFill="1" applyBorder="1" applyAlignment="1">
      <alignment horizontal="left" wrapText="1"/>
    </xf>
    <xf numFmtId="0" fontId="12" fillId="51" borderId="216" xfId="795" applyFont="1" applyFill="1" applyBorder="1" applyAlignment="1">
      <alignment horizontal="center" vertical="center" textRotation="90" wrapText="1"/>
    </xf>
    <xf numFmtId="0" fontId="12" fillId="51" borderId="217" xfId="795" applyFont="1" applyFill="1" applyBorder="1" applyAlignment="1">
      <alignment horizontal="center" vertical="center" textRotation="90" wrapText="1"/>
    </xf>
    <xf numFmtId="0" fontId="12" fillId="51" borderId="103" xfId="795" applyFont="1" applyFill="1" applyBorder="1" applyAlignment="1">
      <alignment horizontal="center" vertical="center" textRotation="90" wrapText="1"/>
    </xf>
    <xf numFmtId="0" fontId="16" fillId="30" borderId="219" xfId="0" applyFont="1" applyFill="1" applyBorder="1" applyAlignment="1">
      <alignment horizontal="center"/>
    </xf>
    <xf numFmtId="0" fontId="16" fillId="30" borderId="44" xfId="0" applyFont="1" applyFill="1" applyBorder="1" applyAlignment="1">
      <alignment horizontal="center"/>
    </xf>
    <xf numFmtId="172" fontId="9" fillId="51" borderId="131" xfId="0" applyNumberFormat="1" applyFont="1" applyFill="1" applyBorder="1" applyAlignment="1">
      <alignment horizontal="center" vertical="center"/>
    </xf>
    <xf numFmtId="172" fontId="9" fillId="51" borderId="155" xfId="0" applyNumberFormat="1" applyFont="1" applyFill="1" applyBorder="1" applyAlignment="1">
      <alignment horizontal="center" vertical="center"/>
    </xf>
    <xf numFmtId="172" fontId="9" fillId="51" borderId="132" xfId="0" applyNumberFormat="1" applyFont="1" applyFill="1" applyBorder="1" applyAlignment="1">
      <alignment horizontal="center" vertical="center"/>
    </xf>
    <xf numFmtId="3" fontId="9" fillId="51" borderId="212" xfId="795" applyNumberFormat="1" applyFont="1" applyFill="1" applyBorder="1" applyAlignment="1">
      <alignment horizontal="center" vertical="center" wrapText="1"/>
    </xf>
    <xf numFmtId="3" fontId="9" fillId="51" borderId="98" xfId="795" applyNumberFormat="1" applyFont="1" applyFill="1" applyBorder="1" applyAlignment="1">
      <alignment horizontal="center" vertical="center" wrapText="1"/>
    </xf>
    <xf numFmtId="3" fontId="9" fillId="51" borderId="213" xfId="795" applyNumberFormat="1" applyFont="1" applyFill="1" applyBorder="1" applyAlignment="1">
      <alignment horizontal="center" vertical="center" wrapText="1"/>
    </xf>
    <xf numFmtId="0" fontId="59" fillId="0" borderId="0" xfId="0" applyFont="1" applyBorder="1" applyAlignment="1">
      <alignment horizontal="left" wrapText="1"/>
    </xf>
    <xf numFmtId="0" fontId="16" fillId="33" borderId="220" xfId="0" applyFont="1" applyFill="1" applyBorder="1" applyAlignment="1">
      <alignment horizontal="center" vertical="center" wrapText="1"/>
    </xf>
    <xf numFmtId="0" fontId="16" fillId="33" borderId="49" xfId="0" applyFont="1" applyFill="1" applyBorder="1" applyAlignment="1">
      <alignment horizontal="center" vertical="center" wrapText="1"/>
    </xf>
    <xf numFmtId="0" fontId="16" fillId="33" borderId="178" xfId="0" applyFont="1" applyFill="1" applyBorder="1" applyAlignment="1">
      <alignment horizontal="center" vertical="center" wrapText="1"/>
    </xf>
    <xf numFmtId="0" fontId="17" fillId="33" borderId="113" xfId="0" applyFont="1" applyFill="1" applyBorder="1" applyAlignment="1">
      <alignment horizontal="center" vertical="center" wrapText="1"/>
    </xf>
    <xf numFmtId="0" fontId="17" fillId="33" borderId="64" xfId="0" applyFont="1" applyFill="1" applyBorder="1" applyAlignment="1">
      <alignment horizontal="center" vertical="center" wrapText="1"/>
    </xf>
    <xf numFmtId="0" fontId="17" fillId="33" borderId="112" xfId="0" applyFont="1" applyFill="1" applyBorder="1" applyAlignment="1">
      <alignment horizontal="center" vertical="center" wrapText="1"/>
    </xf>
    <xf numFmtId="3" fontId="16" fillId="30" borderId="119" xfId="0" applyNumberFormat="1" applyFont="1" applyFill="1" applyBorder="1" applyAlignment="1">
      <alignment horizontal="center" vertical="center" wrapText="1"/>
    </xf>
    <xf numFmtId="0" fontId="17" fillId="30" borderId="33" xfId="0" applyFont="1" applyFill="1" applyBorder="1" applyAlignment="1">
      <alignment horizontal="center" vertical="center" wrapText="1"/>
    </xf>
    <xf numFmtId="0" fontId="17" fillId="30" borderId="138" xfId="0" applyFont="1" applyFill="1" applyBorder="1" applyAlignment="1">
      <alignment horizontal="center" vertical="center" wrapText="1"/>
    </xf>
    <xf numFmtId="0" fontId="16" fillId="34" borderId="49" xfId="0" applyFont="1" applyFill="1" applyBorder="1" applyAlignment="1">
      <alignment horizontal="center" vertical="center" wrapText="1"/>
    </xf>
    <xf numFmtId="0" fontId="16" fillId="34" borderId="178" xfId="0" applyFont="1" applyFill="1" applyBorder="1" applyAlignment="1">
      <alignment horizontal="center" vertical="center" wrapText="1"/>
    </xf>
    <xf numFmtId="0" fontId="17" fillId="34" borderId="64" xfId="0" applyFont="1" applyFill="1" applyBorder="1" applyAlignment="1">
      <alignment horizontal="center" vertical="center" wrapText="1"/>
    </xf>
    <xf numFmtId="0" fontId="17" fillId="34" borderId="112" xfId="0" applyFont="1" applyFill="1" applyBorder="1" applyAlignment="1">
      <alignment horizontal="center" vertical="center" wrapText="1"/>
    </xf>
    <xf numFmtId="3" fontId="16" fillId="34" borderId="119" xfId="0" applyNumberFormat="1" applyFont="1" applyFill="1" applyBorder="1" applyAlignment="1">
      <alignment horizontal="center" vertical="center" wrapText="1"/>
    </xf>
    <xf numFmtId="0" fontId="17" fillId="34" borderId="33" xfId="0" applyFont="1" applyFill="1" applyBorder="1" applyAlignment="1">
      <alignment horizontal="center" vertical="center" wrapText="1"/>
    </xf>
    <xf numFmtId="0" fontId="17" fillId="34" borderId="138" xfId="0" applyFont="1" applyFill="1" applyBorder="1" applyAlignment="1">
      <alignment horizontal="center" vertical="center" wrapText="1"/>
    </xf>
    <xf numFmtId="0" fontId="16" fillId="30" borderId="55" xfId="0" applyFont="1" applyFill="1" applyBorder="1" applyAlignment="1">
      <alignment horizontal="center" vertical="center" wrapText="1"/>
    </xf>
    <xf numFmtId="0" fontId="16" fillId="30" borderId="49" xfId="0" applyFont="1" applyFill="1" applyBorder="1" applyAlignment="1">
      <alignment horizontal="center" vertical="center" wrapText="1"/>
    </xf>
    <xf numFmtId="0" fontId="16" fillId="30" borderId="178" xfId="0" applyFont="1" applyFill="1" applyBorder="1" applyAlignment="1">
      <alignment horizontal="center" vertical="center" wrapText="1"/>
    </xf>
    <xf numFmtId="0" fontId="16" fillId="0" borderId="152" xfId="0" applyFont="1" applyBorder="1" applyAlignment="1">
      <alignment horizontal="center" vertical="center" wrapText="1"/>
    </xf>
    <xf numFmtId="0" fontId="16" fillId="0" borderId="64" xfId="0" applyFont="1" applyBorder="1" applyAlignment="1">
      <alignment horizontal="center" vertical="center" wrapText="1"/>
    </xf>
    <xf numFmtId="0" fontId="16" fillId="0" borderId="112" xfId="0" applyFont="1" applyBorder="1" applyAlignment="1">
      <alignment horizontal="center" vertical="center" wrapText="1"/>
    </xf>
    <xf numFmtId="0" fontId="16" fillId="30" borderId="120" xfId="0" applyFont="1" applyFill="1" applyBorder="1" applyAlignment="1">
      <alignment horizontal="center" vertical="center" wrapText="1"/>
    </xf>
    <xf numFmtId="0" fontId="17" fillId="0" borderId="121" xfId="0" applyFont="1" applyBorder="1" applyAlignment="1">
      <alignment horizontal="center" vertical="center" wrapText="1"/>
    </xf>
    <xf numFmtId="0" fontId="17" fillId="0" borderId="190" xfId="0" applyFont="1" applyBorder="1" applyAlignment="1">
      <alignment horizontal="center" vertical="center" wrapText="1"/>
    </xf>
    <xf numFmtId="0" fontId="16" fillId="28" borderId="216" xfId="0" applyFont="1" applyFill="1" applyBorder="1" applyAlignment="1">
      <alignment horizontal="center" vertical="center" wrapText="1"/>
    </xf>
    <xf numFmtId="0" fontId="16" fillId="28" borderId="217" xfId="0" applyFont="1" applyFill="1" applyBorder="1" applyAlignment="1">
      <alignment horizontal="center" vertical="center" wrapText="1"/>
    </xf>
    <xf numFmtId="0" fontId="16" fillId="28" borderId="163" xfId="0" applyFont="1" applyFill="1" applyBorder="1" applyAlignment="1">
      <alignment horizontal="center" vertical="center" wrapText="1"/>
    </xf>
    <xf numFmtId="0" fontId="16" fillId="59" borderId="144" xfId="0" applyFont="1" applyFill="1" applyBorder="1" applyAlignment="1">
      <alignment horizontal="center" vertical="center" wrapText="1"/>
    </xf>
    <xf numFmtId="0" fontId="16" fillId="59" borderId="204" xfId="0" applyFont="1" applyFill="1" applyBorder="1" applyAlignment="1">
      <alignment horizontal="center" vertical="center" wrapText="1"/>
    </xf>
    <xf numFmtId="0" fontId="16" fillId="59" borderId="76" xfId="0" applyFont="1" applyFill="1" applyBorder="1" applyAlignment="1">
      <alignment horizontal="center" vertical="center" wrapText="1"/>
    </xf>
    <xf numFmtId="0" fontId="31" fillId="0" borderId="49" xfId="0" applyFont="1" applyFill="1" applyBorder="1" applyAlignment="1">
      <alignment horizontal="left"/>
    </xf>
    <xf numFmtId="3" fontId="16" fillId="28" borderId="119" xfId="0" applyNumberFormat="1" applyFont="1" applyFill="1" applyBorder="1" applyAlignment="1">
      <alignment horizontal="center" vertical="center" wrapText="1"/>
    </xf>
    <xf numFmtId="0" fontId="17" fillId="28" borderId="33" xfId="0" applyFont="1" applyFill="1" applyBorder="1" applyAlignment="1">
      <alignment horizontal="center" vertical="center" wrapText="1"/>
    </xf>
    <xf numFmtId="0" fontId="17" fillId="28" borderId="138" xfId="0" applyFont="1" applyFill="1" applyBorder="1" applyAlignment="1">
      <alignment horizontal="center" vertical="center" wrapText="1"/>
    </xf>
    <xf numFmtId="3" fontId="16" fillId="59" borderId="220" xfId="0" applyNumberFormat="1" applyFont="1" applyFill="1" applyBorder="1" applyAlignment="1">
      <alignment horizontal="center" vertical="center" wrapText="1"/>
    </xf>
    <xf numFmtId="0" fontId="17" fillId="59" borderId="136" xfId="0" applyFont="1" applyFill="1" applyBorder="1" applyAlignment="1">
      <alignment horizontal="center" vertical="center" wrapText="1"/>
    </xf>
    <xf numFmtId="0" fontId="17" fillId="59" borderId="138" xfId="0" applyFont="1" applyFill="1" applyBorder="1" applyAlignment="1">
      <alignment horizontal="center" vertical="center" wrapText="1"/>
    </xf>
    <xf numFmtId="0" fontId="5" fillId="0" borderId="40" xfId="794" applyFont="1" applyBorder="1" applyAlignment="1">
      <alignment horizontal="justify" vertical="center" wrapText="1"/>
    </xf>
    <xf numFmtId="165" fontId="14" fillId="0" borderId="195" xfId="816" applyNumberFormat="1" applyFont="1" applyFill="1" applyBorder="1" applyAlignment="1">
      <alignment vertical="center" wrapText="1"/>
    </xf>
    <xf numFmtId="0" fontId="14" fillId="0" borderId="195" xfId="794" applyFont="1" applyFill="1" applyBorder="1" applyAlignment="1">
      <alignment vertical="center" wrapText="1"/>
    </xf>
    <xf numFmtId="0" fontId="14" fillId="0" borderId="194" xfId="794" applyFont="1" applyBorder="1" applyAlignment="1">
      <alignment horizontal="center" vertical="center" wrapText="1"/>
    </xf>
    <xf numFmtId="0" fontId="5" fillId="0" borderId="40" xfId="794" applyFont="1" applyBorder="1" applyAlignment="1">
      <alignment horizontal="left" vertical="center" wrapText="1"/>
    </xf>
    <xf numFmtId="0" fontId="14" fillId="0" borderId="0" xfId="794" applyFont="1" applyBorder="1" applyAlignment="1">
      <alignment horizontal="left" wrapText="1"/>
    </xf>
    <xf numFmtId="0" fontId="70" fillId="0" borderId="0" xfId="794" applyFont="1" applyBorder="1" applyAlignment="1">
      <alignment horizontal="left" wrapText="1"/>
    </xf>
    <xf numFmtId="0" fontId="158" fillId="30" borderId="215" xfId="794" applyFont="1" applyFill="1" applyBorder="1" applyAlignment="1">
      <alignment horizontal="center" wrapText="1"/>
    </xf>
    <xf numFmtId="0" fontId="158" fillId="30" borderId="98" xfId="794" applyFont="1" applyFill="1" applyBorder="1" applyAlignment="1">
      <alignment horizontal="center" wrapText="1"/>
    </xf>
    <xf numFmtId="0" fontId="158" fillId="30" borderId="201" xfId="794" applyFont="1" applyFill="1" applyBorder="1" applyAlignment="1">
      <alignment horizontal="center" wrapText="1"/>
    </xf>
    <xf numFmtId="0" fontId="5" fillId="0" borderId="40" xfId="794" applyFont="1" applyFill="1" applyBorder="1" applyAlignment="1">
      <alignment horizontal="justify" vertical="center" wrapText="1"/>
    </xf>
    <xf numFmtId="0" fontId="46" fillId="0" borderId="49" xfId="0" applyFont="1" applyBorder="1" applyAlignment="1">
      <alignment wrapText="1"/>
    </xf>
    <xf numFmtId="0" fontId="5" fillId="0" borderId="49" xfId="0" applyFont="1" applyBorder="1" applyAlignment="1">
      <alignment wrapText="1"/>
    </xf>
    <xf numFmtId="0" fontId="14" fillId="0" borderId="221" xfId="794" applyFont="1" applyBorder="1" applyAlignment="1">
      <alignment horizontal="center" vertical="center" wrapText="1"/>
    </xf>
    <xf numFmtId="0" fontId="14" fillId="0" borderId="152" xfId="794" applyFont="1" applyBorder="1" applyAlignment="1">
      <alignment horizontal="center" vertical="center" wrapText="1"/>
    </xf>
    <xf numFmtId="0" fontId="5" fillId="29" borderId="42" xfId="794" applyFont="1" applyFill="1" applyBorder="1" applyAlignment="1">
      <alignment horizontal="center" vertical="center"/>
    </xf>
    <xf numFmtId="0" fontId="5" fillId="29" borderId="112" xfId="794" applyFont="1" applyFill="1" applyBorder="1" applyAlignment="1">
      <alignment horizontal="center" vertical="center"/>
    </xf>
    <xf numFmtId="0" fontId="5" fillId="0" borderId="31" xfId="794" applyFont="1" applyBorder="1" applyAlignment="1">
      <alignment horizontal="center" vertical="center" wrapText="1"/>
    </xf>
    <xf numFmtId="0" fontId="5" fillId="0" borderId="39" xfId="794" applyFont="1" applyBorder="1" applyAlignment="1">
      <alignment horizontal="center" vertical="center" wrapText="1"/>
    </xf>
    <xf numFmtId="0" fontId="14" fillId="0" borderId="222" xfId="794" applyFont="1" applyBorder="1" applyAlignment="1">
      <alignment horizontal="center" vertical="center" wrapText="1"/>
    </xf>
    <xf numFmtId="0" fontId="14" fillId="0" borderId="218" xfId="794" applyFont="1" applyBorder="1" applyAlignment="1">
      <alignment horizontal="center" vertical="center" wrapText="1"/>
    </xf>
    <xf numFmtId="0" fontId="5" fillId="29" borderId="33" xfId="794" applyFont="1" applyFill="1" applyBorder="1" applyAlignment="1">
      <alignment horizontal="center" vertical="center" wrapText="1"/>
    </xf>
    <xf numFmtId="0" fontId="5" fillId="29" borderId="39" xfId="794" applyFont="1" applyFill="1" applyBorder="1" applyAlignment="1">
      <alignment horizontal="center" vertical="center" wrapText="1"/>
    </xf>
    <xf numFmtId="0" fontId="5" fillId="29" borderId="31" xfId="794" applyFont="1" applyFill="1" applyBorder="1" applyAlignment="1">
      <alignment horizontal="center" vertical="center" wrapText="1"/>
    </xf>
  </cellXfs>
  <cellStyles count="855">
    <cellStyle name="%20 - Vurgu1" xfId="1" builtinId="30" customBuiltin="1"/>
    <cellStyle name="%20 - Vurgu1 2" xfId="2"/>
    <cellStyle name="%20 - Vurgu1 2 2" xfId="3"/>
    <cellStyle name="%20 - Vurgu1 2 3" xfId="4"/>
    <cellStyle name="%20 - Vurgu1 2_25.İL-EMOD-Öncelikli Yaşam" xfId="5"/>
    <cellStyle name="%20 - Vurgu1 3" xfId="6"/>
    <cellStyle name="%20 - Vurgu1 3 2" xfId="7"/>
    <cellStyle name="%20 - Vurgu1 3 3" xfId="8"/>
    <cellStyle name="%20 - Vurgu1 4" xfId="9"/>
    <cellStyle name="%20 - Vurgu1 4 2" xfId="10"/>
    <cellStyle name="%20 - Vurgu1 4 3" xfId="11"/>
    <cellStyle name="%20 - Vurgu2" xfId="12" builtinId="34" customBuiltin="1"/>
    <cellStyle name="%20 - Vurgu2 2" xfId="13"/>
    <cellStyle name="%20 - Vurgu2 2 2" xfId="14"/>
    <cellStyle name="%20 - Vurgu2 2 3" xfId="15"/>
    <cellStyle name="%20 - Vurgu2 2_25.İL-EMOD-Öncelikli Yaşam" xfId="16"/>
    <cellStyle name="%20 - Vurgu2 3" xfId="17"/>
    <cellStyle name="%20 - Vurgu2 3 2" xfId="18"/>
    <cellStyle name="%20 - Vurgu2 3 3" xfId="19"/>
    <cellStyle name="%20 - Vurgu2 4" xfId="20"/>
    <cellStyle name="%20 - Vurgu2 4 2" xfId="21"/>
    <cellStyle name="%20 - Vurgu2 4 3" xfId="22"/>
    <cellStyle name="%20 - Vurgu3" xfId="23" builtinId="38" customBuiltin="1"/>
    <cellStyle name="%20 - Vurgu3 2" xfId="24"/>
    <cellStyle name="%20 - Vurgu3 2 2" xfId="25"/>
    <cellStyle name="%20 - Vurgu3 2 3" xfId="26"/>
    <cellStyle name="%20 - Vurgu3 2_25.İL-EMOD-Öncelikli Yaşam" xfId="27"/>
    <cellStyle name="%20 - Vurgu3 3" xfId="28"/>
    <cellStyle name="%20 - Vurgu3 3 2" xfId="29"/>
    <cellStyle name="%20 - Vurgu3 3 3" xfId="30"/>
    <cellStyle name="%20 - Vurgu3 4" xfId="31"/>
    <cellStyle name="%20 - Vurgu3 4 2" xfId="32"/>
    <cellStyle name="%20 - Vurgu3 4 3" xfId="33"/>
    <cellStyle name="%20 - Vurgu4" xfId="34" builtinId="42" customBuiltin="1"/>
    <cellStyle name="%20 - Vurgu4 2" xfId="35"/>
    <cellStyle name="%20 - Vurgu4 2 2" xfId="36"/>
    <cellStyle name="%20 - Vurgu4 2 3" xfId="37"/>
    <cellStyle name="%20 - Vurgu4 2_25.İL-EMOD-Öncelikli Yaşam" xfId="38"/>
    <cellStyle name="%20 - Vurgu4 3" xfId="39"/>
    <cellStyle name="%20 - Vurgu4 3 2" xfId="40"/>
    <cellStyle name="%20 - Vurgu4 3 3" xfId="41"/>
    <cellStyle name="%20 - Vurgu4 4" xfId="42"/>
    <cellStyle name="%20 - Vurgu4 4 2" xfId="43"/>
    <cellStyle name="%20 - Vurgu4 4 3" xfId="44"/>
    <cellStyle name="%20 - Vurgu5" xfId="45" builtinId="46" customBuiltin="1"/>
    <cellStyle name="%20 - Vurgu5 2" xfId="46"/>
    <cellStyle name="%20 - Vurgu5 2 2" xfId="47"/>
    <cellStyle name="%20 - Vurgu5 2 3" xfId="48"/>
    <cellStyle name="%20 - Vurgu5 2_25.İL-EMOD-Öncelikli Yaşam" xfId="49"/>
    <cellStyle name="%20 - Vurgu5 3" xfId="50"/>
    <cellStyle name="%20 - Vurgu5 3 2" xfId="51"/>
    <cellStyle name="%20 - Vurgu5 3 3" xfId="52"/>
    <cellStyle name="%20 - Vurgu5 4" xfId="53"/>
    <cellStyle name="%20 - Vurgu5 4 2" xfId="54"/>
    <cellStyle name="%20 - Vurgu5 4 3" xfId="55"/>
    <cellStyle name="%20 - Vurgu6" xfId="56" builtinId="50" customBuiltin="1"/>
    <cellStyle name="%20 - Vurgu6 2" xfId="57"/>
    <cellStyle name="%20 - Vurgu6 2 2" xfId="58"/>
    <cellStyle name="%20 - Vurgu6 2 3" xfId="59"/>
    <cellStyle name="%20 - Vurgu6 2_25.İL-EMOD-Öncelikli Yaşam" xfId="60"/>
    <cellStyle name="%20 - Vurgu6 3" xfId="61"/>
    <cellStyle name="%20 - Vurgu6 3 2" xfId="62"/>
    <cellStyle name="%20 - Vurgu6 3 3" xfId="63"/>
    <cellStyle name="%20 - Vurgu6 4" xfId="64"/>
    <cellStyle name="%20 - Vurgu6 4 2" xfId="65"/>
    <cellStyle name="%20 - Vurgu6 4 3" xfId="66"/>
    <cellStyle name="%40 - Vurgu1" xfId="67" builtinId="31" customBuiltin="1"/>
    <cellStyle name="%40 - Vurgu1 2" xfId="68"/>
    <cellStyle name="%40 - Vurgu1 2 2" xfId="69"/>
    <cellStyle name="%40 - Vurgu1 2 3" xfId="70"/>
    <cellStyle name="%40 - Vurgu1 2_25.İL-EMOD-Öncelikli Yaşam" xfId="71"/>
    <cellStyle name="%40 - Vurgu1 3" xfId="72"/>
    <cellStyle name="%40 - Vurgu1 3 2" xfId="73"/>
    <cellStyle name="%40 - Vurgu1 3 3" xfId="74"/>
    <cellStyle name="%40 - Vurgu1 4" xfId="75"/>
    <cellStyle name="%40 - Vurgu1 4 2" xfId="76"/>
    <cellStyle name="%40 - Vurgu1 4 3" xfId="77"/>
    <cellStyle name="%40 - Vurgu2" xfId="78" builtinId="35" customBuiltin="1"/>
    <cellStyle name="%40 - Vurgu2 2" xfId="79"/>
    <cellStyle name="%40 - Vurgu2 2 2" xfId="80"/>
    <cellStyle name="%40 - Vurgu2 2 3" xfId="81"/>
    <cellStyle name="%40 - Vurgu2 2_25.İL-EMOD-Öncelikli Yaşam" xfId="82"/>
    <cellStyle name="%40 - Vurgu2 3" xfId="83"/>
    <cellStyle name="%40 - Vurgu2 3 2" xfId="84"/>
    <cellStyle name="%40 - Vurgu2 3 3" xfId="85"/>
    <cellStyle name="%40 - Vurgu2 4" xfId="86"/>
    <cellStyle name="%40 - Vurgu2 4 2" xfId="87"/>
    <cellStyle name="%40 - Vurgu2 4 3" xfId="88"/>
    <cellStyle name="%40 - Vurgu3" xfId="89" builtinId="39" customBuiltin="1"/>
    <cellStyle name="%40 - Vurgu3 2" xfId="90"/>
    <cellStyle name="%40 - Vurgu3 2 2" xfId="91"/>
    <cellStyle name="%40 - Vurgu3 2 3" xfId="92"/>
    <cellStyle name="%40 - Vurgu3 2_25.İL-EMOD-Öncelikli Yaşam" xfId="93"/>
    <cellStyle name="%40 - Vurgu3 3" xfId="94"/>
    <cellStyle name="%40 - Vurgu3 3 2" xfId="95"/>
    <cellStyle name="%40 - Vurgu3 3 3" xfId="96"/>
    <cellStyle name="%40 - Vurgu3 4" xfId="97"/>
    <cellStyle name="%40 - Vurgu3 4 2" xfId="98"/>
    <cellStyle name="%40 - Vurgu3 4 3" xfId="99"/>
    <cellStyle name="%40 - Vurgu4" xfId="100" builtinId="43" customBuiltin="1"/>
    <cellStyle name="%40 - Vurgu4 2" xfId="101"/>
    <cellStyle name="%40 - Vurgu4 2 2" xfId="102"/>
    <cellStyle name="%40 - Vurgu4 2 3" xfId="103"/>
    <cellStyle name="%40 - Vurgu4 2_25.İL-EMOD-Öncelikli Yaşam" xfId="104"/>
    <cellStyle name="%40 - Vurgu4 3" xfId="105"/>
    <cellStyle name="%40 - Vurgu4 3 2" xfId="106"/>
    <cellStyle name="%40 - Vurgu4 3 3" xfId="107"/>
    <cellStyle name="%40 - Vurgu4 4" xfId="108"/>
    <cellStyle name="%40 - Vurgu4 4 2" xfId="109"/>
    <cellStyle name="%40 - Vurgu4 4 3" xfId="110"/>
    <cellStyle name="%40 - Vurgu5" xfId="111" builtinId="47" customBuiltin="1"/>
    <cellStyle name="%40 - Vurgu5 2" xfId="112"/>
    <cellStyle name="%40 - Vurgu5 2 2" xfId="113"/>
    <cellStyle name="%40 - Vurgu5 2 3" xfId="114"/>
    <cellStyle name="%40 - Vurgu5 2_25.İL-EMOD-Öncelikli Yaşam" xfId="115"/>
    <cellStyle name="%40 - Vurgu5 3" xfId="116"/>
    <cellStyle name="%40 - Vurgu5 3 2" xfId="117"/>
    <cellStyle name="%40 - Vurgu5 3 3" xfId="118"/>
    <cellStyle name="%40 - Vurgu5 4" xfId="119"/>
    <cellStyle name="%40 - Vurgu5 4 2" xfId="120"/>
    <cellStyle name="%40 - Vurgu5 4 3" xfId="121"/>
    <cellStyle name="%40 - Vurgu6" xfId="122" builtinId="51" customBuiltin="1"/>
    <cellStyle name="%40 - Vurgu6 2" xfId="123"/>
    <cellStyle name="%40 - Vurgu6 2 2" xfId="124"/>
    <cellStyle name="%40 - Vurgu6 2 3" xfId="125"/>
    <cellStyle name="%40 - Vurgu6 2_25.İL-EMOD-Öncelikli Yaşam" xfId="126"/>
    <cellStyle name="%40 - Vurgu6 3" xfId="127"/>
    <cellStyle name="%40 - Vurgu6 3 2" xfId="128"/>
    <cellStyle name="%40 - Vurgu6 3 3" xfId="129"/>
    <cellStyle name="%40 - Vurgu6 4" xfId="130"/>
    <cellStyle name="%40 - Vurgu6 4 2" xfId="131"/>
    <cellStyle name="%40 - Vurgu6 4 3" xfId="132"/>
    <cellStyle name="%60 - Vurgu1" xfId="133" builtinId="32" customBuiltin="1"/>
    <cellStyle name="%60 - Vurgu1 2" xfId="134"/>
    <cellStyle name="%60 - Vurgu1 3" xfId="135"/>
    <cellStyle name="%60 - Vurgu1 4" xfId="136"/>
    <cellStyle name="%60 - Vurgu2" xfId="137" builtinId="36" customBuiltin="1"/>
    <cellStyle name="%60 - Vurgu2 2" xfId="138"/>
    <cellStyle name="%60 - Vurgu2 3" xfId="139"/>
    <cellStyle name="%60 - Vurgu2 4" xfId="140"/>
    <cellStyle name="%60 - Vurgu3" xfId="141" builtinId="40" customBuiltin="1"/>
    <cellStyle name="%60 - Vurgu3 2" xfId="142"/>
    <cellStyle name="%60 - Vurgu3 3" xfId="143"/>
    <cellStyle name="%60 - Vurgu3 4" xfId="144"/>
    <cellStyle name="%60 - Vurgu4" xfId="145" builtinId="44" customBuiltin="1"/>
    <cellStyle name="%60 - Vurgu4 2" xfId="146"/>
    <cellStyle name="%60 - Vurgu4 3" xfId="147"/>
    <cellStyle name="%60 - Vurgu4 4" xfId="148"/>
    <cellStyle name="%60 - Vurgu5" xfId="149" builtinId="48" customBuiltin="1"/>
    <cellStyle name="%60 - Vurgu5 2" xfId="150"/>
    <cellStyle name="%60 - Vurgu5 3" xfId="151"/>
    <cellStyle name="%60 - Vurgu5 4" xfId="152"/>
    <cellStyle name="%60 - Vurgu6" xfId="153" builtinId="52" customBuiltin="1"/>
    <cellStyle name="%60 - Vurgu6 2" xfId="154"/>
    <cellStyle name="%60 - Vurgu6 3" xfId="155"/>
    <cellStyle name="%60 - Vurgu6 4" xfId="156"/>
    <cellStyle name="Açıklama Metni" xfId="157" builtinId="53" customBuiltin="1"/>
    <cellStyle name="Açıklama Metni 2" xfId="158"/>
    <cellStyle name="Açıklama Metni 3" xfId="159"/>
    <cellStyle name="Açıklama Metni 4" xfId="160"/>
    <cellStyle name="Ana Başlık" xfId="161" builtinId="15" customBuiltin="1"/>
    <cellStyle name="Ana Başlık 2" xfId="162"/>
    <cellStyle name="Ana Başlık 3" xfId="163"/>
    <cellStyle name="Ana Başlık 4" xfId="164"/>
    <cellStyle name="Bağlı Hücre" xfId="165" builtinId="24" customBuiltin="1"/>
    <cellStyle name="Bağlı Hücre 2" xfId="166"/>
    <cellStyle name="Bağlı Hücre 3" xfId="167"/>
    <cellStyle name="Bağlı Hücre 4" xfId="168"/>
    <cellStyle name="Başlık 1" xfId="169" builtinId="16" customBuiltin="1"/>
    <cellStyle name="Başlık 1 2" xfId="170"/>
    <cellStyle name="Başlık 1 3" xfId="171"/>
    <cellStyle name="Başlık 1 4" xfId="172"/>
    <cellStyle name="Başlık 2" xfId="173" builtinId="17" customBuiltin="1"/>
    <cellStyle name="Başlık 2 2" xfId="174"/>
    <cellStyle name="Başlık 2 3" xfId="175"/>
    <cellStyle name="Başlık 2 4" xfId="176"/>
    <cellStyle name="Başlık 3" xfId="177" builtinId="18" customBuiltin="1"/>
    <cellStyle name="Başlık 3 2" xfId="178"/>
    <cellStyle name="Başlık 3 3" xfId="179"/>
    <cellStyle name="Başlık 3 4" xfId="180"/>
    <cellStyle name="Başlık 4" xfId="181" builtinId="19" customBuiltin="1"/>
    <cellStyle name="Başlık 4 2" xfId="182"/>
    <cellStyle name="Başlık 4 3" xfId="183"/>
    <cellStyle name="Başlık 4 4" xfId="184"/>
    <cellStyle name="Binlik Ayracı [0]_2010 ist yıl 4-b 2926" xfId="185"/>
    <cellStyle name="Binlik Ayracı [0]_4-b (1479) 2009 aylıkalanlar" xfId="186"/>
    <cellStyle name="Binlik Ayracı_MYÖ2" xfId="187"/>
    <cellStyle name="Comma 2" xfId="188"/>
    <cellStyle name="Comma 2 2" xfId="189"/>
    <cellStyle name="Çıkış" xfId="190" builtinId="21" customBuiltin="1"/>
    <cellStyle name="Çıkış 2" xfId="191"/>
    <cellStyle name="Çıkış 3" xfId="192"/>
    <cellStyle name="Çıkış 4" xfId="193"/>
    <cellStyle name="Giriş" xfId="194" builtinId="20" customBuiltin="1"/>
    <cellStyle name="Giriş 2" xfId="195"/>
    <cellStyle name="Giriş 3" xfId="196"/>
    <cellStyle name="Giriş 4" xfId="197"/>
    <cellStyle name="Hesaplama" xfId="198" builtinId="22" customBuiltin="1"/>
    <cellStyle name="Hesaplama 2" xfId="199"/>
    <cellStyle name="Hesaplama 3" xfId="200"/>
    <cellStyle name="Hesaplama 4" xfId="201"/>
    <cellStyle name="Hyperlink" xfId="202"/>
    <cellStyle name="İşaretli Hücre" xfId="203" builtinId="23" customBuiltin="1"/>
    <cellStyle name="İşaretli Hücre 2" xfId="204"/>
    <cellStyle name="İşaretli Hücre 3" xfId="205"/>
    <cellStyle name="İşaretli Hücre 4" xfId="206"/>
    <cellStyle name="İyi" xfId="207" builtinId="26" customBuiltin="1"/>
    <cellStyle name="İyi 2" xfId="208"/>
    <cellStyle name="İyi 3" xfId="209"/>
    <cellStyle name="İyi 4" xfId="210"/>
    <cellStyle name="İzlenen Köprü 2" xfId="211"/>
    <cellStyle name="Köprü 2" xfId="212"/>
    <cellStyle name="Köprü 3" xfId="213"/>
    <cellStyle name="Kötü" xfId="214" builtinId="27" customBuiltin="1"/>
    <cellStyle name="Kötü 2" xfId="215"/>
    <cellStyle name="Kötü 3" xfId="216"/>
    <cellStyle name="Kötü 4" xfId="217"/>
    <cellStyle name="Normal" xfId="0" builtinId="0"/>
    <cellStyle name="Normal 10" xfId="218"/>
    <cellStyle name="Normal 10 2" xfId="219"/>
    <cellStyle name="Normal 100" xfId="220"/>
    <cellStyle name="Normal 101" xfId="221"/>
    <cellStyle name="Normal 102" xfId="222"/>
    <cellStyle name="Normal 103" xfId="223"/>
    <cellStyle name="Normal 104" xfId="224"/>
    <cellStyle name="Normal 105" xfId="225"/>
    <cellStyle name="Normal 105 2" xfId="226"/>
    <cellStyle name="Normal 106" xfId="227"/>
    <cellStyle name="Normal 107" xfId="228"/>
    <cellStyle name="Normal 108" xfId="229"/>
    <cellStyle name="Normal 109" xfId="230"/>
    <cellStyle name="Normal 11" xfId="231"/>
    <cellStyle name="Normal 11 10" xfId="232"/>
    <cellStyle name="Normal 11 11" xfId="233"/>
    <cellStyle name="Normal 11 12" xfId="234"/>
    <cellStyle name="Normal 11 2" xfId="235"/>
    <cellStyle name="Normal 11 2 2" xfId="236"/>
    <cellStyle name="Normal 11 2 3" xfId="237"/>
    <cellStyle name="Normal 11 3" xfId="238"/>
    <cellStyle name="Normal 11 3 2" xfId="239"/>
    <cellStyle name="Normal 11 3 3" xfId="240"/>
    <cellStyle name="Normal 11 4" xfId="241"/>
    <cellStyle name="Normal 11 4 2" xfId="242"/>
    <cellStyle name="Normal 11 4 3" xfId="243"/>
    <cellStyle name="Normal 11 5" xfId="244"/>
    <cellStyle name="Normal 11 5 2" xfId="245"/>
    <cellStyle name="Normal 11 5 3" xfId="246"/>
    <cellStyle name="Normal 11 6" xfId="247"/>
    <cellStyle name="Normal 11 6 2" xfId="248"/>
    <cellStyle name="Normal 11 6 3" xfId="249"/>
    <cellStyle name="Normal 11 7" xfId="250"/>
    <cellStyle name="Normal 11 7 2" xfId="251"/>
    <cellStyle name="Normal 11 7 3" xfId="252"/>
    <cellStyle name="Normal 11 8" xfId="253"/>
    <cellStyle name="Normal 11 8 2" xfId="254"/>
    <cellStyle name="Normal 11 8 3" xfId="255"/>
    <cellStyle name="Normal 11 9" xfId="256"/>
    <cellStyle name="Normal 110" xfId="257"/>
    <cellStyle name="Normal 12" xfId="258"/>
    <cellStyle name="Normal 12 2" xfId="259"/>
    <cellStyle name="Normal 12 2 2" xfId="260"/>
    <cellStyle name="Normal 12 2 3" xfId="261"/>
    <cellStyle name="Normal 12 3" xfId="262"/>
    <cellStyle name="Normal 12 4" xfId="263"/>
    <cellStyle name="Normal 13" xfId="264"/>
    <cellStyle name="Normal 13 2" xfId="265"/>
    <cellStyle name="Normal 13 2 2" xfId="266"/>
    <cellStyle name="Normal 13 2 3" xfId="267"/>
    <cellStyle name="Normal 13 3" xfId="268"/>
    <cellStyle name="Normal 13 4" xfId="269"/>
    <cellStyle name="Normal 14" xfId="270"/>
    <cellStyle name="Normal 14 2" xfId="271"/>
    <cellStyle name="Normal 14 2 2" xfId="272"/>
    <cellStyle name="Normal 14 2 3" xfId="273"/>
    <cellStyle name="Normal 14 3" xfId="274"/>
    <cellStyle name="Normal 15" xfId="275"/>
    <cellStyle name="Normal 15 2" xfId="276"/>
    <cellStyle name="Normal 16" xfId="277"/>
    <cellStyle name="Normal 16 2" xfId="278"/>
    <cellStyle name="Normal 16 2 2" xfId="279"/>
    <cellStyle name="Normal 16 2 3" xfId="280"/>
    <cellStyle name="Normal 16 3" xfId="281"/>
    <cellStyle name="Normal 17" xfId="282"/>
    <cellStyle name="Normal 17 2" xfId="283"/>
    <cellStyle name="Normal 17 2 2" xfId="284"/>
    <cellStyle name="Normal 17 2 3" xfId="285"/>
    <cellStyle name="Normal 17 3" xfId="286"/>
    <cellStyle name="Normal 18" xfId="287"/>
    <cellStyle name="Normal 18 2" xfId="288"/>
    <cellStyle name="Normal 18 3" xfId="289"/>
    <cellStyle name="Normal 18 4" xfId="290"/>
    <cellStyle name="Normal 19" xfId="291"/>
    <cellStyle name="Normal 19 2" xfId="292"/>
    <cellStyle name="Normal 19 3" xfId="293"/>
    <cellStyle name="Normal 19 4" xfId="294"/>
    <cellStyle name="Normal 2" xfId="295"/>
    <cellStyle name="Normal 2 10" xfId="296"/>
    <cellStyle name="Normal 2 10 2" xfId="297"/>
    <cellStyle name="Normal 2 10 3" xfId="298"/>
    <cellStyle name="Normal 2 11" xfId="299"/>
    <cellStyle name="Normal 2 12" xfId="300"/>
    <cellStyle name="Normal 2 13" xfId="301"/>
    <cellStyle name="Normal 2 14" xfId="302"/>
    <cellStyle name="Normal 2 15" xfId="303"/>
    <cellStyle name="Normal 2 16" xfId="304"/>
    <cellStyle name="Normal 2 17" xfId="305"/>
    <cellStyle name="Normal 2 18" xfId="306"/>
    <cellStyle name="Normal 2 19" xfId="307"/>
    <cellStyle name="Normal 2 2" xfId="308"/>
    <cellStyle name="Normal 2 2 2" xfId="309"/>
    <cellStyle name="Normal 2 2 3" xfId="310"/>
    <cellStyle name="Normal 2 2 4" xfId="311"/>
    <cellStyle name="Normal 2 3" xfId="312"/>
    <cellStyle name="Normal 2 3 2" xfId="313"/>
    <cellStyle name="Normal 2 3 2 2" xfId="314"/>
    <cellStyle name="Normal 2 3 3" xfId="315"/>
    <cellStyle name="Normal 2 4" xfId="316"/>
    <cellStyle name="Normal 2 4 10" xfId="317"/>
    <cellStyle name="Normal 2 4 11" xfId="318"/>
    <cellStyle name="Normal 2 4 12" xfId="319"/>
    <cellStyle name="Normal 2 4 2" xfId="320"/>
    <cellStyle name="Normal 2 4 2 2" xfId="321"/>
    <cellStyle name="Normal 2 4 2 3" xfId="322"/>
    <cellStyle name="Normal 2 4 2 4" xfId="323"/>
    <cellStyle name="Normal 2 4 2 5" xfId="324"/>
    <cellStyle name="Normal 2 4 3" xfId="325"/>
    <cellStyle name="Normal 2 4 3 2" xfId="326"/>
    <cellStyle name="Normal 2 4 3 3" xfId="327"/>
    <cellStyle name="Normal 2 4 4" xfId="328"/>
    <cellStyle name="Normal 2 4 4 2" xfId="329"/>
    <cellStyle name="Normal 2 4 4 3" xfId="330"/>
    <cellStyle name="Normal 2 4 5" xfId="331"/>
    <cellStyle name="Normal 2 4 5 2" xfId="332"/>
    <cellStyle name="Normal 2 4 5 3" xfId="333"/>
    <cellStyle name="Normal 2 4 6" xfId="334"/>
    <cellStyle name="Normal 2 4 6 2" xfId="335"/>
    <cellStyle name="Normal 2 4 6 3" xfId="336"/>
    <cellStyle name="Normal 2 4 7" xfId="337"/>
    <cellStyle name="Normal 2 4 7 2" xfId="338"/>
    <cellStyle name="Normal 2 4 7 3" xfId="339"/>
    <cellStyle name="Normal 2 4 8" xfId="340"/>
    <cellStyle name="Normal 2 4 8 2" xfId="341"/>
    <cellStyle name="Normal 2 4 8 3" xfId="342"/>
    <cellStyle name="Normal 2 4 9" xfId="343"/>
    <cellStyle name="Normal 2 5" xfId="344"/>
    <cellStyle name="Normal 2 5 2" xfId="345"/>
    <cellStyle name="Normal 2 5 2 2" xfId="346"/>
    <cellStyle name="Normal 2 5 3" xfId="347"/>
    <cellStyle name="Normal 2 6" xfId="348"/>
    <cellStyle name="Normal 2 6 2" xfId="349"/>
    <cellStyle name="Normal 2 6 2 2" xfId="350"/>
    <cellStyle name="Normal 2 6 3" xfId="351"/>
    <cellStyle name="Normal 2 7" xfId="352"/>
    <cellStyle name="Normal 2 7 2" xfId="353"/>
    <cellStyle name="Normal 2 7 3" xfId="354"/>
    <cellStyle name="Normal 2 8" xfId="355"/>
    <cellStyle name="Normal 2 8 2" xfId="356"/>
    <cellStyle name="Normal 2 8 3" xfId="357"/>
    <cellStyle name="Normal 2 9" xfId="358"/>
    <cellStyle name="Normal 2 9 2" xfId="359"/>
    <cellStyle name="Normal 2 9 3" xfId="360"/>
    <cellStyle name="Normal 20" xfId="361"/>
    <cellStyle name="Normal 20 2" xfId="362"/>
    <cellStyle name="Normal 20 3" xfId="363"/>
    <cellStyle name="Normal 20 4" xfId="364"/>
    <cellStyle name="Normal 21" xfId="365"/>
    <cellStyle name="Normal 21 2" xfId="366"/>
    <cellStyle name="Normal 21 3" xfId="367"/>
    <cellStyle name="Normal 21 4" xfId="368"/>
    <cellStyle name="Normal 22" xfId="369"/>
    <cellStyle name="Normal 22 2" xfId="370"/>
    <cellStyle name="Normal 22 3" xfId="371"/>
    <cellStyle name="Normal 22 4" xfId="372"/>
    <cellStyle name="Normal 23" xfId="373"/>
    <cellStyle name="Normal 23 2" xfId="374"/>
    <cellStyle name="Normal 23 3" xfId="375"/>
    <cellStyle name="Normal 23 4" xfId="376"/>
    <cellStyle name="Normal 24" xfId="377"/>
    <cellStyle name="Normal 24 2" xfId="378"/>
    <cellStyle name="Normal 24 2 2" xfId="379"/>
    <cellStyle name="Normal 24 3" xfId="380"/>
    <cellStyle name="Normal 24 3 2" xfId="381"/>
    <cellStyle name="Normal 24 4" xfId="382"/>
    <cellStyle name="Normal 24 5" xfId="383"/>
    <cellStyle name="Normal 24 6" xfId="384"/>
    <cellStyle name="Normal 25" xfId="385"/>
    <cellStyle name="Normal 25 2" xfId="386"/>
    <cellStyle name="Normal 25 2 2" xfId="387"/>
    <cellStyle name="Normal 25 2 3" xfId="388"/>
    <cellStyle name="Normal 25 2 4" xfId="389"/>
    <cellStyle name="Normal 25 3" xfId="390"/>
    <cellStyle name="Normal 25 4" xfId="391"/>
    <cellStyle name="Normal 25 5" xfId="392"/>
    <cellStyle name="Normal 25 6" xfId="393"/>
    <cellStyle name="Normal 26" xfId="394"/>
    <cellStyle name="Normal 26 2" xfId="395"/>
    <cellStyle name="Normal 26 2 2" xfId="396"/>
    <cellStyle name="Normal 26 2 3" xfId="397"/>
    <cellStyle name="Normal 26 3" xfId="398"/>
    <cellStyle name="Normal 27" xfId="399"/>
    <cellStyle name="Normal 27 2" xfId="400"/>
    <cellStyle name="Normal 27 2 2" xfId="401"/>
    <cellStyle name="Normal 27 2 3" xfId="402"/>
    <cellStyle name="Normal 27 3" xfId="403"/>
    <cellStyle name="Normal 28" xfId="404"/>
    <cellStyle name="Normal 28 2" xfId="405"/>
    <cellStyle name="Normal 28 2 2" xfId="406"/>
    <cellStyle name="Normal 28 2 3" xfId="407"/>
    <cellStyle name="Normal 28 3" xfId="408"/>
    <cellStyle name="Normal 29" xfId="409"/>
    <cellStyle name="Normal 29 2" xfId="410"/>
    <cellStyle name="Normal 29 2 2" xfId="411"/>
    <cellStyle name="Normal 29 2 3" xfId="412"/>
    <cellStyle name="Normal 29 2 4" xfId="413"/>
    <cellStyle name="Normal 29 3" xfId="414"/>
    <cellStyle name="Normal 29 4" xfId="415"/>
    <cellStyle name="Normal 29 5" xfId="416"/>
    <cellStyle name="Normal 3" xfId="417"/>
    <cellStyle name="Normal 3 2" xfId="418"/>
    <cellStyle name="Normal 3 2 2" xfId="419"/>
    <cellStyle name="Normal 3 2 3" xfId="420"/>
    <cellStyle name="Normal 3 3" xfId="421"/>
    <cellStyle name="Normal 3 3 2" xfId="422"/>
    <cellStyle name="Normal 3 3 3" xfId="423"/>
    <cellStyle name="Normal 3 4" xfId="424"/>
    <cellStyle name="Normal 3 4 2" xfId="425"/>
    <cellStyle name="Normal 3 4 3" xfId="426"/>
    <cellStyle name="Normal 3 5" xfId="427"/>
    <cellStyle name="Normal 3 5 2" xfId="428"/>
    <cellStyle name="Normal 3 5 3" xfId="429"/>
    <cellStyle name="Normal 3 6" xfId="430"/>
    <cellStyle name="Normal 3 7" xfId="431"/>
    <cellStyle name="Normal 30" xfId="432"/>
    <cellStyle name="Normal 30 2" xfId="433"/>
    <cellStyle name="Normal 30 3" xfId="434"/>
    <cellStyle name="Normal 30 4" xfId="435"/>
    <cellStyle name="Normal 31" xfId="436"/>
    <cellStyle name="Normal 31 2" xfId="437"/>
    <cellStyle name="Normal 31 3" xfId="438"/>
    <cellStyle name="Normal 31 4" xfId="439"/>
    <cellStyle name="Normal 32" xfId="440"/>
    <cellStyle name="Normal 32 2" xfId="441"/>
    <cellStyle name="Normal 32 3" xfId="442"/>
    <cellStyle name="Normal 32 4" xfId="443"/>
    <cellStyle name="Normal 33" xfId="444"/>
    <cellStyle name="Normal 33 2" xfId="445"/>
    <cellStyle name="Normal 33 3" xfId="446"/>
    <cellStyle name="Normal 33 4" xfId="447"/>
    <cellStyle name="Normal 34" xfId="448"/>
    <cellStyle name="Normal 34 2" xfId="449"/>
    <cellStyle name="Normal 34 3" xfId="450"/>
    <cellStyle name="Normal 34 4" xfId="451"/>
    <cellStyle name="Normal 35" xfId="452"/>
    <cellStyle name="Normal 35 2" xfId="453"/>
    <cellStyle name="Normal 35 3" xfId="454"/>
    <cellStyle name="Normal 35 4" xfId="455"/>
    <cellStyle name="Normal 36" xfId="456"/>
    <cellStyle name="Normal 36 2" xfId="457"/>
    <cellStyle name="Normal 36 3" xfId="458"/>
    <cellStyle name="Normal 36 4" xfId="459"/>
    <cellStyle name="Normal 37" xfId="460"/>
    <cellStyle name="Normal 37 2" xfId="461"/>
    <cellStyle name="Normal 37 3" xfId="462"/>
    <cellStyle name="Normal 37 4" xfId="463"/>
    <cellStyle name="Normal 38" xfId="464"/>
    <cellStyle name="Normal 38 2" xfId="465"/>
    <cellStyle name="Normal 38 3" xfId="466"/>
    <cellStyle name="Normal 39" xfId="467"/>
    <cellStyle name="Normal 39 2" xfId="468"/>
    <cellStyle name="Normal 39 3" xfId="469"/>
    <cellStyle name="Normal 4" xfId="470"/>
    <cellStyle name="Normal 4 2" xfId="471"/>
    <cellStyle name="Normal 4 2 2" xfId="472"/>
    <cellStyle name="Normal 4 2_25.İL-EMOD-Öncelikli Yaşam" xfId="473"/>
    <cellStyle name="Normal 4 3" xfId="474"/>
    <cellStyle name="Normal 4 3 10" xfId="475"/>
    <cellStyle name="Normal 4 3 10 2" xfId="476"/>
    <cellStyle name="Normal 4 3 10 3" xfId="477"/>
    <cellStyle name="Normal 4 3 11" xfId="478"/>
    <cellStyle name="Normal 4 3 12" xfId="479"/>
    <cellStyle name="Normal 4 3 13" xfId="480"/>
    <cellStyle name="Normal 4 3 2" xfId="481"/>
    <cellStyle name="Normal 4 3 2 10" xfId="482"/>
    <cellStyle name="Normal 4 3 2 11" xfId="483"/>
    <cellStyle name="Normal 4 3 2 2" xfId="484"/>
    <cellStyle name="Normal 4 3 2 2 2" xfId="485"/>
    <cellStyle name="Normal 4 3 2 2 3" xfId="486"/>
    <cellStyle name="Normal 4 3 2 2 4" xfId="487"/>
    <cellStyle name="Normal 4 3 2 3" xfId="488"/>
    <cellStyle name="Normal 4 3 2 3 2" xfId="489"/>
    <cellStyle name="Normal 4 3 2 3 3" xfId="490"/>
    <cellStyle name="Normal 4 3 2 4" xfId="491"/>
    <cellStyle name="Normal 4 3 2 4 2" xfId="492"/>
    <cellStyle name="Normal 4 3 2 4 3" xfId="493"/>
    <cellStyle name="Normal 4 3 2 5" xfId="494"/>
    <cellStyle name="Normal 4 3 2 5 2" xfId="495"/>
    <cellStyle name="Normal 4 3 2 5 3" xfId="496"/>
    <cellStyle name="Normal 4 3 2 6" xfId="497"/>
    <cellStyle name="Normal 4 3 2 6 2" xfId="498"/>
    <cellStyle name="Normal 4 3 2 6 3" xfId="499"/>
    <cellStyle name="Normal 4 3 2 7" xfId="500"/>
    <cellStyle name="Normal 4 3 2 7 2" xfId="501"/>
    <cellStyle name="Normal 4 3 2 7 3" xfId="502"/>
    <cellStyle name="Normal 4 3 2 8" xfId="503"/>
    <cellStyle name="Normal 4 3 2 8 2" xfId="504"/>
    <cellStyle name="Normal 4 3 2 8 3" xfId="505"/>
    <cellStyle name="Normal 4 3 2 9" xfId="506"/>
    <cellStyle name="Normal 4 3 3" xfId="507"/>
    <cellStyle name="Normal 4 3 3 2" xfId="508"/>
    <cellStyle name="Normal 4 3 3 3" xfId="509"/>
    <cellStyle name="Normal 4 3 3 4" xfId="510"/>
    <cellStyle name="Normal 4 3 4" xfId="511"/>
    <cellStyle name="Normal 4 3 4 10" xfId="512"/>
    <cellStyle name="Normal 4 3 4 11" xfId="513"/>
    <cellStyle name="Normal 4 3 4 2" xfId="514"/>
    <cellStyle name="Normal 4 3 4 2 2" xfId="515"/>
    <cellStyle name="Normal 4 3 4 2 3" xfId="516"/>
    <cellStyle name="Normal 4 3 4 2 4" xfId="517"/>
    <cellStyle name="Normal 4 3 4 3" xfId="518"/>
    <cellStyle name="Normal 4 3 4 3 2" xfId="519"/>
    <cellStyle name="Normal 4 3 4 3 3" xfId="520"/>
    <cellStyle name="Normal 4 3 4 4" xfId="521"/>
    <cellStyle name="Normal 4 3 4 4 2" xfId="522"/>
    <cellStyle name="Normal 4 3 4 4 3" xfId="523"/>
    <cellStyle name="Normal 4 3 4 5" xfId="524"/>
    <cellStyle name="Normal 4 3 4 5 2" xfId="525"/>
    <cellStyle name="Normal 4 3 4 5 3" xfId="526"/>
    <cellStyle name="Normal 4 3 4 6" xfId="527"/>
    <cellStyle name="Normal 4 3 4 6 2" xfId="528"/>
    <cellStyle name="Normal 4 3 4 6 3" xfId="529"/>
    <cellStyle name="Normal 4 3 4 7" xfId="530"/>
    <cellStyle name="Normal 4 3 4 7 2" xfId="531"/>
    <cellStyle name="Normal 4 3 4 7 3" xfId="532"/>
    <cellStyle name="Normal 4 3 4 8" xfId="533"/>
    <cellStyle name="Normal 4 3 4 8 2" xfId="534"/>
    <cellStyle name="Normal 4 3 4 8 3" xfId="535"/>
    <cellStyle name="Normal 4 3 4 9" xfId="536"/>
    <cellStyle name="Normal 4 3 5" xfId="537"/>
    <cellStyle name="Normal 4 3 5 2" xfId="538"/>
    <cellStyle name="Normal 4 3 5 3" xfId="539"/>
    <cellStyle name="Normal 4 3 5 4" xfId="540"/>
    <cellStyle name="Normal 4 3 6" xfId="541"/>
    <cellStyle name="Normal 4 3 6 2" xfId="542"/>
    <cellStyle name="Normal 4 3 6 3" xfId="543"/>
    <cellStyle name="Normal 4 3 7" xfId="544"/>
    <cellStyle name="Normal 4 3 7 2" xfId="545"/>
    <cellStyle name="Normal 4 3 7 3" xfId="546"/>
    <cellStyle name="Normal 4 3 8" xfId="547"/>
    <cellStyle name="Normal 4 3 8 2" xfId="548"/>
    <cellStyle name="Normal 4 3 8 3" xfId="549"/>
    <cellStyle name="Normal 4 3 9" xfId="550"/>
    <cellStyle name="Normal 4 3 9 2" xfId="551"/>
    <cellStyle name="Normal 4 3 9 3" xfId="552"/>
    <cellStyle name="Normal 4 4" xfId="553"/>
    <cellStyle name="Normal 4 5" xfId="554"/>
    <cellStyle name="Normal 4_25.İL-EMOD-Öncelikli Yaşam" xfId="555"/>
    <cellStyle name="Normal 40" xfId="556"/>
    <cellStyle name="Normal 40 2" xfId="557"/>
    <cellStyle name="Normal 40 3" xfId="558"/>
    <cellStyle name="Normal 41" xfId="559"/>
    <cellStyle name="Normal 41 2" xfId="560"/>
    <cellStyle name="Normal 41 3" xfId="561"/>
    <cellStyle name="Normal 42" xfId="562"/>
    <cellStyle name="Normal 42 2" xfId="563"/>
    <cellStyle name="Normal 42 3" xfId="564"/>
    <cellStyle name="Normal 43" xfId="565"/>
    <cellStyle name="Normal 43 2" xfId="566"/>
    <cellStyle name="Normal 43 3" xfId="567"/>
    <cellStyle name="Normal 44" xfId="568"/>
    <cellStyle name="Normal 44 2" xfId="569"/>
    <cellStyle name="Normal 44 3" xfId="570"/>
    <cellStyle name="Normal 45" xfId="571"/>
    <cellStyle name="Normal 45 2" xfId="572"/>
    <cellStyle name="Normal 45 3" xfId="573"/>
    <cellStyle name="Normal 46" xfId="574"/>
    <cellStyle name="Normal 46 2" xfId="575"/>
    <cellStyle name="Normal 46 3" xfId="576"/>
    <cellStyle name="Normal 47" xfId="577"/>
    <cellStyle name="Normal 47 2" xfId="578"/>
    <cellStyle name="Normal 47 3" xfId="579"/>
    <cellStyle name="Normal 48" xfId="580"/>
    <cellStyle name="Normal 48 2" xfId="581"/>
    <cellStyle name="Normal 48 3" xfId="582"/>
    <cellStyle name="Normal 49" xfId="583"/>
    <cellStyle name="Normal 49 2" xfId="584"/>
    <cellStyle name="Normal 49 3" xfId="585"/>
    <cellStyle name="Normal 5" xfId="586"/>
    <cellStyle name="Normal 5 2" xfId="587"/>
    <cellStyle name="Normal 5 3" xfId="588"/>
    <cellStyle name="Normal 5 4" xfId="589"/>
    <cellStyle name="Normal 5 5" xfId="590"/>
    <cellStyle name="Normal 5 6" xfId="591"/>
    <cellStyle name="Normal 5 7" xfId="592"/>
    <cellStyle name="Normal 50" xfId="593"/>
    <cellStyle name="Normal 50 2" xfId="594"/>
    <cellStyle name="Normal 50 3" xfId="595"/>
    <cellStyle name="Normal 51" xfId="596"/>
    <cellStyle name="Normal 51 2" xfId="597"/>
    <cellStyle name="Normal 51 3" xfId="598"/>
    <cellStyle name="Normal 52" xfId="599"/>
    <cellStyle name="Normal 52 2" xfId="600"/>
    <cellStyle name="Normal 52 3" xfId="601"/>
    <cellStyle name="Normal 53" xfId="602"/>
    <cellStyle name="Normal 53 2" xfId="603"/>
    <cellStyle name="Normal 53 3" xfId="604"/>
    <cellStyle name="Normal 54" xfId="605"/>
    <cellStyle name="Normal 54 2" xfId="606"/>
    <cellStyle name="Normal 54 3" xfId="607"/>
    <cellStyle name="Normal 55" xfId="608"/>
    <cellStyle name="Normal 55 2" xfId="609"/>
    <cellStyle name="Normal 55 3" xfId="610"/>
    <cellStyle name="Normal 56" xfId="611"/>
    <cellStyle name="Normal 56 2" xfId="612"/>
    <cellStyle name="Normal 56 3" xfId="613"/>
    <cellStyle name="Normal 57" xfId="614"/>
    <cellStyle name="Normal 57 2" xfId="615"/>
    <cellStyle name="Normal 57 3" xfId="616"/>
    <cellStyle name="Normal 58" xfId="617"/>
    <cellStyle name="Normal 58 2" xfId="618"/>
    <cellStyle name="Normal 58 3" xfId="619"/>
    <cellStyle name="Normal 59" xfId="620"/>
    <cellStyle name="Normal 59 2" xfId="621"/>
    <cellStyle name="Normal 59 3" xfId="622"/>
    <cellStyle name="Normal 6" xfId="623"/>
    <cellStyle name="Normal 6 10" xfId="624"/>
    <cellStyle name="Normal 6 11" xfId="625"/>
    <cellStyle name="Normal 6 12" xfId="626"/>
    <cellStyle name="Normal 6 2" xfId="627"/>
    <cellStyle name="Normal 6 2 2" xfId="628"/>
    <cellStyle name="Normal 6 2 3" xfId="629"/>
    <cellStyle name="Normal 6 2 4" xfId="630"/>
    <cellStyle name="Normal 6 3" xfId="631"/>
    <cellStyle name="Normal 6 3 2" xfId="632"/>
    <cellStyle name="Normal 6 3 3" xfId="633"/>
    <cellStyle name="Normal 6 3 4" xfId="634"/>
    <cellStyle name="Normal 6 4" xfId="635"/>
    <cellStyle name="Normal 6 4 2" xfId="636"/>
    <cellStyle name="Normal 6 4 3" xfId="637"/>
    <cellStyle name="Normal 6 4 4" xfId="638"/>
    <cellStyle name="Normal 6 5" xfId="639"/>
    <cellStyle name="Normal 6 5 2" xfId="640"/>
    <cellStyle name="Normal 6 5 3" xfId="641"/>
    <cellStyle name="Normal 6 6" xfId="642"/>
    <cellStyle name="Normal 6 6 2" xfId="643"/>
    <cellStyle name="Normal 6 6 2 2" xfId="644"/>
    <cellStyle name="Normal 6 6 2 3" xfId="645"/>
    <cellStyle name="Normal 6 6 3" xfId="646"/>
    <cellStyle name="Normal 6 6 4" xfId="647"/>
    <cellStyle name="Normal 6 7" xfId="648"/>
    <cellStyle name="Normal 6 7 2" xfId="649"/>
    <cellStyle name="Normal 6 7 3" xfId="650"/>
    <cellStyle name="Normal 6 8" xfId="651"/>
    <cellStyle name="Normal 6 8 2" xfId="652"/>
    <cellStyle name="Normal 6 8 3" xfId="653"/>
    <cellStyle name="Normal 6 9" xfId="654"/>
    <cellStyle name="Normal 60" xfId="655"/>
    <cellStyle name="Normal 60 2" xfId="656"/>
    <cellStyle name="Normal 60 3" xfId="657"/>
    <cellStyle name="Normal 61" xfId="658"/>
    <cellStyle name="Normal 61 2" xfId="659"/>
    <cellStyle name="Normal 61 3" xfId="660"/>
    <cellStyle name="Normal 62" xfId="661"/>
    <cellStyle name="Normal 62 2" xfId="662"/>
    <cellStyle name="Normal 62 3" xfId="663"/>
    <cellStyle name="Normal 63" xfId="664"/>
    <cellStyle name="Normal 63 2" xfId="665"/>
    <cellStyle name="Normal 63 3" xfId="666"/>
    <cellStyle name="Normal 64" xfId="667"/>
    <cellStyle name="Normal 65" xfId="668"/>
    <cellStyle name="Normal 65 2" xfId="669"/>
    <cellStyle name="Normal 65 3" xfId="670"/>
    <cellStyle name="Normal 66" xfId="671"/>
    <cellStyle name="Normal 66 2" xfId="672"/>
    <cellStyle name="Normal 66 3" xfId="673"/>
    <cellStyle name="Normal 67" xfId="674"/>
    <cellStyle name="Normal 67 2" xfId="675"/>
    <cellStyle name="Normal 67 3" xfId="676"/>
    <cellStyle name="Normal 68" xfId="677"/>
    <cellStyle name="Normal 68 2" xfId="678"/>
    <cellStyle name="Normal 68 3" xfId="679"/>
    <cellStyle name="Normal 69" xfId="680"/>
    <cellStyle name="Normal 69 2" xfId="681"/>
    <cellStyle name="Normal 69 3" xfId="682"/>
    <cellStyle name="Normal 7" xfId="683"/>
    <cellStyle name="Normal 7 2" xfId="684"/>
    <cellStyle name="Normal 70" xfId="685"/>
    <cellStyle name="Normal 70 2" xfId="686"/>
    <cellStyle name="Normal 70 3" xfId="687"/>
    <cellStyle name="Normal 71" xfId="688"/>
    <cellStyle name="Normal 71 2" xfId="689"/>
    <cellStyle name="Normal 71 3" xfId="690"/>
    <cellStyle name="Normal 72" xfId="691"/>
    <cellStyle name="Normal 72 2" xfId="692"/>
    <cellStyle name="Normal 72 3" xfId="693"/>
    <cellStyle name="Normal 73" xfId="694"/>
    <cellStyle name="Normal 73 2" xfId="695"/>
    <cellStyle name="Normal 73 3" xfId="696"/>
    <cellStyle name="Normal 74" xfId="697"/>
    <cellStyle name="Normal 74 2" xfId="698"/>
    <cellStyle name="Normal 74 3" xfId="699"/>
    <cellStyle name="Normal 75" xfId="700"/>
    <cellStyle name="Normal 75 2" xfId="701"/>
    <cellStyle name="Normal 75 3" xfId="702"/>
    <cellStyle name="Normal 76" xfId="703"/>
    <cellStyle name="Normal 76 2" xfId="704"/>
    <cellStyle name="Normal 76 3" xfId="705"/>
    <cellStyle name="Normal 77" xfId="706"/>
    <cellStyle name="Normal 77 2" xfId="707"/>
    <cellStyle name="Normal 77 3" xfId="708"/>
    <cellStyle name="Normal 78" xfId="709"/>
    <cellStyle name="Normal 78 2" xfId="710"/>
    <cellStyle name="Normal 78 3" xfId="711"/>
    <cellStyle name="Normal 79" xfId="712"/>
    <cellStyle name="Normal 79 2" xfId="713"/>
    <cellStyle name="Normal 79 3" xfId="714"/>
    <cellStyle name="Normal 8" xfId="715"/>
    <cellStyle name="Normal 8 2" xfId="716"/>
    <cellStyle name="Normal 80" xfId="717"/>
    <cellStyle name="Normal 80 2" xfId="718"/>
    <cellStyle name="Normal 80 3" xfId="719"/>
    <cellStyle name="Normal 81" xfId="720"/>
    <cellStyle name="Normal 81 2" xfId="721"/>
    <cellStyle name="Normal 81 3" xfId="722"/>
    <cellStyle name="Normal 82" xfId="723"/>
    <cellStyle name="Normal 82 2" xfId="724"/>
    <cellStyle name="Normal 82 3" xfId="725"/>
    <cellStyle name="Normal 83" xfId="726"/>
    <cellStyle name="Normal 83 2" xfId="727"/>
    <cellStyle name="Normal 83 3" xfId="728"/>
    <cellStyle name="Normal 84" xfId="729"/>
    <cellStyle name="Normal 84 2" xfId="730"/>
    <cellStyle name="Normal 84 3" xfId="731"/>
    <cellStyle name="Normal 85" xfId="732"/>
    <cellStyle name="Normal 85 2" xfId="733"/>
    <cellStyle name="Normal 85 3" xfId="734"/>
    <cellStyle name="Normal 86" xfId="735"/>
    <cellStyle name="Normal 86 2" xfId="736"/>
    <cellStyle name="Normal 86 3" xfId="737"/>
    <cellStyle name="Normal 87" xfId="738"/>
    <cellStyle name="Normal 87 2" xfId="739"/>
    <cellStyle name="Normal 87 3" xfId="740"/>
    <cellStyle name="Normal 88" xfId="741"/>
    <cellStyle name="Normal 88 2" xfId="742"/>
    <cellStyle name="Normal 88 3" xfId="743"/>
    <cellStyle name="Normal 89" xfId="744"/>
    <cellStyle name="Normal 89 2" xfId="745"/>
    <cellStyle name="Normal 89 3" xfId="746"/>
    <cellStyle name="Normal 9" xfId="747"/>
    <cellStyle name="Normal 9 2" xfId="748"/>
    <cellStyle name="Normal 9 2 2" xfId="749"/>
    <cellStyle name="Normal 9 2 3" xfId="750"/>
    <cellStyle name="Normal 9 3" xfId="751"/>
    <cellStyle name="Normal 9 4" xfId="752"/>
    <cellStyle name="Normal 90" xfId="753"/>
    <cellStyle name="Normal 90 2" xfId="754"/>
    <cellStyle name="Normal 90 3" xfId="755"/>
    <cellStyle name="Normal 91" xfId="756"/>
    <cellStyle name="Normal 91 2" xfId="757"/>
    <cellStyle name="Normal 91 3" xfId="758"/>
    <cellStyle name="Normal 92" xfId="759"/>
    <cellStyle name="Normal 92 2" xfId="760"/>
    <cellStyle name="Normal 92 3" xfId="761"/>
    <cellStyle name="Normal 93" xfId="762"/>
    <cellStyle name="Normal 93 2" xfId="763"/>
    <cellStyle name="Normal 93 3" xfId="764"/>
    <cellStyle name="Normal 94" xfId="765"/>
    <cellStyle name="Normal 94 2" xfId="766"/>
    <cellStyle name="Normal 94 3" xfId="767"/>
    <cellStyle name="Normal 95" xfId="768"/>
    <cellStyle name="Normal 95 2" xfId="769"/>
    <cellStyle name="Normal 95 3" xfId="770"/>
    <cellStyle name="Normal 96" xfId="771"/>
    <cellStyle name="Normal 96 2" xfId="772"/>
    <cellStyle name="Normal 96 3" xfId="773"/>
    <cellStyle name="Normal 97" xfId="774"/>
    <cellStyle name="Normal 97 2" xfId="775"/>
    <cellStyle name="Normal 97 3" xfId="776"/>
    <cellStyle name="Normal 98" xfId="777"/>
    <cellStyle name="Normal 98 2" xfId="778"/>
    <cellStyle name="Normal 98 3" xfId="779"/>
    <cellStyle name="Normal 99" xfId="780"/>
    <cellStyle name="Normal_1bültenSson igortalı İstatistikleri. ARALIK 2009 25.01.2010 (1.Bölüm)" xfId="781"/>
    <cellStyle name="Normal_2009 NİSAN SİGORTALI (1 kısım)" xfId="782"/>
    <cellStyle name="Normal_2009_06_sigortali" xfId="783"/>
    <cellStyle name="Normal_2010 ist yıl 4-b 1479" xfId="784"/>
    <cellStyle name="Normal_2010 ist yıl 4-b 2926" xfId="785"/>
    <cellStyle name="Normal_7.4-b-İL-ESNAF" xfId="786"/>
    <cellStyle name="Normal_8 4-b İL TARIM" xfId="787"/>
    <cellStyle name="Normal_8-Agustos bulten2007(Son Hali)2" xfId="788"/>
    <cellStyle name="Normal_BÜTÇEVELİ" xfId="789"/>
    <cellStyle name="Normal_Ekim Bülteni 2006" xfId="790"/>
    <cellStyle name="Normal_İLYAS BEY için kapsam 26 temmuz 2010" xfId="791"/>
    <cellStyle name="Normal_MYÖ2" xfId="792"/>
    <cellStyle name="Normal_nufus" xfId="793"/>
    <cellStyle name="Normal_Sayfa1" xfId="794"/>
    <cellStyle name="Normal_Sayfa2" xfId="795"/>
    <cellStyle name="Normal_Sheet1" xfId="796"/>
    <cellStyle name="Normal_TABLO-69" xfId="797"/>
    <cellStyle name="Not 2" xfId="798"/>
    <cellStyle name="Not 3" xfId="799"/>
    <cellStyle name="Not 3 2" xfId="800"/>
    <cellStyle name="Not 3_25.İL-EMOD-Öncelikli Yaşam" xfId="801"/>
    <cellStyle name="Not 4" xfId="802"/>
    <cellStyle name="Nötr" xfId="803" builtinId="28" customBuiltin="1"/>
    <cellStyle name="Nötr 2" xfId="804"/>
    <cellStyle name="Nötr 3" xfId="805"/>
    <cellStyle name="Nötr 4" xfId="806"/>
    <cellStyle name="Stil 1" xfId="807"/>
    <cellStyle name="Toplam" xfId="808" builtinId="25" customBuiltin="1"/>
    <cellStyle name="Toplam 2" xfId="809"/>
    <cellStyle name="Toplam 3" xfId="810"/>
    <cellStyle name="Toplam 4" xfId="811"/>
    <cellStyle name="Uyarı Metni" xfId="812" builtinId="11" customBuiltin="1"/>
    <cellStyle name="Uyarı Metni 2" xfId="813"/>
    <cellStyle name="Uyarı Metni 3" xfId="814"/>
    <cellStyle name="Uyarı Metni 4" xfId="815"/>
    <cellStyle name="Virgül" xfId="816" builtinId="3"/>
    <cellStyle name="Virgül 2" xfId="817"/>
    <cellStyle name="Virgül 2 2" xfId="818"/>
    <cellStyle name="Virgül 3" xfId="819"/>
    <cellStyle name="Virgül 3 2" xfId="820"/>
    <cellStyle name="Virgül 4" xfId="821"/>
    <cellStyle name="Virgül 4 2" xfId="822"/>
    <cellStyle name="Virgül 5" xfId="823"/>
    <cellStyle name="Virgül 6" xfId="824"/>
    <cellStyle name="Vurgu1" xfId="825" builtinId="29" customBuiltin="1"/>
    <cellStyle name="Vurgu1 2" xfId="826"/>
    <cellStyle name="Vurgu1 3" xfId="827"/>
    <cellStyle name="Vurgu1 4" xfId="828"/>
    <cellStyle name="Vurgu2" xfId="829" builtinId="33" customBuiltin="1"/>
    <cellStyle name="Vurgu2 2" xfId="830"/>
    <cellStyle name="Vurgu2 3" xfId="831"/>
    <cellStyle name="Vurgu2 4" xfId="832"/>
    <cellStyle name="Vurgu3" xfId="833" builtinId="37" customBuiltin="1"/>
    <cellStyle name="Vurgu3 2" xfId="834"/>
    <cellStyle name="Vurgu3 3" xfId="835"/>
    <cellStyle name="Vurgu3 4" xfId="836"/>
    <cellStyle name="Vurgu4" xfId="837" builtinId="41" customBuiltin="1"/>
    <cellStyle name="Vurgu4 2" xfId="838"/>
    <cellStyle name="Vurgu4 3" xfId="839"/>
    <cellStyle name="Vurgu4 4" xfId="840"/>
    <cellStyle name="Vurgu5" xfId="841" builtinId="45" customBuiltin="1"/>
    <cellStyle name="Vurgu5 2" xfId="842"/>
    <cellStyle name="Vurgu5 3" xfId="843"/>
    <cellStyle name="Vurgu5 4" xfId="844"/>
    <cellStyle name="Vurgu6" xfId="845" builtinId="49" customBuiltin="1"/>
    <cellStyle name="Vurgu6 2" xfId="846"/>
    <cellStyle name="Vurgu6 3" xfId="847"/>
    <cellStyle name="Vurgu6 4" xfId="848"/>
    <cellStyle name="Yüzde 2" xfId="849"/>
    <cellStyle name="Yüzde 2 2" xfId="850"/>
    <cellStyle name="Yüzde 2 3" xfId="851"/>
    <cellStyle name="Yüzde 3" xfId="852"/>
    <cellStyle name="Yüzde 4" xfId="853"/>
    <cellStyle name="Yüzde 4 2" xfId="854"/>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E5DEE6"/>
      <rgbColor rgb="00FFFF00"/>
      <rgbColor rgb="00FF00FF"/>
      <rgbColor rgb="0000FFFF"/>
      <rgbColor rgb="00800000"/>
      <rgbColor rgb="00008000"/>
      <rgbColor rgb="00000080"/>
      <rgbColor rgb="00808000"/>
      <rgbColor rgb="00800080"/>
      <rgbColor rgb="00EBECF5"/>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7E8E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34"/>
    </mc:Choice>
    <mc:Fallback>
      <c:style val="34"/>
    </mc:Fallback>
  </mc:AlternateContent>
  <c:clrMapOvr bg1="lt1" tx1="dk1" bg2="lt2" tx2="dk2" accent1="accent1" accent2="accent2" accent3="accent3" accent4="accent4" accent5="accent5" accent6="accent6" hlink="hlink" folHlink="folHlink"/>
  <c:chart>
    <c:title>
      <c:tx>
        <c:rich>
          <a:bodyPr/>
          <a:lstStyle/>
          <a:p>
            <a:pPr>
              <a:defRPr sz="1000" b="0" i="0" u="none" strike="noStrike" baseline="0">
                <a:solidFill>
                  <a:srgbClr val="000000"/>
                </a:solidFill>
                <a:latin typeface="Calibri"/>
                <a:ea typeface="Calibri"/>
                <a:cs typeface="Calibri"/>
              </a:defRPr>
            </a:pPr>
            <a:r>
              <a:rPr lang="tr-TR" sz="1000" b="1" i="0" u="none" strike="noStrike" baseline="0">
                <a:solidFill>
                  <a:srgbClr val="000000"/>
                </a:solidFill>
                <a:latin typeface="Arial"/>
                <a:cs typeface="Arial"/>
              </a:rPr>
              <a:t>Taşra Teşkilatı Kadro Durumu</a:t>
            </a:r>
          </a:p>
          <a:p>
            <a:pPr>
              <a:defRPr sz="1000" b="0" i="0" u="none" strike="noStrike" baseline="0">
                <a:solidFill>
                  <a:srgbClr val="000000"/>
                </a:solidFill>
                <a:latin typeface="Calibri"/>
                <a:ea typeface="Calibri"/>
                <a:cs typeface="Calibri"/>
              </a:defRPr>
            </a:pPr>
            <a:r>
              <a:rPr lang="tr-TR" sz="1000" b="0" i="0" u="none" strike="noStrike" baseline="0">
                <a:solidFill>
                  <a:srgbClr val="000000"/>
                </a:solidFill>
                <a:latin typeface="Arial"/>
                <a:cs typeface="Arial"/>
              </a:rPr>
              <a:t>Country Organization</a:t>
            </a:r>
          </a:p>
        </c:rich>
      </c:tx>
      <c:layout>
        <c:manualLayout>
          <c:xMode val="edge"/>
          <c:yMode val="edge"/>
          <c:x val="0.23574710240865909"/>
          <c:y val="4.0968330735307833E-2"/>
        </c:manualLayout>
      </c:layout>
      <c:overlay val="0"/>
    </c:title>
    <c:autoTitleDeleted val="0"/>
    <c:view3D>
      <c:rotX val="30"/>
      <c:rotY val="100"/>
      <c:rAngAx val="0"/>
      <c:perspective val="0"/>
    </c:view3D>
    <c:floor>
      <c:thickness val="0"/>
    </c:floor>
    <c:sideWall>
      <c:thickness val="0"/>
    </c:sideWall>
    <c:backWall>
      <c:thickness val="0"/>
    </c:backWall>
    <c:plotArea>
      <c:layout>
        <c:manualLayout>
          <c:layoutTarget val="inner"/>
          <c:xMode val="edge"/>
          <c:yMode val="edge"/>
          <c:x val="9.3083371931449749E-2"/>
          <c:y val="0.14334935405801547"/>
          <c:w val="0.75042846693343657"/>
          <c:h val="0.8143051950908371"/>
        </c:manualLayout>
      </c:layout>
      <c:pie3DChart>
        <c:varyColors val="1"/>
        <c:ser>
          <c:idx val="0"/>
          <c:order val="0"/>
          <c:spPr>
            <a:ln>
              <a:solidFill>
                <a:srgbClr val="4F81BD"/>
              </a:solidFill>
            </a:ln>
          </c:spPr>
          <c:explosion val="30"/>
          <c:dPt>
            <c:idx val="0"/>
            <c:bubble3D val="0"/>
            <c:extLst>
              <c:ext xmlns:c16="http://schemas.microsoft.com/office/drawing/2014/chart" uri="{C3380CC4-5D6E-409C-BE32-E72D297353CC}">
                <c16:uniqueId val="{00000000-2313-45B2-8A7D-1A632FF9D42F}"/>
              </c:ext>
            </c:extLst>
          </c:dPt>
          <c:dPt>
            <c:idx val="1"/>
            <c:bubble3D val="0"/>
            <c:extLst>
              <c:ext xmlns:c16="http://schemas.microsoft.com/office/drawing/2014/chart" uri="{C3380CC4-5D6E-409C-BE32-E72D297353CC}">
                <c16:uniqueId val="{00000001-2313-45B2-8A7D-1A632FF9D42F}"/>
              </c:ext>
            </c:extLst>
          </c:dPt>
          <c:dPt>
            <c:idx val="2"/>
            <c:bubble3D val="0"/>
            <c:explosion val="55"/>
            <c:extLst>
              <c:ext xmlns:c16="http://schemas.microsoft.com/office/drawing/2014/chart" uri="{C3380CC4-5D6E-409C-BE32-E72D297353CC}">
                <c16:uniqueId val="{00000002-2313-45B2-8A7D-1A632FF9D42F}"/>
              </c:ext>
            </c:extLst>
          </c:dPt>
          <c:dLbls>
            <c:dLbl>
              <c:idx val="0"/>
              <c:layout>
                <c:manualLayout>
                  <c:x val="0"/>
                  <c:y val="-0.15163242862798576"/>
                </c:manualLayout>
              </c:layout>
              <c:tx>
                <c:rich>
                  <a:bodyPr/>
                  <a:lstStyle/>
                  <a:p>
                    <a:pPr>
                      <a:defRPr sz="1000" b="0" i="0" u="none" strike="noStrike" baseline="0">
                        <a:solidFill>
                          <a:srgbClr val="000000"/>
                        </a:solidFill>
                        <a:latin typeface="Calibri"/>
                        <a:ea typeface="Calibri"/>
                        <a:cs typeface="Calibri"/>
                      </a:defRPr>
                    </a:pPr>
                    <a:r>
                      <a:rPr lang="en-US"/>
                      <a:t>97,71%</a:t>
                    </a:r>
                  </a:p>
                </c:rich>
              </c:tx>
              <c:numFmt formatCode="0.00%" sourceLinked="0"/>
              <c:spPr/>
              <c:dLblPos val="bestFit"/>
              <c:showLegendKey val="1"/>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313-45B2-8A7D-1A632FF9D42F}"/>
                </c:ext>
              </c:extLst>
            </c:dLbl>
            <c:dLbl>
              <c:idx val="1"/>
              <c:layout>
                <c:manualLayout>
                  <c:x val="3.7511983133255884E-2"/>
                  <c:y val="-0.19067728265810349"/>
                </c:manualLayout>
              </c:layout>
              <c:tx>
                <c:rich>
                  <a:bodyPr/>
                  <a:lstStyle/>
                  <a:p>
                    <a:pPr>
                      <a:defRPr sz="1000" b="0" i="0" u="none" strike="noStrike" baseline="0">
                        <a:solidFill>
                          <a:srgbClr val="000000"/>
                        </a:solidFill>
                        <a:latin typeface="Calibri"/>
                        <a:ea typeface="Calibri"/>
                        <a:cs typeface="Calibri"/>
                      </a:defRPr>
                    </a:pPr>
                    <a:r>
                      <a:rPr lang="en-US"/>
                      <a:t>1,67%</a:t>
                    </a:r>
                  </a:p>
                </c:rich>
              </c:tx>
              <c:numFmt formatCode="0.00%" sourceLinked="0"/>
              <c:spPr/>
              <c:dLblPos val="bestFit"/>
              <c:showLegendKey val="1"/>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313-45B2-8A7D-1A632FF9D42F}"/>
                </c:ext>
              </c:extLst>
            </c:dLbl>
            <c:dLbl>
              <c:idx val="2"/>
              <c:layout>
                <c:manualLayout>
                  <c:x val="2.5919710855815153E-2"/>
                  <c:y val="5.5402571885218257E-2"/>
                </c:manualLayout>
              </c:layout>
              <c:tx>
                <c:rich>
                  <a:bodyPr/>
                  <a:lstStyle/>
                  <a:p>
                    <a:pPr>
                      <a:defRPr sz="1000" b="0" i="0" u="none" strike="noStrike" baseline="0">
                        <a:solidFill>
                          <a:srgbClr val="000000"/>
                        </a:solidFill>
                        <a:latin typeface="Calibri"/>
                        <a:ea typeface="Calibri"/>
                        <a:cs typeface="Calibri"/>
                      </a:defRPr>
                    </a:pPr>
                    <a:r>
                      <a:rPr lang="en-US" sz="1000" b="0" i="0" u="none" strike="noStrike" baseline="0">
                        <a:solidFill>
                          <a:srgbClr val="000000"/>
                        </a:solidFill>
                        <a:latin typeface="Calibri"/>
                        <a:cs typeface="Calibri"/>
                      </a:rPr>
                      <a:t>0,44</a:t>
                    </a:r>
                  </a:p>
                  <a:p>
                    <a:pPr>
                      <a:defRPr sz="1000" b="0" i="0" u="none" strike="noStrike" baseline="0">
                        <a:solidFill>
                          <a:srgbClr val="000000"/>
                        </a:solidFill>
                        <a:latin typeface="Calibri"/>
                        <a:ea typeface="Calibri"/>
                        <a:cs typeface="Calibri"/>
                      </a:defRPr>
                    </a:pPr>
                    <a:r>
                      <a:rPr lang="en-US" sz="1000" b="0" i="0" u="none" strike="noStrike" baseline="0">
                        <a:solidFill>
                          <a:srgbClr val="000000"/>
                        </a:solidFill>
                        <a:latin typeface="Calibri"/>
                        <a:cs typeface="Calibri"/>
                      </a:rPr>
                      <a:t>%</a:t>
                    </a:r>
                  </a:p>
                </c:rich>
              </c:tx>
              <c:numFmt formatCode="0.00%" sourceLinked="0"/>
              <c:spPr/>
              <c:dLblPos val="bestFit"/>
              <c:showLegendKey val="1"/>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313-45B2-8A7D-1A632FF9D42F}"/>
                </c:ext>
              </c:extLst>
            </c:dLbl>
            <c:numFmt formatCode="0.00%" sourceLinked="0"/>
            <c:spPr>
              <a:noFill/>
              <a:ln w="25400">
                <a:noFill/>
              </a:ln>
            </c:spPr>
            <c:txPr>
              <a:bodyPr wrap="square" lIns="38100" tIns="19050" rIns="38100" bIns="19050" anchor="ctr">
                <a:spAutoFit/>
              </a:bodyPr>
              <a:lstStyle/>
              <a:p>
                <a:pPr>
                  <a:defRPr sz="1000" b="0" i="0" u="none" strike="noStrike" baseline="0">
                    <a:solidFill>
                      <a:srgbClr val="000000"/>
                    </a:solidFill>
                    <a:latin typeface="Calibri"/>
                    <a:ea typeface="Calibri"/>
                    <a:cs typeface="Calibri"/>
                  </a:defRPr>
                </a:pPr>
                <a:endParaRPr lang="tr-TR"/>
              </a:p>
            </c:txPr>
            <c:showLegendKey val="1"/>
            <c:showVal val="0"/>
            <c:showCatName val="0"/>
            <c:showSerName val="0"/>
            <c:showPercent val="1"/>
            <c:showBubbleSize val="0"/>
            <c:showLeaderLines val="1"/>
            <c:extLst>
              <c:ext xmlns:c15="http://schemas.microsoft.com/office/drawing/2012/chart" uri="{CE6537A1-D6FC-4f65-9D91-7224C49458BB}"/>
            </c:extLst>
          </c:dLbls>
          <c:cat>
            <c:strLit>
              <c:ptCount val="3"/>
              <c:pt idx="0">
                <c:v>DOLU KADRO Loaded Staff</c:v>
              </c:pt>
              <c:pt idx="1">
                <c:v>SÖZLEŞMELİ Contracted</c:v>
              </c:pt>
              <c:pt idx="2">
                <c:v> İŞÇİ  Worker</c:v>
              </c:pt>
            </c:strLit>
          </c:cat>
          <c:val>
            <c:numLit>
              <c:formatCode>General</c:formatCode>
              <c:ptCount val="3"/>
              <c:pt idx="0">
                <c:v>0.98188096689010762</c:v>
              </c:pt>
              <c:pt idx="1">
                <c:v>1.4259597806215722E-2</c:v>
              </c:pt>
              <c:pt idx="2">
                <c:v>3.8594353036766199E-3</c:v>
              </c:pt>
            </c:numLit>
          </c:val>
          <c:extLst>
            <c:ext xmlns:c16="http://schemas.microsoft.com/office/drawing/2014/chart" uri="{C3380CC4-5D6E-409C-BE32-E72D297353CC}">
              <c16:uniqueId val="{00000003-2313-45B2-8A7D-1A632FF9D42F}"/>
            </c:ext>
          </c:extLst>
        </c:ser>
        <c:dLbls>
          <c:showLegendKey val="0"/>
          <c:showVal val="0"/>
          <c:showCatName val="0"/>
          <c:showSerName val="0"/>
          <c:showPercent val="0"/>
          <c:showBubbleSize val="0"/>
          <c:showLeaderLines val="1"/>
        </c:dLbls>
      </c:pie3DChart>
      <c:spPr>
        <a:noFill/>
        <a:ln w="25400">
          <a:noFill/>
        </a:ln>
      </c:spPr>
    </c:plotArea>
    <c:legend>
      <c:legendPos val="r"/>
      <c:layout>
        <c:manualLayout>
          <c:xMode val="edge"/>
          <c:yMode val="edge"/>
          <c:x val="6.7649176596288302E-2"/>
          <c:y val="0.90392475052293586"/>
          <c:w val="0.77796653736866961"/>
          <c:h val="5.1949584982080244E-2"/>
        </c:manualLayout>
      </c:layout>
      <c:overlay val="0"/>
      <c:txPr>
        <a:bodyPr/>
        <a:lstStyle/>
        <a:p>
          <a:pPr>
            <a:defRPr sz="775" b="0" i="0" u="none" strike="noStrike" baseline="0">
              <a:solidFill>
                <a:srgbClr val="000000"/>
              </a:solidFill>
              <a:latin typeface="Calibri"/>
              <a:ea typeface="Calibri"/>
              <a:cs typeface="Calibri"/>
            </a:defRPr>
          </a:pPr>
          <a:endParaRPr lang="tr-TR"/>
        </a:p>
      </c:txPr>
    </c:legend>
    <c:plotVisOnly val="1"/>
    <c:dispBlanksAs val="gap"/>
    <c:showDLblsOverMax val="0"/>
  </c:chart>
  <c:spPr>
    <a:gradFill>
      <a:gsLst>
        <a:gs pos="0">
          <a:srgbClr val="969696"/>
        </a:gs>
        <a:gs pos="50000">
          <a:srgbClr val="FFFFFF"/>
        </a:gs>
        <a:gs pos="100000">
          <a:srgbClr val="969696"/>
        </a:gs>
      </a:gsLst>
      <a:lin ang="2700000" scaled="1"/>
    </a:gradFill>
    <a:ln w="3175">
      <a:solidFill>
        <a:srgbClr val="000000"/>
      </a:solidFill>
    </a:ln>
    <a:effectLst>
      <a:outerShdw dist="38100" dir="2400000" algn="ctr" rotWithShape="0">
        <a:srgbClr val="000000"/>
      </a:outerShdw>
    </a:effectLst>
  </c:spPr>
  <c:txPr>
    <a:bodyPr/>
    <a:lstStyle/>
    <a:p>
      <a:pPr>
        <a:defRPr sz="1000" b="0" i="0" u="none" strike="noStrike" baseline="0">
          <a:solidFill>
            <a:srgbClr val="000000"/>
          </a:solidFill>
          <a:latin typeface="Calibri"/>
          <a:ea typeface="Calibri"/>
          <a:cs typeface="Calibri"/>
        </a:defRPr>
      </a:pPr>
      <a:endParaRPr lang="tr-T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tr-TR" sz="1000" b="1" i="0" u="none" strike="noStrike" baseline="0">
                <a:solidFill>
                  <a:srgbClr val="000000"/>
                </a:solidFill>
                <a:latin typeface="Arial"/>
                <a:cs typeface="Arial"/>
              </a:rPr>
              <a:t>Merkez  Teşkilatı Kadro Durumu</a:t>
            </a:r>
          </a:p>
          <a:p>
            <a:pPr>
              <a:defRPr sz="1000" b="0" i="0" u="none" strike="noStrike" baseline="0">
                <a:solidFill>
                  <a:srgbClr val="000000"/>
                </a:solidFill>
                <a:latin typeface="Calibri"/>
                <a:ea typeface="Calibri"/>
                <a:cs typeface="Calibri"/>
              </a:defRPr>
            </a:pPr>
            <a:r>
              <a:rPr lang="tr-TR" sz="1000" b="0" i="0" u="none" strike="noStrike" baseline="0">
                <a:solidFill>
                  <a:srgbClr val="000000"/>
                </a:solidFill>
                <a:latin typeface="Arial"/>
                <a:cs typeface="Arial"/>
              </a:rPr>
              <a:t>Staff Status Of Central Organization</a:t>
            </a:r>
          </a:p>
        </c:rich>
      </c:tx>
      <c:layout>
        <c:manualLayout>
          <c:xMode val="edge"/>
          <c:yMode val="edge"/>
          <c:x val="0.27700223039130417"/>
          <c:y val="1.769643659407439E-3"/>
        </c:manualLayout>
      </c:layout>
      <c:overlay val="0"/>
    </c:title>
    <c:autoTitleDeleted val="0"/>
    <c:view3D>
      <c:rotX val="30"/>
      <c:rotY val="0"/>
      <c:rAngAx val="0"/>
      <c:perspective val="20"/>
    </c:view3D>
    <c:floor>
      <c:thickness val="0"/>
    </c:floor>
    <c:sideWall>
      <c:thickness val="0"/>
    </c:sideWall>
    <c:backWall>
      <c:thickness val="0"/>
    </c:backWall>
    <c:plotArea>
      <c:layout>
        <c:manualLayout>
          <c:layoutTarget val="inner"/>
          <c:xMode val="edge"/>
          <c:yMode val="edge"/>
          <c:x val="3.3863740600706849E-2"/>
          <c:y val="0.13631309847736922"/>
          <c:w val="0.95723701772773284"/>
          <c:h val="0.65045236992434774"/>
        </c:manualLayout>
      </c:layout>
      <c:pie3DChart>
        <c:varyColors val="1"/>
        <c:ser>
          <c:idx val="0"/>
          <c:order val="0"/>
          <c:tx>
            <c:v>MERKEZ TEŞKİLATI
Central Organization</c:v>
          </c:tx>
          <c:spPr>
            <a:ln>
              <a:solidFill>
                <a:srgbClr val="000000"/>
              </a:solidFill>
            </a:ln>
          </c:spPr>
          <c:explosion val="25"/>
          <c:dPt>
            <c:idx val="0"/>
            <c:bubble3D val="0"/>
            <c:extLst>
              <c:ext xmlns:c16="http://schemas.microsoft.com/office/drawing/2014/chart" uri="{C3380CC4-5D6E-409C-BE32-E72D297353CC}">
                <c16:uniqueId val="{00000000-33FE-4224-A809-2738C65DDD57}"/>
              </c:ext>
            </c:extLst>
          </c:dPt>
          <c:dPt>
            <c:idx val="1"/>
            <c:bubble3D val="0"/>
            <c:extLst>
              <c:ext xmlns:c16="http://schemas.microsoft.com/office/drawing/2014/chart" uri="{C3380CC4-5D6E-409C-BE32-E72D297353CC}">
                <c16:uniqueId val="{00000001-33FE-4224-A809-2738C65DDD57}"/>
              </c:ext>
            </c:extLst>
          </c:dPt>
          <c:dPt>
            <c:idx val="2"/>
            <c:bubble3D val="0"/>
            <c:extLst>
              <c:ext xmlns:c16="http://schemas.microsoft.com/office/drawing/2014/chart" uri="{C3380CC4-5D6E-409C-BE32-E72D297353CC}">
                <c16:uniqueId val="{00000002-33FE-4224-A809-2738C65DDD57}"/>
              </c:ext>
            </c:extLst>
          </c:dPt>
          <c:dLbls>
            <c:dLbl>
              <c:idx val="0"/>
              <c:layout>
                <c:manualLayout>
                  <c:x val="0.22370730090456756"/>
                  <c:y val="-6.5359820218551107E-2"/>
                </c:manualLayout>
              </c:layout>
              <c:tx>
                <c:rich>
                  <a:bodyPr/>
                  <a:lstStyle/>
                  <a:p>
                    <a:pPr>
                      <a:defRPr sz="1000" b="0" i="0" u="none" strike="noStrike" baseline="0">
                        <a:solidFill>
                          <a:srgbClr val="000000"/>
                        </a:solidFill>
                        <a:latin typeface="Calibri"/>
                        <a:ea typeface="Calibri"/>
                        <a:cs typeface="Calibri"/>
                      </a:defRPr>
                    </a:pPr>
                    <a:r>
                      <a:rPr lang="en-US"/>
                      <a:t>94,58%</a:t>
                    </a:r>
                  </a:p>
                </c:rich>
              </c:tx>
              <c:numFmt formatCode="0.00%" sourceLinked="0"/>
              <c:spPr/>
              <c:dLblPos val="bestFit"/>
              <c:showLegendKey val="1"/>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3FE-4224-A809-2738C65DDD57}"/>
                </c:ext>
              </c:extLst>
            </c:dLbl>
            <c:dLbl>
              <c:idx val="1"/>
              <c:layout>
                <c:manualLayout>
                  <c:x val="-0.10506897293576008"/>
                  <c:y val="6.1002178649237473E-2"/>
                </c:manualLayout>
              </c:layout>
              <c:tx>
                <c:rich>
                  <a:bodyPr/>
                  <a:lstStyle/>
                  <a:p>
                    <a:pPr>
                      <a:defRPr sz="1000" b="0" i="0" u="none" strike="noStrike" baseline="0">
                        <a:solidFill>
                          <a:srgbClr val="000000"/>
                        </a:solidFill>
                        <a:latin typeface="Calibri"/>
                        <a:ea typeface="Calibri"/>
                        <a:cs typeface="Calibri"/>
                      </a:defRPr>
                    </a:pPr>
                    <a:r>
                      <a:rPr lang="en-US"/>
                      <a:t>4,79%</a:t>
                    </a:r>
                  </a:p>
                </c:rich>
              </c:tx>
              <c:numFmt formatCode="0.00%" sourceLinked="0"/>
              <c:spPr/>
              <c:dLblPos val="bestFit"/>
              <c:showLegendKey val="1"/>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3FE-4224-A809-2738C65DDD57}"/>
                </c:ext>
              </c:extLst>
            </c:dLbl>
            <c:dLbl>
              <c:idx val="2"/>
              <c:layout>
                <c:manualLayout>
                  <c:x val="0.16858827072845403"/>
                  <c:y val="4.3572984749455342E-3"/>
                </c:manualLayout>
              </c:layout>
              <c:tx>
                <c:rich>
                  <a:bodyPr/>
                  <a:lstStyle/>
                  <a:p>
                    <a:pPr>
                      <a:defRPr sz="1000" b="0" i="0" u="none" strike="noStrike" baseline="0">
                        <a:solidFill>
                          <a:srgbClr val="000000"/>
                        </a:solidFill>
                        <a:latin typeface="Calibri"/>
                        <a:ea typeface="Calibri"/>
                        <a:cs typeface="Calibri"/>
                      </a:defRPr>
                    </a:pPr>
                    <a:r>
                      <a:rPr lang="en-US"/>
                      <a:t>0,63%</a:t>
                    </a:r>
                  </a:p>
                </c:rich>
              </c:tx>
              <c:numFmt formatCode="0.00%" sourceLinked="0"/>
              <c:spPr/>
              <c:dLblPos val="bestFit"/>
              <c:showLegendKey val="1"/>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3FE-4224-A809-2738C65DDD57}"/>
                </c:ext>
              </c:extLst>
            </c:dLbl>
            <c:numFmt formatCode="0.00%" sourceLinked="0"/>
            <c:spPr>
              <a:noFill/>
              <a:ln w="25400">
                <a:noFill/>
              </a:ln>
            </c:spPr>
            <c:txPr>
              <a:bodyPr wrap="square" lIns="38100" tIns="19050" rIns="38100" bIns="19050" anchor="ctr">
                <a:spAutoFit/>
              </a:bodyPr>
              <a:lstStyle/>
              <a:p>
                <a:pPr>
                  <a:defRPr sz="1000" b="0" i="0" u="none" strike="noStrike" baseline="0">
                    <a:solidFill>
                      <a:srgbClr val="000000"/>
                    </a:solidFill>
                    <a:latin typeface="Calibri"/>
                    <a:ea typeface="Calibri"/>
                    <a:cs typeface="Calibri"/>
                  </a:defRPr>
                </a:pPr>
                <a:endParaRPr lang="tr-TR"/>
              </a:p>
            </c:txPr>
            <c:dLblPos val="outEnd"/>
            <c:showLegendKey val="1"/>
            <c:showVal val="0"/>
            <c:showCatName val="0"/>
            <c:showSerName val="0"/>
            <c:showPercent val="1"/>
            <c:showBubbleSize val="0"/>
            <c:showLeaderLines val="1"/>
            <c:extLst>
              <c:ext xmlns:c15="http://schemas.microsoft.com/office/drawing/2012/chart" uri="{CE6537A1-D6FC-4f65-9D91-7224C49458BB}"/>
            </c:extLst>
          </c:dLbls>
          <c:cat>
            <c:strLit>
              <c:ptCount val="3"/>
              <c:pt idx="0">
                <c:v>DOLU KADRO Loaded Staff</c:v>
              </c:pt>
              <c:pt idx="1">
                <c:v>SÖZLEŞMELİ Contracted</c:v>
              </c:pt>
              <c:pt idx="2">
                <c:v> İŞÇİ  Worker</c:v>
              </c:pt>
            </c:strLit>
          </c:cat>
          <c:val>
            <c:numLit>
              <c:formatCode>General</c:formatCode>
              <c:ptCount val="3"/>
              <c:pt idx="0">
                <c:v>0.94933524973050665</c:v>
              </c:pt>
              <c:pt idx="1">
                <c:v>4.3118936399568812E-2</c:v>
              </c:pt>
              <c:pt idx="2">
                <c:v>7.5458138699245414E-3</c:v>
              </c:pt>
            </c:numLit>
          </c:val>
          <c:extLst>
            <c:ext xmlns:c16="http://schemas.microsoft.com/office/drawing/2014/chart" uri="{C3380CC4-5D6E-409C-BE32-E72D297353CC}">
              <c16:uniqueId val="{00000003-33FE-4224-A809-2738C65DDD57}"/>
            </c:ext>
          </c:extLst>
        </c:ser>
        <c:ser>
          <c:idx val="1"/>
          <c:order val="1"/>
          <c:tx>
            <c:v>MERKEZ TEŞKİLATI
Central Organization</c:v>
          </c:tx>
          <c:dPt>
            <c:idx val="0"/>
            <c:bubble3D val="0"/>
            <c:extLst>
              <c:ext xmlns:c16="http://schemas.microsoft.com/office/drawing/2014/chart" uri="{C3380CC4-5D6E-409C-BE32-E72D297353CC}">
                <c16:uniqueId val="{00000004-33FE-4224-A809-2738C65DDD57}"/>
              </c:ext>
            </c:extLst>
          </c:dPt>
          <c:dPt>
            <c:idx val="1"/>
            <c:bubble3D val="0"/>
            <c:extLst>
              <c:ext xmlns:c16="http://schemas.microsoft.com/office/drawing/2014/chart" uri="{C3380CC4-5D6E-409C-BE32-E72D297353CC}">
                <c16:uniqueId val="{00000005-33FE-4224-A809-2738C65DDD57}"/>
              </c:ext>
            </c:extLst>
          </c:dPt>
          <c:dPt>
            <c:idx val="2"/>
            <c:bubble3D val="0"/>
            <c:extLst>
              <c:ext xmlns:c16="http://schemas.microsoft.com/office/drawing/2014/chart" uri="{C3380CC4-5D6E-409C-BE32-E72D297353CC}">
                <c16:uniqueId val="{00000006-33FE-4224-A809-2738C65DDD57}"/>
              </c:ext>
            </c:extLst>
          </c:dPt>
          <c:val>
            <c:numLit>
              <c:formatCode>General</c:formatCode>
              <c:ptCount val="3"/>
              <c:pt idx="0">
                <c:v>0.95280657847693961</c:v>
              </c:pt>
              <c:pt idx="1">
                <c:v>4.0042903110475508E-2</c:v>
              </c:pt>
              <c:pt idx="2">
                <c:v>7.1505184125849122E-3</c:v>
              </c:pt>
            </c:numLit>
          </c:val>
          <c:extLst>
            <c:ext xmlns:c16="http://schemas.microsoft.com/office/drawing/2014/chart" uri="{C3380CC4-5D6E-409C-BE32-E72D297353CC}">
              <c16:uniqueId val="{00000007-33FE-4224-A809-2738C65DDD57}"/>
            </c:ext>
          </c:extLst>
        </c:ser>
        <c:dLbls>
          <c:showLegendKey val="0"/>
          <c:showVal val="0"/>
          <c:showCatName val="0"/>
          <c:showSerName val="0"/>
          <c:showPercent val="0"/>
          <c:showBubbleSize val="0"/>
          <c:showLeaderLines val="1"/>
        </c:dLbls>
      </c:pie3DChart>
      <c:spPr>
        <a:noFill/>
        <a:ln w="25400">
          <a:noFill/>
        </a:ln>
      </c:spPr>
    </c:plotArea>
    <c:legend>
      <c:legendPos val="r"/>
      <c:layout>
        <c:manualLayout>
          <c:xMode val="edge"/>
          <c:yMode val="edge"/>
          <c:x val="8.3702990734405625E-2"/>
          <c:y val="0.87584592466482236"/>
          <c:w val="0.70339970390299156"/>
          <c:h val="7.1897724496149729E-2"/>
        </c:manualLayout>
      </c:layout>
      <c:overlay val="0"/>
      <c:txPr>
        <a:bodyPr/>
        <a:lstStyle/>
        <a:p>
          <a:pPr>
            <a:defRPr sz="775" b="0" i="0" u="none" strike="noStrike" baseline="0">
              <a:solidFill>
                <a:srgbClr val="000000"/>
              </a:solidFill>
              <a:latin typeface="Calibri"/>
              <a:ea typeface="Calibri"/>
              <a:cs typeface="Calibri"/>
            </a:defRPr>
          </a:pPr>
          <a:endParaRPr lang="tr-TR"/>
        </a:p>
      </c:txPr>
    </c:legend>
    <c:plotVisOnly val="1"/>
    <c:dispBlanksAs val="gap"/>
    <c:showDLblsOverMax val="0"/>
  </c:chart>
  <c:spPr>
    <a:gradFill>
      <a:gsLst>
        <a:gs pos="0">
          <a:srgbClr val="969696"/>
        </a:gs>
        <a:gs pos="50000">
          <a:srgbClr val="FFFFFF"/>
        </a:gs>
        <a:gs pos="100000">
          <a:srgbClr val="969696"/>
        </a:gs>
      </a:gsLst>
      <a:lin ang="2700000" scaled="1"/>
    </a:gradFill>
    <a:ln>
      <a:solidFill>
        <a:srgbClr val="000000">
          <a:alpha val="90000"/>
        </a:srgbClr>
      </a:solidFill>
      <a:bevel/>
    </a:ln>
    <a:effectLst>
      <a:glow rad="127000">
        <a:schemeClr val="bg1"/>
      </a:glow>
      <a:outerShdw blurRad="50800" dist="50800" dir="5400000" sx="1000" sy="1000" algn="ctr" rotWithShape="0">
        <a:schemeClr val="tx1"/>
      </a:outerShdw>
    </a:effectLst>
  </c:spPr>
  <c:txPr>
    <a:bodyPr/>
    <a:lstStyle/>
    <a:p>
      <a:pPr>
        <a:defRPr sz="1000" b="0" i="0" u="none" strike="noStrike" baseline="0">
          <a:solidFill>
            <a:srgbClr val="000000"/>
          </a:solidFill>
          <a:latin typeface="Calibri"/>
          <a:ea typeface="Calibri"/>
          <a:cs typeface="Calibri"/>
        </a:defRPr>
      </a:pPr>
      <a:endParaRPr lang="tr-T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Tur"/>
                <a:ea typeface="Arial Tur"/>
                <a:cs typeface="Arial Tur"/>
              </a:defRPr>
            </a:pPr>
            <a:r>
              <a:rPr lang="tr-TR"/>
              <a:t>(4/a)  Zorunlu Sigortalı Sayıları</a:t>
            </a:r>
          </a:p>
        </c:rich>
      </c:tx>
      <c:layout>
        <c:manualLayout>
          <c:xMode val="edge"/>
          <c:yMode val="edge"/>
          <c:x val="0.33072456851984411"/>
          <c:y val="6.3973509933774833E-2"/>
        </c:manualLayout>
      </c:layout>
      <c:overlay val="0"/>
      <c:spPr>
        <a:gradFill rotWithShape="0">
          <a:gsLst>
            <a:gs pos="0">
              <a:srgbClr val="969696"/>
            </a:gs>
            <a:gs pos="50000">
              <a:srgbClr val="FFFFFF"/>
            </a:gs>
            <a:gs pos="100000">
              <a:srgbClr val="969696"/>
            </a:gs>
          </a:gsLst>
          <a:lin ang="2700000" scaled="1"/>
        </a:gradFill>
        <a:ln w="25400">
          <a:noFill/>
        </a:ln>
      </c:spPr>
    </c:title>
    <c:autoTitleDeleted val="0"/>
    <c:plotArea>
      <c:layout>
        <c:manualLayout>
          <c:layoutTarget val="inner"/>
          <c:xMode val="edge"/>
          <c:yMode val="edge"/>
          <c:x val="0.18181818181818182"/>
          <c:y val="0.16666666666666666"/>
          <c:w val="0.65656565656565657"/>
          <c:h val="0.62612612612612617"/>
        </c:manualLayout>
      </c:layout>
      <c:lineChart>
        <c:grouping val="standard"/>
        <c:varyColors val="0"/>
        <c:ser>
          <c:idx val="4"/>
          <c:order val="1"/>
          <c:tx>
            <c:strRef>
              <c:f>'5.AYLARA GÖRE SİGORTALILAR'!$F$4</c:f>
              <c:strCache>
                <c:ptCount val="1"/>
                <c:pt idx="0">
                  <c:v>2013</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'5.AYLARA GÖRE SİGORTALILAR'!$A$5:$A$16</c:f>
              <c:strCache>
                <c:ptCount val="12"/>
                <c:pt idx="0">
                  <c:v>OCAK</c:v>
                </c:pt>
                <c:pt idx="1">
                  <c:v>ŞUBAT</c:v>
                </c:pt>
                <c:pt idx="2">
                  <c:v>MART</c:v>
                </c:pt>
                <c:pt idx="3">
                  <c:v>NİSAN</c:v>
                </c:pt>
                <c:pt idx="4">
                  <c:v>MAYIS</c:v>
                </c:pt>
                <c:pt idx="5">
                  <c:v>HAZİRAN</c:v>
                </c:pt>
                <c:pt idx="6">
                  <c:v>TEMMUZ</c:v>
                </c:pt>
                <c:pt idx="7">
                  <c:v>AĞUSTOS</c:v>
                </c:pt>
                <c:pt idx="8">
                  <c:v>EYLÜL</c:v>
                </c:pt>
                <c:pt idx="9">
                  <c:v>EKİM</c:v>
                </c:pt>
                <c:pt idx="10">
                  <c:v>KASIM</c:v>
                </c:pt>
                <c:pt idx="11">
                  <c:v>ARALIK</c:v>
                </c:pt>
              </c:strCache>
            </c:strRef>
          </c:cat>
          <c:val>
            <c:numRef>
              <c:f>'5.AYLARA GÖRE SİGORTALILAR'!$F$5:$F$16</c:f>
              <c:numCache>
                <c:formatCode>#,##0</c:formatCode>
                <c:ptCount val="12"/>
                <c:pt idx="0">
                  <c:v>11698045</c:v>
                </c:pt>
                <c:pt idx="1">
                  <c:v>11620928</c:v>
                </c:pt>
                <c:pt idx="2">
                  <c:v>11896801</c:v>
                </c:pt>
                <c:pt idx="3">
                  <c:v>12132681</c:v>
                </c:pt>
                <c:pt idx="4">
                  <c:v>12216079</c:v>
                </c:pt>
                <c:pt idx="5">
                  <c:v>12274403</c:v>
                </c:pt>
                <c:pt idx="6">
                  <c:v>12200031</c:v>
                </c:pt>
                <c:pt idx="7">
                  <c:v>12236880</c:v>
                </c:pt>
                <c:pt idx="8">
                  <c:v>12523723</c:v>
                </c:pt>
                <c:pt idx="9">
                  <c:v>12297151</c:v>
                </c:pt>
                <c:pt idx="10">
                  <c:v>12433976</c:v>
                </c:pt>
                <c:pt idx="11">
                  <c:v>12363785</c:v>
                </c:pt>
              </c:numCache>
            </c:numRef>
          </c:val>
          <c:smooth val="0"/>
          <c:extLst>
            <c:ext xmlns:c16="http://schemas.microsoft.com/office/drawing/2014/chart" uri="{C3380CC4-5D6E-409C-BE32-E72D297353CC}">
              <c16:uniqueId val="{00000000-E0D2-43BE-BEF2-1AA59AA22C48}"/>
            </c:ext>
          </c:extLst>
        </c:ser>
        <c:ser>
          <c:idx val="0"/>
          <c:order val="2"/>
          <c:tx>
            <c:strRef>
              <c:f>'5.AYLARA GÖRE SİGORTALILAR'!$H$4</c:f>
              <c:strCache>
                <c:ptCount val="1"/>
                <c:pt idx="0">
                  <c:v>2014</c:v>
                </c:pt>
              </c:strCache>
            </c:strRef>
          </c:tx>
          <c:cat>
            <c:strRef>
              <c:f>'5.AYLARA GÖRE SİGORTALILAR'!$A$5:$A$16</c:f>
              <c:strCache>
                <c:ptCount val="12"/>
                <c:pt idx="0">
                  <c:v>OCAK</c:v>
                </c:pt>
                <c:pt idx="1">
                  <c:v>ŞUBAT</c:v>
                </c:pt>
                <c:pt idx="2">
                  <c:v>MART</c:v>
                </c:pt>
                <c:pt idx="3">
                  <c:v>NİSAN</c:v>
                </c:pt>
                <c:pt idx="4">
                  <c:v>MAYIS</c:v>
                </c:pt>
                <c:pt idx="5">
                  <c:v>HAZİRAN</c:v>
                </c:pt>
                <c:pt idx="6">
                  <c:v>TEMMUZ</c:v>
                </c:pt>
                <c:pt idx="7">
                  <c:v>AĞUSTOS</c:v>
                </c:pt>
                <c:pt idx="8">
                  <c:v>EYLÜL</c:v>
                </c:pt>
                <c:pt idx="9">
                  <c:v>EKİM</c:v>
                </c:pt>
                <c:pt idx="10">
                  <c:v>KASIM</c:v>
                </c:pt>
                <c:pt idx="11">
                  <c:v>ARALIK</c:v>
                </c:pt>
              </c:strCache>
            </c:strRef>
          </c:cat>
          <c:val>
            <c:numRef>
              <c:f>'5.AYLARA GÖRE SİGORTALILAR'!$H$5:$H$16</c:f>
              <c:numCache>
                <c:formatCode>#,##0</c:formatCode>
                <c:ptCount val="12"/>
                <c:pt idx="0">
                  <c:v>12329012</c:v>
                </c:pt>
                <c:pt idx="1">
                  <c:v>12355589</c:v>
                </c:pt>
                <c:pt idx="2">
                  <c:v>12566310</c:v>
                </c:pt>
                <c:pt idx="3">
                  <c:v>12730077</c:v>
                </c:pt>
                <c:pt idx="4">
                  <c:v>12922571</c:v>
                </c:pt>
                <c:pt idx="5">
                  <c:v>13034290</c:v>
                </c:pt>
                <c:pt idx="6">
                  <c:v>12701507</c:v>
                </c:pt>
                <c:pt idx="7">
                  <c:v>12884711</c:v>
                </c:pt>
                <c:pt idx="8">
                  <c:v>13155308</c:v>
                </c:pt>
                <c:pt idx="9">
                  <c:v>13072609</c:v>
                </c:pt>
                <c:pt idx="10">
                  <c:v>13100694</c:v>
                </c:pt>
                <c:pt idx="11">
                  <c:v>13093230</c:v>
                </c:pt>
              </c:numCache>
            </c:numRef>
          </c:val>
          <c:smooth val="0"/>
          <c:extLst>
            <c:ext xmlns:c16="http://schemas.microsoft.com/office/drawing/2014/chart" uri="{C3380CC4-5D6E-409C-BE32-E72D297353CC}">
              <c16:uniqueId val="{00000001-E0D2-43BE-BEF2-1AA59AA22C48}"/>
            </c:ext>
          </c:extLst>
        </c:ser>
        <c:ser>
          <c:idx val="1"/>
          <c:order val="3"/>
          <c:tx>
            <c:v>2015</c:v>
          </c:tx>
          <c:cat>
            <c:strRef>
              <c:f>'5.AYLARA GÖRE SİGORTALILAR'!$A$5:$A$16</c:f>
              <c:strCache>
                <c:ptCount val="12"/>
                <c:pt idx="0">
                  <c:v>OCAK</c:v>
                </c:pt>
                <c:pt idx="1">
                  <c:v>ŞUBAT</c:v>
                </c:pt>
                <c:pt idx="2">
                  <c:v>MART</c:v>
                </c:pt>
                <c:pt idx="3">
                  <c:v>NİSAN</c:v>
                </c:pt>
                <c:pt idx="4">
                  <c:v>MAYIS</c:v>
                </c:pt>
                <c:pt idx="5">
                  <c:v>HAZİRAN</c:v>
                </c:pt>
                <c:pt idx="6">
                  <c:v>TEMMUZ</c:v>
                </c:pt>
                <c:pt idx="7">
                  <c:v>AĞUSTOS</c:v>
                </c:pt>
                <c:pt idx="8">
                  <c:v>EYLÜL</c:v>
                </c:pt>
                <c:pt idx="9">
                  <c:v>EKİM</c:v>
                </c:pt>
                <c:pt idx="10">
                  <c:v>KASIM</c:v>
                </c:pt>
                <c:pt idx="11">
                  <c:v>ARALIK</c:v>
                </c:pt>
              </c:strCache>
            </c:strRef>
          </c:cat>
          <c:val>
            <c:numRef>
              <c:f>'5.AYLARA GÖRE SİGORTALILAR'!$J$5:$J$16</c:f>
              <c:numCache>
                <c:formatCode>#,##0</c:formatCode>
                <c:ptCount val="12"/>
                <c:pt idx="0">
                  <c:v>12913416</c:v>
                </c:pt>
                <c:pt idx="1">
                  <c:v>12851205</c:v>
                </c:pt>
                <c:pt idx="2">
                  <c:v>13148326</c:v>
                </c:pt>
                <c:pt idx="3">
                  <c:v>13451823</c:v>
                </c:pt>
                <c:pt idx="4">
                  <c:v>13585611</c:v>
                </c:pt>
                <c:pt idx="5">
                  <c:v>13596512</c:v>
                </c:pt>
                <c:pt idx="6">
                  <c:v>13318215</c:v>
                </c:pt>
                <c:pt idx="7">
                  <c:v>13566414</c:v>
                </c:pt>
                <c:pt idx="8">
                  <c:v>13489364</c:v>
                </c:pt>
                <c:pt idx="9">
                  <c:v>13741124</c:v>
                </c:pt>
                <c:pt idx="10">
                  <c:v>13755572</c:v>
                </c:pt>
                <c:pt idx="11">
                  <c:v>13713717</c:v>
                </c:pt>
              </c:numCache>
            </c:numRef>
          </c:val>
          <c:smooth val="0"/>
          <c:extLst>
            <c:ext xmlns:c16="http://schemas.microsoft.com/office/drawing/2014/chart" uri="{C3380CC4-5D6E-409C-BE32-E72D297353CC}">
              <c16:uniqueId val="{00000002-E0D2-43BE-BEF2-1AA59AA22C48}"/>
            </c:ext>
          </c:extLst>
        </c:ser>
        <c:ser>
          <c:idx val="5"/>
          <c:order val="4"/>
          <c:tx>
            <c:strRef>
              <c:f>'5.AYLARA GÖRE SİGORTALILAR'!$L$4</c:f>
              <c:strCache>
                <c:ptCount val="1"/>
                <c:pt idx="0">
                  <c:v>2016</c:v>
                </c:pt>
              </c:strCache>
            </c:strRef>
          </c:tx>
          <c:val>
            <c:numRef>
              <c:f>'5.AYLARA GÖRE SİGORTALILAR'!$L$5:$L$16</c:f>
              <c:numCache>
                <c:formatCode>#,##0</c:formatCode>
                <c:ptCount val="12"/>
                <c:pt idx="0">
                  <c:v>13352629</c:v>
                </c:pt>
                <c:pt idx="1">
                  <c:v>13258741</c:v>
                </c:pt>
                <c:pt idx="2">
                  <c:v>13503330</c:v>
                </c:pt>
                <c:pt idx="3">
                  <c:v>13665900</c:v>
                </c:pt>
                <c:pt idx="4">
                  <c:v>13696518</c:v>
                </c:pt>
                <c:pt idx="5">
                  <c:v>13686743</c:v>
                </c:pt>
                <c:pt idx="6">
                  <c:v>13362031</c:v>
                </c:pt>
                <c:pt idx="7">
                  <c:v>13471407</c:v>
                </c:pt>
                <c:pt idx="8">
                  <c:v>13470684</c:v>
                </c:pt>
                <c:pt idx="9">
                  <c:v>13660465</c:v>
                </c:pt>
                <c:pt idx="10">
                  <c:v>13583875</c:v>
                </c:pt>
                <c:pt idx="11">
                  <c:v>13415843</c:v>
                </c:pt>
              </c:numCache>
            </c:numRef>
          </c:val>
          <c:smooth val="0"/>
          <c:extLst>
            <c:ext xmlns:c16="http://schemas.microsoft.com/office/drawing/2014/chart" uri="{C3380CC4-5D6E-409C-BE32-E72D297353CC}">
              <c16:uniqueId val="{00000003-E0D2-43BE-BEF2-1AA59AA22C48}"/>
            </c:ext>
          </c:extLst>
        </c:ser>
        <c:ser>
          <c:idx val="6"/>
          <c:order val="5"/>
          <c:tx>
            <c:strRef>
              <c:f>'5.AYLARA GÖRE SİGORTALILAR'!$N$4</c:f>
              <c:strCache>
                <c:ptCount val="1"/>
                <c:pt idx="0">
                  <c:v>2017</c:v>
                </c:pt>
              </c:strCache>
            </c:strRef>
          </c:tx>
          <c:spPr>
            <a:ln cap="flat">
              <a:solidFill>
                <a:srgbClr val="00B050"/>
              </a:solidFill>
              <a:round/>
              <a:tailEnd type="oval"/>
            </a:ln>
            <a:effectLst>
              <a:outerShdw blurRad="50800" dist="50800" dir="5400000" algn="ctr" rotWithShape="0">
                <a:schemeClr val="tx1"/>
              </a:outerShdw>
            </a:effectLst>
          </c:spPr>
          <c:marker>
            <c:spPr>
              <a:effectLst>
                <a:outerShdw blurRad="50800" dist="50800" dir="5400000" algn="ctr" rotWithShape="0">
                  <a:schemeClr val="tx1"/>
                </a:outerShdw>
              </a:effectLst>
            </c:spPr>
          </c:marker>
          <c:val>
            <c:numRef>
              <c:f>'5.AYLARA GÖRE SİGORTALILAR'!$N$5:$N$16</c:f>
              <c:numCache>
                <c:formatCode>#,##0</c:formatCode>
                <c:ptCount val="12"/>
                <c:pt idx="0">
                  <c:v>13115945</c:v>
                </c:pt>
                <c:pt idx="1">
                  <c:v>13126079</c:v>
                </c:pt>
                <c:pt idx="2">
                  <c:v>13558803</c:v>
                </c:pt>
                <c:pt idx="3">
                  <c:v>13849359</c:v>
                </c:pt>
              </c:numCache>
            </c:numRef>
          </c:val>
          <c:smooth val="0"/>
          <c:extLst>
            <c:ext xmlns:c16="http://schemas.microsoft.com/office/drawing/2014/chart" uri="{C3380CC4-5D6E-409C-BE32-E72D297353CC}">
              <c16:uniqueId val="{00000004-E0D2-43BE-BEF2-1AA59AA22C48}"/>
            </c:ext>
          </c:extLst>
        </c:ser>
        <c:dLbls>
          <c:showLegendKey val="0"/>
          <c:showVal val="0"/>
          <c:showCatName val="0"/>
          <c:showSerName val="0"/>
          <c:showPercent val="0"/>
          <c:showBubbleSize val="0"/>
        </c:dLbls>
        <c:marker val="1"/>
        <c:smooth val="0"/>
        <c:axId val="1784826799"/>
        <c:axId val="1"/>
      </c:lineChart>
      <c:lineChart>
        <c:grouping val="standard"/>
        <c:varyColors val="0"/>
        <c:ser>
          <c:idx val="2"/>
          <c:order val="0"/>
          <c:tx>
            <c:strRef>
              <c:f>'5.AYLARA GÖRE SİGORTALILAR'!$B$4</c:f>
              <c:strCache>
                <c:ptCount val="1"/>
                <c:pt idx="0">
                  <c:v>2011</c:v>
                </c:pt>
              </c:strCache>
            </c:strRef>
          </c:tx>
          <c:cat>
            <c:strRef>
              <c:f>'5.AYLARA GÖRE SİGORTALILAR'!$A$5:$A$16</c:f>
              <c:strCache>
                <c:ptCount val="12"/>
                <c:pt idx="0">
                  <c:v>OCAK</c:v>
                </c:pt>
                <c:pt idx="1">
                  <c:v>ŞUBAT</c:v>
                </c:pt>
                <c:pt idx="2">
                  <c:v>MART</c:v>
                </c:pt>
                <c:pt idx="3">
                  <c:v>NİSAN</c:v>
                </c:pt>
                <c:pt idx="4">
                  <c:v>MAYIS</c:v>
                </c:pt>
                <c:pt idx="5">
                  <c:v>HAZİRAN</c:v>
                </c:pt>
                <c:pt idx="6">
                  <c:v>TEMMUZ</c:v>
                </c:pt>
                <c:pt idx="7">
                  <c:v>AĞUSTOS</c:v>
                </c:pt>
                <c:pt idx="8">
                  <c:v>EYLÜL</c:v>
                </c:pt>
                <c:pt idx="9">
                  <c:v>EKİM</c:v>
                </c:pt>
                <c:pt idx="10">
                  <c:v>KASIM</c:v>
                </c:pt>
                <c:pt idx="11">
                  <c:v>ARALIK</c:v>
                </c:pt>
              </c:strCache>
            </c:strRef>
          </c:cat>
          <c:val>
            <c:numRef>
              <c:f>'5.AYLARA GÖRE SİGORTALILAR'!$B$5:$B$16</c:f>
            </c:numRef>
          </c:val>
          <c:smooth val="0"/>
          <c:extLst>
            <c:ext xmlns:c16="http://schemas.microsoft.com/office/drawing/2014/chart" uri="{C3380CC4-5D6E-409C-BE32-E72D297353CC}">
              <c16:uniqueId val="{00000005-E0D2-43BE-BEF2-1AA59AA22C48}"/>
            </c:ext>
          </c:extLst>
        </c:ser>
        <c:dLbls>
          <c:showLegendKey val="0"/>
          <c:showVal val="0"/>
          <c:showCatName val="0"/>
          <c:showSerName val="0"/>
          <c:showPercent val="0"/>
          <c:showBubbleSize val="0"/>
        </c:dLbls>
        <c:marker val="1"/>
        <c:smooth val="0"/>
        <c:axId val="1784826799"/>
        <c:axId val="1"/>
      </c:lineChart>
      <c:catAx>
        <c:axId val="1784826799"/>
        <c:scaling>
          <c:orientation val="minMax"/>
        </c:scaling>
        <c:delete val="0"/>
        <c:axPos val="b"/>
        <c:title>
          <c:tx>
            <c:rich>
              <a:bodyPr/>
              <a:lstStyle/>
              <a:p>
                <a:pPr>
                  <a:defRPr sz="1050" b="1" i="0" u="none" strike="noStrike" baseline="0">
                    <a:solidFill>
                      <a:srgbClr val="000000"/>
                    </a:solidFill>
                    <a:latin typeface="Arial Tur"/>
                    <a:ea typeface="Arial Tur"/>
                    <a:cs typeface="Arial Tur"/>
                  </a:defRPr>
                </a:pPr>
                <a:r>
                  <a:rPr lang="tr-TR"/>
                  <a:t>Aylar</a:t>
                </a:r>
              </a:p>
            </c:rich>
          </c:tx>
          <c:layout>
            <c:manualLayout>
              <c:xMode val="edge"/>
              <c:yMode val="edge"/>
              <c:x val="0.41095935735305811"/>
              <c:y val="0.905726999356868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2700000" vert="horz"/>
          <a:lstStyle/>
          <a:p>
            <a:pPr>
              <a:defRPr sz="675" b="0" i="0" u="none" strike="noStrike" baseline="0">
                <a:solidFill>
                  <a:srgbClr val="000000"/>
                </a:solidFill>
                <a:latin typeface="Arial Tur"/>
                <a:ea typeface="Arial Tur"/>
                <a:cs typeface="Arial Tur"/>
              </a:defRPr>
            </a:pPr>
            <a:endParaRPr lang="tr-TR"/>
          </a:p>
        </c:txPr>
        <c:crossAx val="1"/>
        <c:crosses val="autoZero"/>
        <c:auto val="1"/>
        <c:lblAlgn val="ctr"/>
        <c:lblOffset val="100"/>
        <c:tickLblSkip val="1"/>
        <c:tickMarkSkip val="1"/>
        <c:noMultiLvlLbl val="0"/>
      </c:catAx>
      <c:valAx>
        <c:axId val="1"/>
        <c:scaling>
          <c:orientation val="minMax"/>
          <c:max val="16000000"/>
          <c:min val="11500000.000000002"/>
        </c:scaling>
        <c:delete val="0"/>
        <c:axPos val="l"/>
        <c:title>
          <c:tx>
            <c:rich>
              <a:bodyPr/>
              <a:lstStyle/>
              <a:p>
                <a:pPr>
                  <a:defRPr sz="850" b="1" i="0" u="none" strike="noStrike" baseline="0">
                    <a:solidFill>
                      <a:srgbClr val="000000"/>
                    </a:solidFill>
                    <a:latin typeface="Arial Tur"/>
                    <a:ea typeface="Arial Tur"/>
                    <a:cs typeface="Arial Tur"/>
                  </a:defRPr>
                </a:pPr>
                <a:r>
                  <a:rPr lang="tr-TR"/>
                  <a:t>Kişi Sayısı 
</a:t>
                </a:r>
              </a:p>
            </c:rich>
          </c:tx>
          <c:layout>
            <c:manualLayout>
              <c:xMode val="edge"/>
              <c:yMode val="edge"/>
              <c:x val="1.7039688220790582E-3"/>
              <c:y val="0.39394100571865598"/>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50" b="0" i="0" u="none" strike="noStrike" kern="600" baseline="0">
                <a:solidFill>
                  <a:srgbClr val="000000"/>
                </a:solidFill>
                <a:latin typeface="Arial Tur"/>
                <a:ea typeface="Arial Tur"/>
                <a:cs typeface="Arial Tur"/>
              </a:defRPr>
            </a:pPr>
            <a:endParaRPr lang="tr-TR"/>
          </a:p>
        </c:txPr>
        <c:crossAx val="1784826799"/>
        <c:crosses val="autoZero"/>
        <c:crossBetween val="between"/>
        <c:majorUnit val="500000"/>
        <c:minorUnit val="50000"/>
      </c:valAx>
      <c:spPr>
        <a:gradFill rotWithShape="0">
          <a:gsLst>
            <a:gs pos="37900">
              <a:srgbClr val="FCFCFC"/>
            </a:gs>
            <a:gs pos="0">
              <a:schemeClr val="bg1">
                <a:lumMod val="95000"/>
              </a:schemeClr>
            </a:gs>
            <a:gs pos="28000">
              <a:srgbClr val="FFFFFF"/>
            </a:gs>
            <a:gs pos="100000">
              <a:srgbClr val="99CCFF"/>
            </a:gs>
          </a:gsLst>
          <a:lin ang="18900000" scaled="1"/>
        </a:gradFill>
        <a:ln w="12700">
          <a:solidFill>
            <a:srgbClr val="808080"/>
          </a:solidFill>
          <a:prstDash val="solid"/>
        </a:ln>
      </c:spPr>
    </c:plotArea>
    <c:legend>
      <c:legendPos val="r"/>
      <c:layout>
        <c:manualLayout>
          <c:xMode val="edge"/>
          <c:yMode val="edge"/>
          <c:x val="0.84447180466078098"/>
          <c:y val="0.60702716796162071"/>
          <c:w val="0.13591940401389213"/>
          <c:h val="0.34119274825746115"/>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Tur"/>
              <a:ea typeface="Arial Tur"/>
              <a:cs typeface="Arial Tur"/>
            </a:defRPr>
          </a:pPr>
          <a:endParaRPr lang="tr-TR"/>
        </a:p>
      </c:txPr>
    </c:legend>
    <c:plotVisOnly val="1"/>
    <c:dispBlanksAs val="gap"/>
    <c:showDLblsOverMax val="0"/>
  </c:chart>
  <c:spPr>
    <a:gradFill rotWithShape="0">
      <a:gsLst>
        <a:gs pos="0">
          <a:srgbClr val="969696"/>
        </a:gs>
        <a:gs pos="50000">
          <a:srgbClr val="FFFFFF"/>
        </a:gs>
        <a:gs pos="100000">
          <a:srgbClr val="969696"/>
        </a:gs>
      </a:gsLst>
      <a:lin ang="2700000" scaled="1"/>
    </a:gradFill>
    <a:ln w="3175">
      <a:solidFill>
        <a:srgbClr val="000000"/>
      </a:solidFill>
      <a:prstDash val="solid"/>
    </a:ln>
    <a:effectLst>
      <a:outerShdw dist="35921" dir="2700000" algn="br">
        <a:srgbClr val="000000"/>
      </a:outerShdw>
    </a:effectLst>
  </c:spPr>
  <c:txPr>
    <a:bodyPr/>
    <a:lstStyle/>
    <a:p>
      <a:pPr>
        <a:defRPr sz="1050" b="0" i="0" u="none" strike="noStrike" baseline="0">
          <a:solidFill>
            <a:srgbClr val="000000"/>
          </a:solidFill>
          <a:latin typeface="Arial Tur"/>
          <a:ea typeface="Arial Tur"/>
          <a:cs typeface="Arial Tur"/>
        </a:defRPr>
      </a:pPr>
      <a:endParaRPr lang="tr-TR"/>
    </a:p>
  </c:txPr>
  <c:printSettings>
    <c:headerFooter alignWithMargins="0"/>
    <c:pageMargins b="1" l="0.75" r="0.75" t="1" header="0.5" footer="0.5"/>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Tur"/>
                <a:ea typeface="Arial Tur"/>
                <a:cs typeface="Arial Tur"/>
              </a:defRPr>
            </a:pPr>
            <a:r>
              <a:rPr lang="tr-TR"/>
              <a:t>(4/b) Zorunlu Sigortalı Sayıları</a:t>
            </a:r>
          </a:p>
        </c:rich>
      </c:tx>
      <c:layout>
        <c:manualLayout>
          <c:xMode val="edge"/>
          <c:yMode val="edge"/>
          <c:x val="0.28893421109246592"/>
          <c:y val="5.7142184813105262E-2"/>
        </c:manualLayout>
      </c:layout>
      <c:overlay val="0"/>
      <c:spPr>
        <a:gradFill rotWithShape="0">
          <a:gsLst>
            <a:gs pos="0">
              <a:srgbClr val="969696"/>
            </a:gs>
            <a:gs pos="50000">
              <a:srgbClr val="FFFFFF"/>
            </a:gs>
            <a:gs pos="100000">
              <a:srgbClr val="969696"/>
            </a:gs>
          </a:gsLst>
          <a:lin ang="2700000" scaled="1"/>
        </a:gradFill>
        <a:ln w="25400">
          <a:noFill/>
        </a:ln>
      </c:spPr>
    </c:title>
    <c:autoTitleDeleted val="0"/>
    <c:plotArea>
      <c:layout>
        <c:manualLayout>
          <c:layoutTarget val="inner"/>
          <c:xMode val="edge"/>
          <c:yMode val="edge"/>
          <c:x val="0.16598360655737704"/>
          <c:y val="0.21071465317147944"/>
          <c:w val="0.6598360655737705"/>
          <c:h val="0.54642952432603986"/>
        </c:manualLayout>
      </c:layout>
      <c:lineChart>
        <c:grouping val="standard"/>
        <c:varyColors val="0"/>
        <c:ser>
          <c:idx val="2"/>
          <c:order val="0"/>
          <c:tx>
            <c:strRef>
              <c:f>'5.AYLARA GÖRE SİGORTALILAR'!$B$19</c:f>
              <c:strCache>
                <c:ptCount val="1"/>
                <c:pt idx="0">
                  <c:v>2011</c:v>
                </c:pt>
              </c:strCache>
            </c:strRef>
          </c:tx>
          <c:cat>
            <c:strRef>
              <c:f>'5.AYLARA GÖRE SİGORTALILAR'!$A$20:$A$31</c:f>
              <c:strCache>
                <c:ptCount val="12"/>
                <c:pt idx="0">
                  <c:v>OCAK</c:v>
                </c:pt>
                <c:pt idx="1">
                  <c:v>ŞUBAT</c:v>
                </c:pt>
                <c:pt idx="2">
                  <c:v>MART</c:v>
                </c:pt>
                <c:pt idx="3">
                  <c:v>NİSAN</c:v>
                </c:pt>
                <c:pt idx="4">
                  <c:v>MAYIS</c:v>
                </c:pt>
                <c:pt idx="5">
                  <c:v>HAZİRAN</c:v>
                </c:pt>
                <c:pt idx="6">
                  <c:v>TEMMUZ</c:v>
                </c:pt>
                <c:pt idx="7">
                  <c:v>AĞUSTOS</c:v>
                </c:pt>
                <c:pt idx="8">
                  <c:v>EYLÜL</c:v>
                </c:pt>
                <c:pt idx="9">
                  <c:v>EKİM</c:v>
                </c:pt>
                <c:pt idx="10">
                  <c:v>KASIM</c:v>
                </c:pt>
                <c:pt idx="11">
                  <c:v>ARALIK</c:v>
                </c:pt>
              </c:strCache>
            </c:strRef>
          </c:cat>
          <c:val>
            <c:numRef>
              <c:f>'5.AYLARA GÖRE SİGORTALILAR'!$B$20:$B$31</c:f>
            </c:numRef>
          </c:val>
          <c:smooth val="0"/>
          <c:extLst>
            <c:ext xmlns:c16="http://schemas.microsoft.com/office/drawing/2014/chart" uri="{C3380CC4-5D6E-409C-BE32-E72D297353CC}">
              <c16:uniqueId val="{00000000-640C-4DA9-B6F9-219E3B5EFB3C}"/>
            </c:ext>
          </c:extLst>
        </c:ser>
        <c:ser>
          <c:idx val="3"/>
          <c:order val="1"/>
          <c:tx>
            <c:strRef>
              <c:f>'5.AYLARA GÖRE SİGORTALILAR'!$D$19</c:f>
              <c:strCache>
                <c:ptCount val="1"/>
                <c:pt idx="0">
                  <c:v>2012</c:v>
                </c:pt>
              </c:strCache>
            </c:strRef>
          </c:tx>
          <c:cat>
            <c:strRef>
              <c:f>'5.AYLARA GÖRE SİGORTALILAR'!$A$20:$A$31</c:f>
              <c:strCache>
                <c:ptCount val="12"/>
                <c:pt idx="0">
                  <c:v>OCAK</c:v>
                </c:pt>
                <c:pt idx="1">
                  <c:v>ŞUBAT</c:v>
                </c:pt>
                <c:pt idx="2">
                  <c:v>MART</c:v>
                </c:pt>
                <c:pt idx="3">
                  <c:v>NİSAN</c:v>
                </c:pt>
                <c:pt idx="4">
                  <c:v>MAYIS</c:v>
                </c:pt>
                <c:pt idx="5">
                  <c:v>HAZİRAN</c:v>
                </c:pt>
                <c:pt idx="6">
                  <c:v>TEMMUZ</c:v>
                </c:pt>
                <c:pt idx="7">
                  <c:v>AĞUSTOS</c:v>
                </c:pt>
                <c:pt idx="8">
                  <c:v>EYLÜL</c:v>
                </c:pt>
                <c:pt idx="9">
                  <c:v>EKİM</c:v>
                </c:pt>
                <c:pt idx="10">
                  <c:v>KASIM</c:v>
                </c:pt>
                <c:pt idx="11">
                  <c:v>ARALIK</c:v>
                </c:pt>
              </c:strCache>
            </c:strRef>
          </c:cat>
          <c:val>
            <c:numRef>
              <c:f>'5.AYLARA GÖRE SİGORTALILAR'!$D$20:$D$31</c:f>
            </c:numRef>
          </c:val>
          <c:smooth val="0"/>
          <c:extLst>
            <c:ext xmlns:c16="http://schemas.microsoft.com/office/drawing/2014/chart" uri="{C3380CC4-5D6E-409C-BE32-E72D297353CC}">
              <c16:uniqueId val="{00000001-640C-4DA9-B6F9-219E3B5EFB3C}"/>
            </c:ext>
          </c:extLst>
        </c:ser>
        <c:ser>
          <c:idx val="0"/>
          <c:order val="2"/>
          <c:tx>
            <c:strRef>
              <c:f>'5.AYLARA GÖRE SİGORTALILAR'!$F$19</c:f>
              <c:strCache>
                <c:ptCount val="1"/>
                <c:pt idx="0">
                  <c:v>2013</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'5.AYLARA GÖRE SİGORTALILAR'!$A$20:$A$31</c:f>
              <c:strCache>
                <c:ptCount val="12"/>
                <c:pt idx="0">
                  <c:v>OCAK</c:v>
                </c:pt>
                <c:pt idx="1">
                  <c:v>ŞUBAT</c:v>
                </c:pt>
                <c:pt idx="2">
                  <c:v>MART</c:v>
                </c:pt>
                <c:pt idx="3">
                  <c:v>NİSAN</c:v>
                </c:pt>
                <c:pt idx="4">
                  <c:v>MAYIS</c:v>
                </c:pt>
                <c:pt idx="5">
                  <c:v>HAZİRAN</c:v>
                </c:pt>
                <c:pt idx="6">
                  <c:v>TEMMUZ</c:v>
                </c:pt>
                <c:pt idx="7">
                  <c:v>AĞUSTOS</c:v>
                </c:pt>
                <c:pt idx="8">
                  <c:v>EYLÜL</c:v>
                </c:pt>
                <c:pt idx="9">
                  <c:v>EKİM</c:v>
                </c:pt>
                <c:pt idx="10">
                  <c:v>KASIM</c:v>
                </c:pt>
                <c:pt idx="11">
                  <c:v>ARALIK</c:v>
                </c:pt>
              </c:strCache>
            </c:strRef>
          </c:cat>
          <c:val>
            <c:numRef>
              <c:f>'5.AYLARA GÖRE SİGORTALILAR'!$F$20:$F$31</c:f>
              <c:numCache>
                <c:formatCode>#,##0</c:formatCode>
                <c:ptCount val="12"/>
                <c:pt idx="0">
                  <c:v>2963719</c:v>
                </c:pt>
                <c:pt idx="1">
                  <c:v>2969232</c:v>
                </c:pt>
                <c:pt idx="2">
                  <c:v>2973096</c:v>
                </c:pt>
                <c:pt idx="3">
                  <c:v>2976760</c:v>
                </c:pt>
                <c:pt idx="4">
                  <c:v>2981302</c:v>
                </c:pt>
                <c:pt idx="5">
                  <c:v>2974355</c:v>
                </c:pt>
                <c:pt idx="6">
                  <c:v>2970694</c:v>
                </c:pt>
                <c:pt idx="7">
                  <c:v>2931681</c:v>
                </c:pt>
                <c:pt idx="8">
                  <c:v>2883080</c:v>
                </c:pt>
                <c:pt idx="9">
                  <c:v>2856746</c:v>
                </c:pt>
                <c:pt idx="10">
                  <c:v>2800861</c:v>
                </c:pt>
                <c:pt idx="11">
                  <c:v>2760917</c:v>
                </c:pt>
              </c:numCache>
            </c:numRef>
          </c:val>
          <c:smooth val="0"/>
          <c:extLst>
            <c:ext xmlns:c16="http://schemas.microsoft.com/office/drawing/2014/chart" uri="{C3380CC4-5D6E-409C-BE32-E72D297353CC}">
              <c16:uniqueId val="{00000002-640C-4DA9-B6F9-219E3B5EFB3C}"/>
            </c:ext>
          </c:extLst>
        </c:ser>
        <c:ser>
          <c:idx val="4"/>
          <c:order val="3"/>
          <c:tx>
            <c:strRef>
              <c:f>'5.AYLARA GÖRE SİGORTALILAR'!$H$19</c:f>
              <c:strCache>
                <c:ptCount val="1"/>
                <c:pt idx="0">
                  <c:v>2014</c:v>
                </c:pt>
              </c:strCache>
            </c:strRef>
          </c:tx>
          <c:cat>
            <c:strRef>
              <c:f>'5.AYLARA GÖRE SİGORTALILAR'!$A$20:$A$31</c:f>
              <c:strCache>
                <c:ptCount val="12"/>
                <c:pt idx="0">
                  <c:v>OCAK</c:v>
                </c:pt>
                <c:pt idx="1">
                  <c:v>ŞUBAT</c:v>
                </c:pt>
                <c:pt idx="2">
                  <c:v>MART</c:v>
                </c:pt>
                <c:pt idx="3">
                  <c:v>NİSAN</c:v>
                </c:pt>
                <c:pt idx="4">
                  <c:v>MAYIS</c:v>
                </c:pt>
                <c:pt idx="5">
                  <c:v>HAZİRAN</c:v>
                </c:pt>
                <c:pt idx="6">
                  <c:v>TEMMUZ</c:v>
                </c:pt>
                <c:pt idx="7">
                  <c:v>AĞUSTOS</c:v>
                </c:pt>
                <c:pt idx="8">
                  <c:v>EYLÜL</c:v>
                </c:pt>
                <c:pt idx="9">
                  <c:v>EKİM</c:v>
                </c:pt>
                <c:pt idx="10">
                  <c:v>KASIM</c:v>
                </c:pt>
                <c:pt idx="11">
                  <c:v>ARALIK</c:v>
                </c:pt>
              </c:strCache>
            </c:strRef>
          </c:cat>
          <c:val>
            <c:numRef>
              <c:f>'5.AYLARA GÖRE SİGORTALILAR'!$H$20:$H$31</c:f>
              <c:numCache>
                <c:formatCode>#,##0</c:formatCode>
                <c:ptCount val="12"/>
                <c:pt idx="0">
                  <c:v>2720965</c:v>
                </c:pt>
                <c:pt idx="1">
                  <c:v>2855300</c:v>
                </c:pt>
                <c:pt idx="2">
                  <c:v>2871284</c:v>
                </c:pt>
                <c:pt idx="3">
                  <c:v>2815090</c:v>
                </c:pt>
                <c:pt idx="4">
                  <c:v>2815276</c:v>
                </c:pt>
                <c:pt idx="5">
                  <c:v>2816946</c:v>
                </c:pt>
                <c:pt idx="6">
                  <c:v>2875917</c:v>
                </c:pt>
                <c:pt idx="7">
                  <c:v>2909657</c:v>
                </c:pt>
                <c:pt idx="8">
                  <c:v>2907549</c:v>
                </c:pt>
                <c:pt idx="9">
                  <c:v>2924846</c:v>
                </c:pt>
                <c:pt idx="10">
                  <c:v>2868886</c:v>
                </c:pt>
                <c:pt idx="11">
                  <c:v>2827633</c:v>
                </c:pt>
              </c:numCache>
            </c:numRef>
          </c:val>
          <c:smooth val="0"/>
          <c:extLst>
            <c:ext xmlns:c16="http://schemas.microsoft.com/office/drawing/2014/chart" uri="{C3380CC4-5D6E-409C-BE32-E72D297353CC}">
              <c16:uniqueId val="{00000003-640C-4DA9-B6F9-219E3B5EFB3C}"/>
            </c:ext>
          </c:extLst>
        </c:ser>
        <c:ser>
          <c:idx val="1"/>
          <c:order val="4"/>
          <c:tx>
            <c:v>2015</c:v>
          </c:tx>
          <c:cat>
            <c:strRef>
              <c:f>'5.AYLARA GÖRE SİGORTALILAR'!$A$20:$A$31</c:f>
              <c:strCache>
                <c:ptCount val="12"/>
                <c:pt idx="0">
                  <c:v>OCAK</c:v>
                </c:pt>
                <c:pt idx="1">
                  <c:v>ŞUBAT</c:v>
                </c:pt>
                <c:pt idx="2">
                  <c:v>MART</c:v>
                </c:pt>
                <c:pt idx="3">
                  <c:v>NİSAN</c:v>
                </c:pt>
                <c:pt idx="4">
                  <c:v>MAYIS</c:v>
                </c:pt>
                <c:pt idx="5">
                  <c:v>HAZİRAN</c:v>
                </c:pt>
                <c:pt idx="6">
                  <c:v>TEMMUZ</c:v>
                </c:pt>
                <c:pt idx="7">
                  <c:v>AĞUSTOS</c:v>
                </c:pt>
                <c:pt idx="8">
                  <c:v>EYLÜL</c:v>
                </c:pt>
                <c:pt idx="9">
                  <c:v>EKİM</c:v>
                </c:pt>
                <c:pt idx="10">
                  <c:v>KASIM</c:v>
                </c:pt>
                <c:pt idx="11">
                  <c:v>ARALIK</c:v>
                </c:pt>
              </c:strCache>
            </c:strRef>
          </c:cat>
          <c:val>
            <c:numRef>
              <c:f>'5.AYLARA GÖRE SİGORTALILAR'!$J$20:$J$31</c:f>
              <c:numCache>
                <c:formatCode>#,##0</c:formatCode>
                <c:ptCount val="12"/>
                <c:pt idx="0">
                  <c:v>2821819</c:v>
                </c:pt>
                <c:pt idx="1">
                  <c:v>2914541</c:v>
                </c:pt>
                <c:pt idx="2">
                  <c:v>2898016</c:v>
                </c:pt>
                <c:pt idx="3">
                  <c:v>2789168</c:v>
                </c:pt>
                <c:pt idx="4">
                  <c:v>2874835</c:v>
                </c:pt>
                <c:pt idx="5">
                  <c:v>2829934</c:v>
                </c:pt>
                <c:pt idx="6">
                  <c:v>2838611</c:v>
                </c:pt>
                <c:pt idx="7">
                  <c:v>2629792</c:v>
                </c:pt>
                <c:pt idx="8">
                  <c:v>2841359</c:v>
                </c:pt>
                <c:pt idx="9">
                  <c:v>2834268</c:v>
                </c:pt>
                <c:pt idx="10">
                  <c:v>2830809</c:v>
                </c:pt>
                <c:pt idx="11">
                  <c:v>2833035</c:v>
                </c:pt>
              </c:numCache>
            </c:numRef>
          </c:val>
          <c:smooth val="0"/>
          <c:extLst>
            <c:ext xmlns:c16="http://schemas.microsoft.com/office/drawing/2014/chart" uri="{C3380CC4-5D6E-409C-BE32-E72D297353CC}">
              <c16:uniqueId val="{00000004-640C-4DA9-B6F9-219E3B5EFB3C}"/>
            </c:ext>
          </c:extLst>
        </c:ser>
        <c:ser>
          <c:idx val="5"/>
          <c:order val="5"/>
          <c:tx>
            <c:strRef>
              <c:f>'5.AYLARA GÖRE SİGORTALILAR'!$L$19</c:f>
              <c:strCache>
                <c:ptCount val="1"/>
                <c:pt idx="0">
                  <c:v>2016</c:v>
                </c:pt>
              </c:strCache>
            </c:strRef>
          </c:tx>
          <c:val>
            <c:numRef>
              <c:f>'5.AYLARA GÖRE SİGORTALILAR'!$L$20:$L$30</c:f>
              <c:numCache>
                <c:formatCode>#,##0</c:formatCode>
                <c:ptCount val="11"/>
                <c:pt idx="0">
                  <c:v>2803728</c:v>
                </c:pt>
                <c:pt idx="1">
                  <c:v>2708174</c:v>
                </c:pt>
                <c:pt idx="2">
                  <c:v>2683978</c:v>
                </c:pt>
                <c:pt idx="3">
                  <c:v>2671866</c:v>
                </c:pt>
                <c:pt idx="4">
                  <c:v>2683126</c:v>
                </c:pt>
                <c:pt idx="5">
                  <c:v>2679867</c:v>
                </c:pt>
                <c:pt idx="6">
                  <c:v>2684141</c:v>
                </c:pt>
                <c:pt idx="7">
                  <c:v>2690074</c:v>
                </c:pt>
                <c:pt idx="8">
                  <c:v>2692666</c:v>
                </c:pt>
                <c:pt idx="9">
                  <c:v>2695038</c:v>
                </c:pt>
                <c:pt idx="10">
                  <c:v>2706609</c:v>
                </c:pt>
              </c:numCache>
            </c:numRef>
          </c:val>
          <c:smooth val="0"/>
          <c:extLst>
            <c:ext xmlns:c16="http://schemas.microsoft.com/office/drawing/2014/chart" uri="{C3380CC4-5D6E-409C-BE32-E72D297353CC}">
              <c16:uniqueId val="{00000005-640C-4DA9-B6F9-219E3B5EFB3C}"/>
            </c:ext>
          </c:extLst>
        </c:ser>
        <c:ser>
          <c:idx val="6"/>
          <c:order val="6"/>
          <c:tx>
            <c:strRef>
              <c:f>'5.AYLARA GÖRE SİGORTALILAR'!$N$19</c:f>
              <c:strCache>
                <c:ptCount val="1"/>
                <c:pt idx="0">
                  <c:v>2017</c:v>
                </c:pt>
              </c:strCache>
            </c:strRef>
          </c:tx>
          <c:val>
            <c:numRef>
              <c:f>'5.AYLARA GÖRE SİGORTALILAR'!$N$20:$N$31</c:f>
              <c:numCache>
                <c:formatCode>#,##0</c:formatCode>
                <c:ptCount val="12"/>
                <c:pt idx="0">
                  <c:v>2520079</c:v>
                </c:pt>
                <c:pt idx="1">
                  <c:v>2698940</c:v>
                </c:pt>
                <c:pt idx="2">
                  <c:v>2734104</c:v>
                </c:pt>
                <c:pt idx="3">
                  <c:v>2760089</c:v>
                </c:pt>
                <c:pt idx="11">
                  <c:v>0</c:v>
                </c:pt>
              </c:numCache>
            </c:numRef>
          </c:val>
          <c:smooth val="0"/>
          <c:extLst>
            <c:ext xmlns:c16="http://schemas.microsoft.com/office/drawing/2014/chart" uri="{C3380CC4-5D6E-409C-BE32-E72D297353CC}">
              <c16:uniqueId val="{00000006-640C-4DA9-B6F9-219E3B5EFB3C}"/>
            </c:ext>
          </c:extLst>
        </c:ser>
        <c:dLbls>
          <c:showLegendKey val="0"/>
          <c:showVal val="0"/>
          <c:showCatName val="0"/>
          <c:showSerName val="0"/>
          <c:showPercent val="0"/>
          <c:showBubbleSize val="0"/>
        </c:dLbls>
        <c:marker val="1"/>
        <c:smooth val="0"/>
        <c:axId val="1784827215"/>
        <c:axId val="1"/>
      </c:lineChart>
      <c:catAx>
        <c:axId val="1784827215"/>
        <c:scaling>
          <c:orientation val="minMax"/>
        </c:scaling>
        <c:delete val="0"/>
        <c:axPos val="b"/>
        <c:title>
          <c:tx>
            <c:rich>
              <a:bodyPr/>
              <a:lstStyle/>
              <a:p>
                <a:pPr>
                  <a:defRPr sz="1000" b="1" i="0" u="none" strike="noStrike" baseline="0">
                    <a:solidFill>
                      <a:srgbClr val="000000"/>
                    </a:solidFill>
                    <a:latin typeface="Arial Tur"/>
                    <a:ea typeface="Arial Tur"/>
                    <a:cs typeface="Arial Tur"/>
                  </a:defRPr>
                </a:pPr>
                <a:r>
                  <a:rPr lang="tr-TR"/>
                  <a:t>Aylar</a:t>
                </a:r>
              </a:p>
            </c:rich>
          </c:tx>
          <c:layout>
            <c:manualLayout>
              <c:xMode val="edge"/>
              <c:yMode val="edge"/>
              <c:x val="0.41393442622950821"/>
              <c:y val="0.9035742601140375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2700000" vert="horz"/>
          <a:lstStyle/>
          <a:p>
            <a:pPr>
              <a:defRPr sz="625" b="0" i="0" u="none" strike="noStrike" baseline="0">
                <a:solidFill>
                  <a:srgbClr val="000000"/>
                </a:solidFill>
                <a:latin typeface="Arial Tur"/>
                <a:ea typeface="Arial Tur"/>
                <a:cs typeface="Arial Tur"/>
              </a:defRPr>
            </a:pPr>
            <a:endParaRPr lang="tr-TR"/>
          </a:p>
        </c:txPr>
        <c:crossAx val="1"/>
        <c:crossesAt val="2600000"/>
        <c:auto val="1"/>
        <c:lblAlgn val="ctr"/>
        <c:lblOffset val="100"/>
        <c:tickLblSkip val="1"/>
        <c:tickMarkSkip val="1"/>
        <c:noMultiLvlLbl val="0"/>
      </c:catAx>
      <c:valAx>
        <c:axId val="1"/>
        <c:scaling>
          <c:orientation val="minMax"/>
          <c:max val="3200000"/>
          <c:min val="2600000"/>
        </c:scaling>
        <c:delete val="0"/>
        <c:axPos val="l"/>
        <c:title>
          <c:tx>
            <c:rich>
              <a:bodyPr/>
              <a:lstStyle/>
              <a:p>
                <a:pPr>
                  <a:defRPr sz="825" b="1" i="0" u="none" strike="noStrike" baseline="0">
                    <a:solidFill>
                      <a:srgbClr val="000000"/>
                    </a:solidFill>
                    <a:latin typeface="Arial Tur"/>
                    <a:ea typeface="Arial Tur"/>
                    <a:cs typeface="Arial Tur"/>
                  </a:defRPr>
                </a:pPr>
                <a:r>
                  <a:rPr lang="tr-TR"/>
                  <a:t>Kişi Sayısı</a:t>
                </a:r>
              </a:p>
            </c:rich>
          </c:tx>
          <c:layout>
            <c:manualLayout>
              <c:xMode val="edge"/>
              <c:yMode val="edge"/>
              <c:x val="1.0245901639344262E-2"/>
              <c:y val="0.37500117657706578"/>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Tur"/>
                <a:ea typeface="Arial Tur"/>
                <a:cs typeface="Arial Tur"/>
              </a:defRPr>
            </a:pPr>
            <a:endParaRPr lang="tr-TR"/>
          </a:p>
        </c:txPr>
        <c:crossAx val="1784827215"/>
        <c:crosses val="autoZero"/>
        <c:crossBetween val="between"/>
        <c:majorUnit val="100000"/>
        <c:minorUnit val="20000"/>
      </c:valAx>
      <c:spPr>
        <a:gradFill rotWithShape="0">
          <a:gsLst>
            <a:gs pos="0">
              <a:schemeClr val="bg1">
                <a:lumMod val="95000"/>
              </a:schemeClr>
            </a:gs>
            <a:gs pos="36000">
              <a:srgbClr val="FFFFFF"/>
            </a:gs>
            <a:gs pos="100000">
              <a:srgbClr val="99CCFF"/>
            </a:gs>
          </a:gsLst>
          <a:lin ang="18900000" scaled="1"/>
        </a:gradFill>
        <a:ln w="12700">
          <a:solidFill>
            <a:srgbClr val="808080"/>
          </a:solidFill>
          <a:prstDash val="solid"/>
        </a:ln>
      </c:spPr>
    </c:plotArea>
    <c:legend>
      <c:legendPos val="r"/>
      <c:layout>
        <c:manualLayout>
          <c:xMode val="edge"/>
          <c:yMode val="edge"/>
          <c:x val="0.84633965836237679"/>
          <c:y val="0.64025522671734991"/>
          <c:w val="0.13786928273310095"/>
          <c:h val="0.32296316408724779"/>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Tur"/>
              <a:ea typeface="Arial Tur"/>
              <a:cs typeface="Arial Tur"/>
            </a:defRPr>
          </a:pPr>
          <a:endParaRPr lang="tr-TR"/>
        </a:p>
      </c:txPr>
    </c:legend>
    <c:plotVisOnly val="1"/>
    <c:dispBlanksAs val="gap"/>
    <c:showDLblsOverMax val="0"/>
  </c:chart>
  <c:spPr>
    <a:gradFill rotWithShape="0">
      <a:gsLst>
        <a:gs pos="0">
          <a:srgbClr val="969696">
            <a:lumMod val="99000"/>
          </a:srgbClr>
        </a:gs>
        <a:gs pos="50000">
          <a:srgbClr val="FFFFFF"/>
        </a:gs>
        <a:gs pos="100000">
          <a:srgbClr val="969696"/>
        </a:gs>
      </a:gsLst>
      <a:lin ang="2700000" scaled="1"/>
    </a:gradFill>
    <a:ln w="3175">
      <a:solidFill>
        <a:srgbClr val="000000"/>
      </a:solidFill>
      <a:prstDash val="solid"/>
    </a:ln>
    <a:effectLst>
      <a:outerShdw dist="35921" dir="2700000" algn="br">
        <a:srgbClr val="000000"/>
      </a:outerShdw>
    </a:effectLst>
  </c:spPr>
  <c:txPr>
    <a:bodyPr/>
    <a:lstStyle/>
    <a:p>
      <a:pPr>
        <a:defRPr sz="1000" b="0" i="0" u="none" strike="noStrike" baseline="0">
          <a:solidFill>
            <a:srgbClr val="000000"/>
          </a:solidFill>
          <a:latin typeface="Arial Tur"/>
          <a:ea typeface="Arial Tur"/>
          <a:cs typeface="Arial Tur"/>
        </a:defRPr>
      </a:pPr>
      <a:endParaRPr lang="tr-TR"/>
    </a:p>
  </c:txPr>
  <c:printSettings>
    <c:headerFooter alignWithMargins="0"/>
    <c:pageMargins b="1" l="0.75" r="0.75" t="1" header="0.5" footer="0.5"/>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ysClr val="windowText" lastClr="000000"/>
                </a:solidFill>
                <a:latin typeface="Arial Tur"/>
                <a:ea typeface="Arial Tur"/>
                <a:cs typeface="Arial Tur"/>
              </a:defRPr>
            </a:pPr>
            <a:r>
              <a:rPr lang="tr-TR">
                <a:solidFill>
                  <a:sysClr val="windowText" lastClr="000000"/>
                </a:solidFill>
              </a:rPr>
              <a:t> (4/c) Zorunlu Sigortalı Sayıları</a:t>
            </a:r>
          </a:p>
        </c:rich>
      </c:tx>
      <c:layout>
        <c:manualLayout>
          <c:xMode val="edge"/>
          <c:yMode val="edge"/>
          <c:x val="0.30721652751152584"/>
          <c:y val="4.8872872082212297E-2"/>
        </c:manualLayout>
      </c:layout>
      <c:overlay val="0"/>
      <c:spPr>
        <a:gradFill rotWithShape="0">
          <a:gsLst>
            <a:gs pos="0">
              <a:srgbClr val="969696"/>
            </a:gs>
            <a:gs pos="50000">
              <a:srgbClr val="FFFFFF"/>
            </a:gs>
            <a:gs pos="100000">
              <a:srgbClr val="969696"/>
            </a:gs>
          </a:gsLst>
          <a:lin ang="2700000" scaled="1"/>
        </a:gradFill>
        <a:ln w="25400">
          <a:noFill/>
        </a:ln>
      </c:spPr>
    </c:title>
    <c:autoTitleDeleted val="0"/>
    <c:plotArea>
      <c:layout>
        <c:manualLayout>
          <c:layoutTarget val="inner"/>
          <c:xMode val="edge"/>
          <c:yMode val="edge"/>
          <c:x val="0.1711340206185567"/>
          <c:y val="0.13138686131386862"/>
          <c:w val="0.65773195876288659"/>
          <c:h val="0.62773722627737227"/>
        </c:manualLayout>
      </c:layout>
      <c:lineChart>
        <c:grouping val="standard"/>
        <c:varyColors val="0"/>
        <c:ser>
          <c:idx val="2"/>
          <c:order val="0"/>
          <c:tx>
            <c:strRef>
              <c:f>'5.AYLARA GÖRE SİGORTALILAR'!$B$34</c:f>
              <c:strCache>
                <c:ptCount val="1"/>
                <c:pt idx="0">
                  <c:v>2011</c:v>
                </c:pt>
              </c:strCache>
            </c:strRef>
          </c:tx>
          <c:cat>
            <c:strRef>
              <c:f>'5.AYLARA GÖRE SİGORTALILAR'!$A$35:$A$46</c:f>
              <c:strCache>
                <c:ptCount val="12"/>
                <c:pt idx="0">
                  <c:v>OCAK</c:v>
                </c:pt>
                <c:pt idx="1">
                  <c:v>ŞUBAT</c:v>
                </c:pt>
                <c:pt idx="2">
                  <c:v>MART</c:v>
                </c:pt>
                <c:pt idx="3">
                  <c:v>NİSAN</c:v>
                </c:pt>
                <c:pt idx="4">
                  <c:v>MAYIS</c:v>
                </c:pt>
                <c:pt idx="5">
                  <c:v>HAZİRAN</c:v>
                </c:pt>
                <c:pt idx="6">
                  <c:v>TEMMUZ</c:v>
                </c:pt>
                <c:pt idx="7">
                  <c:v>AĞUSTOS</c:v>
                </c:pt>
                <c:pt idx="8">
                  <c:v>EYLÜL</c:v>
                </c:pt>
                <c:pt idx="9">
                  <c:v>EKİM</c:v>
                </c:pt>
                <c:pt idx="10">
                  <c:v>KASIM</c:v>
                </c:pt>
                <c:pt idx="11">
                  <c:v>ARALIK</c:v>
                </c:pt>
              </c:strCache>
            </c:strRef>
          </c:cat>
          <c:val>
            <c:numRef>
              <c:f>'5.AYLARA GÖRE SİGORTALILAR'!$B$35:$B$46</c:f>
            </c:numRef>
          </c:val>
          <c:smooth val="0"/>
          <c:extLst>
            <c:ext xmlns:c16="http://schemas.microsoft.com/office/drawing/2014/chart" uri="{C3380CC4-5D6E-409C-BE32-E72D297353CC}">
              <c16:uniqueId val="{00000000-43F6-47AB-96DE-ED7D1BE7384B}"/>
            </c:ext>
          </c:extLst>
        </c:ser>
        <c:ser>
          <c:idx val="3"/>
          <c:order val="1"/>
          <c:tx>
            <c:strRef>
              <c:f>'5.AYLARA GÖRE SİGORTALILAR'!$D$34</c:f>
              <c:strCache>
                <c:ptCount val="1"/>
                <c:pt idx="0">
                  <c:v>2012</c:v>
                </c:pt>
              </c:strCache>
            </c:strRef>
          </c:tx>
          <c:cat>
            <c:strRef>
              <c:f>'5.AYLARA GÖRE SİGORTALILAR'!$A$35:$A$46</c:f>
              <c:strCache>
                <c:ptCount val="12"/>
                <c:pt idx="0">
                  <c:v>OCAK</c:v>
                </c:pt>
                <c:pt idx="1">
                  <c:v>ŞUBAT</c:v>
                </c:pt>
                <c:pt idx="2">
                  <c:v>MART</c:v>
                </c:pt>
                <c:pt idx="3">
                  <c:v>NİSAN</c:v>
                </c:pt>
                <c:pt idx="4">
                  <c:v>MAYIS</c:v>
                </c:pt>
                <c:pt idx="5">
                  <c:v>HAZİRAN</c:v>
                </c:pt>
                <c:pt idx="6">
                  <c:v>TEMMUZ</c:v>
                </c:pt>
                <c:pt idx="7">
                  <c:v>AĞUSTOS</c:v>
                </c:pt>
                <c:pt idx="8">
                  <c:v>EYLÜL</c:v>
                </c:pt>
                <c:pt idx="9">
                  <c:v>EKİM</c:v>
                </c:pt>
                <c:pt idx="10">
                  <c:v>KASIM</c:v>
                </c:pt>
                <c:pt idx="11">
                  <c:v>ARALIK</c:v>
                </c:pt>
              </c:strCache>
            </c:strRef>
          </c:cat>
          <c:val>
            <c:numRef>
              <c:f>'5.AYLARA GÖRE SİGORTALILAR'!$D$35:$D$46</c:f>
            </c:numRef>
          </c:val>
          <c:smooth val="0"/>
          <c:extLst>
            <c:ext xmlns:c16="http://schemas.microsoft.com/office/drawing/2014/chart" uri="{C3380CC4-5D6E-409C-BE32-E72D297353CC}">
              <c16:uniqueId val="{00000001-43F6-47AB-96DE-ED7D1BE7384B}"/>
            </c:ext>
          </c:extLst>
        </c:ser>
        <c:ser>
          <c:idx val="0"/>
          <c:order val="2"/>
          <c:tx>
            <c:strRef>
              <c:f>'5.AYLARA GÖRE SİGORTALILAR'!$F$34</c:f>
              <c:strCache>
                <c:ptCount val="1"/>
                <c:pt idx="0">
                  <c:v>2013</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'5.AYLARA GÖRE SİGORTALILAR'!$A$35:$A$46</c:f>
              <c:strCache>
                <c:ptCount val="12"/>
                <c:pt idx="0">
                  <c:v>OCAK</c:v>
                </c:pt>
                <c:pt idx="1">
                  <c:v>ŞUBAT</c:v>
                </c:pt>
                <c:pt idx="2">
                  <c:v>MART</c:v>
                </c:pt>
                <c:pt idx="3">
                  <c:v>NİSAN</c:v>
                </c:pt>
                <c:pt idx="4">
                  <c:v>MAYIS</c:v>
                </c:pt>
                <c:pt idx="5">
                  <c:v>HAZİRAN</c:v>
                </c:pt>
                <c:pt idx="6">
                  <c:v>TEMMUZ</c:v>
                </c:pt>
                <c:pt idx="7">
                  <c:v>AĞUSTOS</c:v>
                </c:pt>
                <c:pt idx="8">
                  <c:v>EYLÜL</c:v>
                </c:pt>
                <c:pt idx="9">
                  <c:v>EKİM</c:v>
                </c:pt>
                <c:pt idx="10">
                  <c:v>KASIM</c:v>
                </c:pt>
                <c:pt idx="11">
                  <c:v>ARALIK</c:v>
                </c:pt>
              </c:strCache>
            </c:strRef>
          </c:cat>
          <c:val>
            <c:numRef>
              <c:f>'5.AYLARA GÖRE SİGORTALILAR'!$F$35:$F$46</c:f>
              <c:numCache>
                <c:formatCode>#,##0</c:formatCode>
                <c:ptCount val="12"/>
                <c:pt idx="0">
                  <c:v>2667984</c:v>
                </c:pt>
                <c:pt idx="1">
                  <c:v>2670744</c:v>
                </c:pt>
                <c:pt idx="2">
                  <c:v>2651342</c:v>
                </c:pt>
                <c:pt idx="3">
                  <c:v>2649513</c:v>
                </c:pt>
                <c:pt idx="4">
                  <c:v>2650756</c:v>
                </c:pt>
                <c:pt idx="5">
                  <c:v>2663305</c:v>
                </c:pt>
                <c:pt idx="6">
                  <c:v>2668898</c:v>
                </c:pt>
                <c:pt idx="7">
                  <c:v>2663081</c:v>
                </c:pt>
                <c:pt idx="8">
                  <c:v>2707070</c:v>
                </c:pt>
                <c:pt idx="9">
                  <c:v>2756891</c:v>
                </c:pt>
                <c:pt idx="10">
                  <c:v>2766055</c:v>
                </c:pt>
                <c:pt idx="11">
                  <c:v>2822178</c:v>
                </c:pt>
              </c:numCache>
            </c:numRef>
          </c:val>
          <c:smooth val="0"/>
          <c:extLst>
            <c:ext xmlns:c16="http://schemas.microsoft.com/office/drawing/2014/chart" uri="{C3380CC4-5D6E-409C-BE32-E72D297353CC}">
              <c16:uniqueId val="{00000002-43F6-47AB-96DE-ED7D1BE7384B}"/>
            </c:ext>
          </c:extLst>
        </c:ser>
        <c:ser>
          <c:idx val="4"/>
          <c:order val="3"/>
          <c:tx>
            <c:strRef>
              <c:f>'5.AYLARA GÖRE SİGORTALILAR'!$H$34</c:f>
              <c:strCache>
                <c:ptCount val="1"/>
                <c:pt idx="0">
                  <c:v>2014</c:v>
                </c:pt>
              </c:strCache>
            </c:strRef>
          </c:tx>
          <c:cat>
            <c:strRef>
              <c:f>'5.AYLARA GÖRE SİGORTALILAR'!$A$35:$A$46</c:f>
              <c:strCache>
                <c:ptCount val="12"/>
                <c:pt idx="0">
                  <c:v>OCAK</c:v>
                </c:pt>
                <c:pt idx="1">
                  <c:v>ŞUBAT</c:v>
                </c:pt>
                <c:pt idx="2">
                  <c:v>MART</c:v>
                </c:pt>
                <c:pt idx="3">
                  <c:v>NİSAN</c:v>
                </c:pt>
                <c:pt idx="4">
                  <c:v>MAYIS</c:v>
                </c:pt>
                <c:pt idx="5">
                  <c:v>HAZİRAN</c:v>
                </c:pt>
                <c:pt idx="6">
                  <c:v>TEMMUZ</c:v>
                </c:pt>
                <c:pt idx="7">
                  <c:v>AĞUSTOS</c:v>
                </c:pt>
                <c:pt idx="8">
                  <c:v>EYLÜL</c:v>
                </c:pt>
                <c:pt idx="9">
                  <c:v>EKİM</c:v>
                </c:pt>
                <c:pt idx="10">
                  <c:v>KASIM</c:v>
                </c:pt>
                <c:pt idx="11">
                  <c:v>ARALIK</c:v>
                </c:pt>
              </c:strCache>
            </c:strRef>
          </c:cat>
          <c:val>
            <c:numRef>
              <c:f>'5.AYLARA GÖRE SİGORTALILAR'!$H$35:$H$46</c:f>
              <c:numCache>
                <c:formatCode>#,##0</c:formatCode>
                <c:ptCount val="12"/>
                <c:pt idx="0">
                  <c:v>2838873</c:v>
                </c:pt>
                <c:pt idx="1">
                  <c:v>2836699</c:v>
                </c:pt>
                <c:pt idx="2">
                  <c:v>2849623</c:v>
                </c:pt>
                <c:pt idx="3">
                  <c:v>2844868</c:v>
                </c:pt>
                <c:pt idx="4">
                  <c:v>2849314</c:v>
                </c:pt>
                <c:pt idx="5">
                  <c:v>2852087</c:v>
                </c:pt>
                <c:pt idx="6">
                  <c:v>2864800</c:v>
                </c:pt>
                <c:pt idx="7">
                  <c:v>2859563</c:v>
                </c:pt>
                <c:pt idx="8">
                  <c:v>2879940</c:v>
                </c:pt>
                <c:pt idx="9">
                  <c:v>2908367</c:v>
                </c:pt>
                <c:pt idx="10">
                  <c:v>2929226</c:v>
                </c:pt>
                <c:pt idx="11">
                  <c:v>2909003</c:v>
                </c:pt>
              </c:numCache>
            </c:numRef>
          </c:val>
          <c:smooth val="0"/>
          <c:extLst>
            <c:ext xmlns:c16="http://schemas.microsoft.com/office/drawing/2014/chart" uri="{C3380CC4-5D6E-409C-BE32-E72D297353CC}">
              <c16:uniqueId val="{00000003-43F6-47AB-96DE-ED7D1BE7384B}"/>
            </c:ext>
          </c:extLst>
        </c:ser>
        <c:ser>
          <c:idx val="1"/>
          <c:order val="4"/>
          <c:tx>
            <c:v>2015</c:v>
          </c:tx>
          <c:cat>
            <c:strRef>
              <c:f>'5.AYLARA GÖRE SİGORTALILAR'!$A$35:$A$46</c:f>
              <c:strCache>
                <c:ptCount val="12"/>
                <c:pt idx="0">
                  <c:v>OCAK</c:v>
                </c:pt>
                <c:pt idx="1">
                  <c:v>ŞUBAT</c:v>
                </c:pt>
                <c:pt idx="2">
                  <c:v>MART</c:v>
                </c:pt>
                <c:pt idx="3">
                  <c:v>NİSAN</c:v>
                </c:pt>
                <c:pt idx="4">
                  <c:v>MAYIS</c:v>
                </c:pt>
                <c:pt idx="5">
                  <c:v>HAZİRAN</c:v>
                </c:pt>
                <c:pt idx="6">
                  <c:v>TEMMUZ</c:v>
                </c:pt>
                <c:pt idx="7">
                  <c:v>AĞUSTOS</c:v>
                </c:pt>
                <c:pt idx="8">
                  <c:v>EYLÜL</c:v>
                </c:pt>
                <c:pt idx="9">
                  <c:v>EKİM</c:v>
                </c:pt>
                <c:pt idx="10">
                  <c:v>KASIM</c:v>
                </c:pt>
                <c:pt idx="11">
                  <c:v>ARALIK</c:v>
                </c:pt>
              </c:strCache>
            </c:strRef>
          </c:cat>
          <c:val>
            <c:numRef>
              <c:f>'5.AYLARA GÖRE SİGORTALILAR'!$J$35:$J$46</c:f>
              <c:numCache>
                <c:formatCode>#,##0</c:formatCode>
                <c:ptCount val="12"/>
                <c:pt idx="0">
                  <c:v>2926680</c:v>
                </c:pt>
                <c:pt idx="1">
                  <c:v>2929385</c:v>
                </c:pt>
                <c:pt idx="2">
                  <c:v>2926533</c:v>
                </c:pt>
                <c:pt idx="3">
                  <c:v>2928695</c:v>
                </c:pt>
                <c:pt idx="4">
                  <c:v>2928677</c:v>
                </c:pt>
                <c:pt idx="5">
                  <c:v>2936848</c:v>
                </c:pt>
                <c:pt idx="6">
                  <c:v>2948014</c:v>
                </c:pt>
                <c:pt idx="7">
                  <c:v>2949836</c:v>
                </c:pt>
                <c:pt idx="8">
                  <c:v>2967562</c:v>
                </c:pt>
                <c:pt idx="9">
                  <c:v>3071020</c:v>
                </c:pt>
                <c:pt idx="10">
                  <c:v>2996123</c:v>
                </c:pt>
                <c:pt idx="11">
                  <c:v>3031979</c:v>
                </c:pt>
              </c:numCache>
            </c:numRef>
          </c:val>
          <c:smooth val="0"/>
          <c:extLst>
            <c:ext xmlns:c16="http://schemas.microsoft.com/office/drawing/2014/chart" uri="{C3380CC4-5D6E-409C-BE32-E72D297353CC}">
              <c16:uniqueId val="{00000004-43F6-47AB-96DE-ED7D1BE7384B}"/>
            </c:ext>
          </c:extLst>
        </c:ser>
        <c:ser>
          <c:idx val="5"/>
          <c:order val="5"/>
          <c:tx>
            <c:strRef>
              <c:f>'5.AYLARA GÖRE SİGORTALILAR'!$L$34</c:f>
              <c:strCache>
                <c:ptCount val="1"/>
                <c:pt idx="0">
                  <c:v>2016</c:v>
                </c:pt>
              </c:strCache>
            </c:strRef>
          </c:tx>
          <c:val>
            <c:numRef>
              <c:f>'5.AYLARA GÖRE SİGORTALILAR'!$L$35:$L$46</c:f>
              <c:numCache>
                <c:formatCode>#,##0</c:formatCode>
                <c:ptCount val="12"/>
                <c:pt idx="0">
                  <c:v>3034105</c:v>
                </c:pt>
                <c:pt idx="1">
                  <c:v>3059263</c:v>
                </c:pt>
                <c:pt idx="2">
                  <c:v>3068719</c:v>
                </c:pt>
                <c:pt idx="3">
                  <c:v>3062031</c:v>
                </c:pt>
                <c:pt idx="4">
                  <c:v>3063975</c:v>
                </c:pt>
                <c:pt idx="5">
                  <c:v>3083240</c:v>
                </c:pt>
                <c:pt idx="6">
                  <c:v>3071724</c:v>
                </c:pt>
                <c:pt idx="7">
                  <c:v>3042243</c:v>
                </c:pt>
                <c:pt idx="8">
                  <c:v>2992784</c:v>
                </c:pt>
                <c:pt idx="9">
                  <c:v>2994165</c:v>
                </c:pt>
                <c:pt idx="10">
                  <c:v>2985474</c:v>
                </c:pt>
                <c:pt idx="11">
                  <c:v>2981646</c:v>
                </c:pt>
              </c:numCache>
            </c:numRef>
          </c:val>
          <c:smooth val="0"/>
          <c:extLst>
            <c:ext xmlns:c16="http://schemas.microsoft.com/office/drawing/2014/chart" uri="{C3380CC4-5D6E-409C-BE32-E72D297353CC}">
              <c16:uniqueId val="{00000005-43F6-47AB-96DE-ED7D1BE7384B}"/>
            </c:ext>
          </c:extLst>
        </c:ser>
        <c:ser>
          <c:idx val="6"/>
          <c:order val="6"/>
          <c:tx>
            <c:strRef>
              <c:f>'5.AYLARA GÖRE SİGORTALILAR'!$N$34</c:f>
              <c:strCache>
                <c:ptCount val="1"/>
                <c:pt idx="0">
                  <c:v>2017</c:v>
                </c:pt>
              </c:strCache>
            </c:strRef>
          </c:tx>
          <c:val>
            <c:numRef>
              <c:f>'5.AYLARA GÖRE SİGORTALILAR'!$N$35:$N$45</c:f>
              <c:numCache>
                <c:formatCode>#,##0</c:formatCode>
                <c:ptCount val="11"/>
                <c:pt idx="0">
                  <c:v>2971096</c:v>
                </c:pt>
                <c:pt idx="1">
                  <c:v>2965218</c:v>
                </c:pt>
                <c:pt idx="2">
                  <c:v>2970810</c:v>
                </c:pt>
                <c:pt idx="3">
                  <c:v>2969930</c:v>
                </c:pt>
              </c:numCache>
            </c:numRef>
          </c:val>
          <c:smooth val="0"/>
          <c:extLst>
            <c:ext xmlns:c16="http://schemas.microsoft.com/office/drawing/2014/chart" uri="{C3380CC4-5D6E-409C-BE32-E72D297353CC}">
              <c16:uniqueId val="{00000006-43F6-47AB-96DE-ED7D1BE7384B}"/>
            </c:ext>
          </c:extLst>
        </c:ser>
        <c:dLbls>
          <c:showLegendKey val="0"/>
          <c:showVal val="0"/>
          <c:showCatName val="0"/>
          <c:showSerName val="0"/>
          <c:showPercent val="0"/>
          <c:showBubbleSize val="0"/>
        </c:dLbls>
        <c:marker val="1"/>
        <c:smooth val="0"/>
        <c:axId val="1784828047"/>
        <c:axId val="1"/>
      </c:lineChart>
      <c:catAx>
        <c:axId val="1784828047"/>
        <c:scaling>
          <c:orientation val="minMax"/>
        </c:scaling>
        <c:delete val="0"/>
        <c:axPos val="b"/>
        <c:title>
          <c:tx>
            <c:rich>
              <a:bodyPr/>
              <a:lstStyle/>
              <a:p>
                <a:pPr>
                  <a:defRPr sz="1000" b="1" i="0" u="none" strike="noStrike" baseline="0">
                    <a:solidFill>
                      <a:srgbClr val="000000"/>
                    </a:solidFill>
                    <a:latin typeface="Arial Tur"/>
                    <a:ea typeface="Arial Tur"/>
                    <a:cs typeface="Arial Tur"/>
                  </a:defRPr>
                </a:pPr>
                <a:r>
                  <a:rPr lang="tr-TR"/>
                  <a:t>Aylar</a:t>
                </a:r>
              </a:p>
            </c:rich>
          </c:tx>
          <c:layout>
            <c:manualLayout>
              <c:xMode val="edge"/>
              <c:yMode val="edge"/>
              <c:x val="0.4123711296651299"/>
              <c:y val="0.8984971079242053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2700000" vert="horz"/>
          <a:lstStyle/>
          <a:p>
            <a:pPr>
              <a:defRPr sz="675" b="0" i="0" u="none" strike="noStrike" baseline="0">
                <a:solidFill>
                  <a:srgbClr val="000000"/>
                </a:solidFill>
                <a:latin typeface="Arial Tur"/>
                <a:ea typeface="Arial Tur"/>
                <a:cs typeface="Arial Tur"/>
              </a:defRPr>
            </a:pPr>
            <a:endParaRPr lang="tr-TR"/>
          </a:p>
        </c:txPr>
        <c:crossAx val="1"/>
        <c:crosses val="autoZero"/>
        <c:auto val="1"/>
        <c:lblAlgn val="ctr"/>
        <c:lblOffset val="100"/>
        <c:tickLblSkip val="1"/>
        <c:tickMarkSkip val="1"/>
        <c:noMultiLvlLbl val="0"/>
      </c:catAx>
      <c:valAx>
        <c:axId val="1"/>
        <c:scaling>
          <c:orientation val="minMax"/>
          <c:max val="3200000"/>
          <c:min val="2120000"/>
        </c:scaling>
        <c:delete val="0"/>
        <c:axPos val="l"/>
        <c:title>
          <c:tx>
            <c:rich>
              <a:bodyPr/>
              <a:lstStyle/>
              <a:p>
                <a:pPr>
                  <a:defRPr sz="800" b="1" i="0" u="none" strike="noStrike" baseline="0">
                    <a:solidFill>
                      <a:srgbClr val="000000"/>
                    </a:solidFill>
                    <a:latin typeface="Arial Tur"/>
                    <a:ea typeface="Arial Tur"/>
                    <a:cs typeface="Arial Tur"/>
                  </a:defRPr>
                </a:pPr>
                <a:r>
                  <a:rPr lang="tr-TR"/>
                  <a:t>Kişi Sayısı</a:t>
                </a:r>
              </a:p>
            </c:rich>
          </c:tx>
          <c:layout>
            <c:manualLayout>
              <c:xMode val="edge"/>
              <c:yMode val="edge"/>
              <c:x val="1.0309204307208079E-2"/>
              <c:y val="0.31578999333547259"/>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Tur"/>
                <a:ea typeface="Arial Tur"/>
                <a:cs typeface="Arial Tur"/>
              </a:defRPr>
            </a:pPr>
            <a:endParaRPr lang="tr-TR"/>
          </a:p>
        </c:txPr>
        <c:crossAx val="1784828047"/>
        <c:crosses val="autoZero"/>
        <c:crossBetween val="between"/>
        <c:majorUnit val="100000"/>
        <c:minorUnit val="100000"/>
      </c:valAx>
      <c:spPr>
        <a:gradFill>
          <a:gsLst>
            <a:gs pos="0">
              <a:srgbClr val="99CCFF">
                <a:alpha val="99000"/>
              </a:srgbClr>
            </a:gs>
            <a:gs pos="50000">
              <a:srgbClr val="FFFFFF"/>
            </a:gs>
            <a:gs pos="100000">
              <a:srgbClr val="99CCFF"/>
            </a:gs>
          </a:gsLst>
          <a:lin ang="18900000" scaled="1"/>
        </a:gradFill>
        <a:ln w="12700">
          <a:solidFill>
            <a:srgbClr val="808080"/>
          </a:solidFill>
          <a:prstDash val="solid"/>
        </a:ln>
      </c:spPr>
    </c:plotArea>
    <c:legend>
      <c:legendPos val="r"/>
      <c:layout>
        <c:manualLayout>
          <c:xMode val="edge"/>
          <c:yMode val="edge"/>
          <c:x val="0.84951282498138425"/>
          <c:y val="0.5922523634388962"/>
          <c:w val="0.13296471743848925"/>
          <c:h val="0.34677724845522839"/>
        </c:manualLayout>
      </c:layout>
      <c:overlay val="0"/>
      <c:spPr>
        <a:solidFill>
          <a:schemeClr val="bg1"/>
        </a:solidFill>
        <a:ln w="3175">
          <a:solidFill>
            <a:srgbClr val="000000">
              <a:alpha val="69000"/>
            </a:srgbClr>
          </a:solidFill>
          <a:prstDash val="solid"/>
        </a:ln>
        <a:effectLst>
          <a:glow rad="127000">
            <a:schemeClr val="bg1"/>
          </a:glow>
          <a:outerShdw blurRad="50800" dist="50800" sx="1000" sy="1000" algn="ctr" rotWithShape="0">
            <a:schemeClr val="tx1"/>
          </a:outerShdw>
          <a:softEdge rad="0"/>
        </a:effectLst>
      </c:spPr>
      <c:txPr>
        <a:bodyPr/>
        <a:lstStyle/>
        <a:p>
          <a:pPr>
            <a:defRPr sz="920" b="0" i="0" u="none" strike="noStrike" baseline="0">
              <a:solidFill>
                <a:srgbClr val="000000"/>
              </a:solidFill>
              <a:latin typeface="Arial Tur"/>
              <a:ea typeface="Arial Tur"/>
              <a:cs typeface="Arial Tur"/>
            </a:defRPr>
          </a:pPr>
          <a:endParaRPr lang="tr-TR"/>
        </a:p>
      </c:txPr>
    </c:legend>
    <c:plotVisOnly val="1"/>
    <c:dispBlanksAs val="gap"/>
    <c:showDLblsOverMax val="0"/>
  </c:chart>
  <c:spPr>
    <a:gradFill rotWithShape="0">
      <a:gsLst>
        <a:gs pos="0">
          <a:srgbClr val="969696"/>
        </a:gs>
        <a:gs pos="50000">
          <a:srgbClr val="FFFFFF"/>
        </a:gs>
        <a:gs pos="100000">
          <a:srgbClr val="969696"/>
        </a:gs>
      </a:gsLst>
      <a:lin ang="18900000" scaled="1"/>
    </a:gradFill>
    <a:ln w="3175" cap="flat">
      <a:solidFill>
        <a:schemeClr val="tx1"/>
      </a:solidFill>
      <a:prstDash val="solid"/>
    </a:ln>
    <a:effectLst>
      <a:outerShdw dist="35921" dir="2700000" algn="br">
        <a:srgbClr val="000000"/>
      </a:outerShdw>
      <a:softEdge rad="0"/>
    </a:effectLst>
    <a:scene3d>
      <a:camera prst="orthographicFront"/>
      <a:lightRig rig="threePt" dir="t"/>
    </a:scene3d>
    <a:sp3d>
      <a:bevelB/>
    </a:sp3d>
  </c:spPr>
  <c:txPr>
    <a:bodyPr/>
    <a:lstStyle/>
    <a:p>
      <a:pPr>
        <a:defRPr sz="1000" b="0" i="0" u="none" strike="noStrike" baseline="0">
          <a:solidFill>
            <a:srgbClr val="000000"/>
          </a:solidFill>
          <a:latin typeface="Arial Tur"/>
          <a:ea typeface="Arial Tur"/>
          <a:cs typeface="Arial Tur"/>
        </a:defRPr>
      </a:pPr>
      <a:endParaRPr lang="tr-TR"/>
    </a:p>
  </c:txPr>
  <c:printSettings>
    <c:headerFooter alignWithMargins="0"/>
    <c:pageMargins b="1" l="0.75" r="0.75" t="1" header="0.5" footer="0.5"/>
    <c:pageSetup paperSize="9" orientation="landscape"/>
  </c:printSettings>
</c:chartSpac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0</xdr:colOff>
      <xdr:row>1</xdr:row>
      <xdr:rowOff>0</xdr:rowOff>
    </xdr:to>
    <xdr:sp macro="" textlink="">
      <xdr:nvSpPr>
        <xdr:cNvPr id="58917312" name="Rectangle 2"/>
        <xdr:cNvSpPr>
          <a:spLocks noChangeArrowheads="1"/>
        </xdr:cNvSpPr>
      </xdr:nvSpPr>
      <xdr:spPr bwMode="auto">
        <a:xfrm>
          <a:off x="0" y="0"/>
          <a:ext cx="15773400" cy="82867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8100000" algn="ctr" rotWithShape="0">
            <a:srgbClr val="808080">
              <a:alpha val="50000"/>
            </a:srgbClr>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0</xdr:col>
      <xdr:colOff>0</xdr:colOff>
      <xdr:row>0</xdr:row>
      <xdr:rowOff>0</xdr:rowOff>
    </xdr:from>
    <xdr:to>
      <xdr:col>7</xdr:col>
      <xdr:colOff>0</xdr:colOff>
      <xdr:row>1</xdr:row>
      <xdr:rowOff>0</xdr:rowOff>
    </xdr:to>
    <xdr:sp macro="" textlink="">
      <xdr:nvSpPr>
        <xdr:cNvPr id="58917313" name="Rectangle 3"/>
        <xdr:cNvSpPr>
          <a:spLocks noChangeArrowheads="1"/>
        </xdr:cNvSpPr>
      </xdr:nvSpPr>
      <xdr:spPr bwMode="auto">
        <a:xfrm>
          <a:off x="0" y="0"/>
          <a:ext cx="15773400" cy="82867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8100000" algn="ctr" rotWithShape="0">
            <a:srgbClr val="808080">
              <a:alpha val="50000"/>
            </a:srgbClr>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0</xdr:col>
      <xdr:colOff>0</xdr:colOff>
      <xdr:row>0</xdr:row>
      <xdr:rowOff>0</xdr:rowOff>
    </xdr:from>
    <xdr:to>
      <xdr:col>7</xdr:col>
      <xdr:colOff>0</xdr:colOff>
      <xdr:row>1</xdr:row>
      <xdr:rowOff>0</xdr:rowOff>
    </xdr:to>
    <xdr:sp macro="" textlink="">
      <xdr:nvSpPr>
        <xdr:cNvPr id="58917314" name="Rectangle 9"/>
        <xdr:cNvSpPr>
          <a:spLocks noChangeArrowheads="1"/>
        </xdr:cNvSpPr>
      </xdr:nvSpPr>
      <xdr:spPr bwMode="auto">
        <a:xfrm>
          <a:off x="0" y="0"/>
          <a:ext cx="15773400" cy="82867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8100000" algn="ctr" rotWithShape="0">
            <a:srgbClr val="808080">
              <a:alpha val="50000"/>
            </a:srgbClr>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0</xdr:col>
      <xdr:colOff>0</xdr:colOff>
      <xdr:row>0</xdr:row>
      <xdr:rowOff>0</xdr:rowOff>
    </xdr:from>
    <xdr:to>
      <xdr:col>7</xdr:col>
      <xdr:colOff>0</xdr:colOff>
      <xdr:row>1</xdr:row>
      <xdr:rowOff>0</xdr:rowOff>
    </xdr:to>
    <xdr:sp macro="" textlink="">
      <xdr:nvSpPr>
        <xdr:cNvPr id="58917315" name="Rectangle 10"/>
        <xdr:cNvSpPr>
          <a:spLocks noChangeArrowheads="1"/>
        </xdr:cNvSpPr>
      </xdr:nvSpPr>
      <xdr:spPr bwMode="auto">
        <a:xfrm>
          <a:off x="0" y="0"/>
          <a:ext cx="15773400" cy="82867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8100000" algn="ctr" rotWithShape="0">
            <a:srgbClr val="808080">
              <a:alpha val="50000"/>
            </a:srgbClr>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0</xdr:col>
      <xdr:colOff>0</xdr:colOff>
      <xdr:row>0</xdr:row>
      <xdr:rowOff>0</xdr:rowOff>
    </xdr:from>
    <xdr:to>
      <xdr:col>7</xdr:col>
      <xdr:colOff>0</xdr:colOff>
      <xdr:row>1</xdr:row>
      <xdr:rowOff>0</xdr:rowOff>
    </xdr:to>
    <xdr:sp macro="" textlink="">
      <xdr:nvSpPr>
        <xdr:cNvPr id="58917316" name="Rectangle 2"/>
        <xdr:cNvSpPr>
          <a:spLocks noChangeArrowheads="1"/>
        </xdr:cNvSpPr>
      </xdr:nvSpPr>
      <xdr:spPr bwMode="auto">
        <a:xfrm>
          <a:off x="0" y="0"/>
          <a:ext cx="15773400" cy="82867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8100000" algn="ctr" rotWithShape="0">
            <a:srgbClr val="808080">
              <a:alpha val="50000"/>
            </a:srgbClr>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0</xdr:col>
      <xdr:colOff>0</xdr:colOff>
      <xdr:row>0</xdr:row>
      <xdr:rowOff>0</xdr:rowOff>
    </xdr:from>
    <xdr:to>
      <xdr:col>7</xdr:col>
      <xdr:colOff>0</xdr:colOff>
      <xdr:row>1</xdr:row>
      <xdr:rowOff>0</xdr:rowOff>
    </xdr:to>
    <xdr:sp macro="" textlink="">
      <xdr:nvSpPr>
        <xdr:cNvPr id="58917317" name="Rectangle 3"/>
        <xdr:cNvSpPr>
          <a:spLocks noChangeArrowheads="1"/>
        </xdr:cNvSpPr>
      </xdr:nvSpPr>
      <xdr:spPr bwMode="auto">
        <a:xfrm>
          <a:off x="0" y="0"/>
          <a:ext cx="15773400" cy="82867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8100000" algn="ctr" rotWithShape="0">
            <a:srgbClr val="808080">
              <a:alpha val="50000"/>
            </a:srgbClr>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0</xdr:col>
      <xdr:colOff>0</xdr:colOff>
      <xdr:row>0</xdr:row>
      <xdr:rowOff>0</xdr:rowOff>
    </xdr:from>
    <xdr:to>
      <xdr:col>7</xdr:col>
      <xdr:colOff>0</xdr:colOff>
      <xdr:row>1</xdr:row>
      <xdr:rowOff>0</xdr:rowOff>
    </xdr:to>
    <xdr:sp macro="" textlink="">
      <xdr:nvSpPr>
        <xdr:cNvPr id="58917318" name="Rectangle 9"/>
        <xdr:cNvSpPr>
          <a:spLocks noChangeArrowheads="1"/>
        </xdr:cNvSpPr>
      </xdr:nvSpPr>
      <xdr:spPr bwMode="auto">
        <a:xfrm>
          <a:off x="0" y="0"/>
          <a:ext cx="15773400" cy="82867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8100000" algn="ctr" rotWithShape="0">
            <a:srgbClr val="808080">
              <a:alpha val="50000"/>
            </a:srgbClr>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0</xdr:col>
      <xdr:colOff>0</xdr:colOff>
      <xdr:row>0</xdr:row>
      <xdr:rowOff>0</xdr:rowOff>
    </xdr:from>
    <xdr:to>
      <xdr:col>7</xdr:col>
      <xdr:colOff>0</xdr:colOff>
      <xdr:row>1</xdr:row>
      <xdr:rowOff>0</xdr:rowOff>
    </xdr:to>
    <xdr:sp macro="" textlink="">
      <xdr:nvSpPr>
        <xdr:cNvPr id="58917319" name="Rectangle 10"/>
        <xdr:cNvSpPr>
          <a:spLocks noChangeArrowheads="1"/>
        </xdr:cNvSpPr>
      </xdr:nvSpPr>
      <xdr:spPr bwMode="auto">
        <a:xfrm>
          <a:off x="0" y="0"/>
          <a:ext cx="15773400" cy="82867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8100000" algn="ctr" rotWithShape="0">
            <a:srgbClr val="808080">
              <a:alpha val="50000"/>
            </a:srgbClr>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0</xdr:col>
      <xdr:colOff>0</xdr:colOff>
      <xdr:row>0</xdr:row>
      <xdr:rowOff>0</xdr:rowOff>
    </xdr:from>
    <xdr:to>
      <xdr:col>7</xdr:col>
      <xdr:colOff>0</xdr:colOff>
      <xdr:row>1</xdr:row>
      <xdr:rowOff>0</xdr:rowOff>
    </xdr:to>
    <xdr:sp macro="" textlink="">
      <xdr:nvSpPr>
        <xdr:cNvPr id="58917320" name="Rectangle 2"/>
        <xdr:cNvSpPr>
          <a:spLocks noChangeArrowheads="1"/>
        </xdr:cNvSpPr>
      </xdr:nvSpPr>
      <xdr:spPr bwMode="auto">
        <a:xfrm>
          <a:off x="0" y="0"/>
          <a:ext cx="15773400" cy="82867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8100000" algn="ctr" rotWithShape="0">
            <a:srgbClr val="808080">
              <a:alpha val="50000"/>
            </a:srgbClr>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0</xdr:col>
      <xdr:colOff>0</xdr:colOff>
      <xdr:row>0</xdr:row>
      <xdr:rowOff>0</xdr:rowOff>
    </xdr:from>
    <xdr:to>
      <xdr:col>7</xdr:col>
      <xdr:colOff>0</xdr:colOff>
      <xdr:row>1</xdr:row>
      <xdr:rowOff>0</xdr:rowOff>
    </xdr:to>
    <xdr:sp macro="" textlink="">
      <xdr:nvSpPr>
        <xdr:cNvPr id="58917321" name="Rectangle 3"/>
        <xdr:cNvSpPr>
          <a:spLocks noChangeArrowheads="1"/>
        </xdr:cNvSpPr>
      </xdr:nvSpPr>
      <xdr:spPr bwMode="auto">
        <a:xfrm>
          <a:off x="0" y="0"/>
          <a:ext cx="15773400" cy="82867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8100000" algn="ctr" rotWithShape="0">
            <a:srgbClr val="808080">
              <a:alpha val="50000"/>
            </a:srgbClr>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0</xdr:col>
      <xdr:colOff>0</xdr:colOff>
      <xdr:row>0</xdr:row>
      <xdr:rowOff>0</xdr:rowOff>
    </xdr:from>
    <xdr:to>
      <xdr:col>7</xdr:col>
      <xdr:colOff>0</xdr:colOff>
      <xdr:row>1</xdr:row>
      <xdr:rowOff>0</xdr:rowOff>
    </xdr:to>
    <xdr:sp macro="" textlink="">
      <xdr:nvSpPr>
        <xdr:cNvPr id="58917322" name="Rectangle 9"/>
        <xdr:cNvSpPr>
          <a:spLocks noChangeArrowheads="1"/>
        </xdr:cNvSpPr>
      </xdr:nvSpPr>
      <xdr:spPr bwMode="auto">
        <a:xfrm>
          <a:off x="0" y="0"/>
          <a:ext cx="15773400" cy="82867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8100000" algn="ctr" rotWithShape="0">
            <a:srgbClr val="808080">
              <a:alpha val="50000"/>
            </a:srgbClr>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0</xdr:col>
      <xdr:colOff>0</xdr:colOff>
      <xdr:row>0</xdr:row>
      <xdr:rowOff>0</xdr:rowOff>
    </xdr:from>
    <xdr:to>
      <xdr:col>7</xdr:col>
      <xdr:colOff>0</xdr:colOff>
      <xdr:row>1</xdr:row>
      <xdr:rowOff>0</xdr:rowOff>
    </xdr:to>
    <xdr:sp macro="" textlink="">
      <xdr:nvSpPr>
        <xdr:cNvPr id="58917323" name="Rectangle 10"/>
        <xdr:cNvSpPr>
          <a:spLocks noChangeArrowheads="1"/>
        </xdr:cNvSpPr>
      </xdr:nvSpPr>
      <xdr:spPr bwMode="auto">
        <a:xfrm>
          <a:off x="0" y="0"/>
          <a:ext cx="15773400" cy="82867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8100000" algn="ctr" rotWithShape="0">
            <a:srgbClr val="808080">
              <a:alpha val="50000"/>
            </a:srgbClr>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0</xdr:col>
      <xdr:colOff>0</xdr:colOff>
      <xdr:row>0</xdr:row>
      <xdr:rowOff>0</xdr:rowOff>
    </xdr:from>
    <xdr:to>
      <xdr:col>7</xdr:col>
      <xdr:colOff>0</xdr:colOff>
      <xdr:row>1</xdr:row>
      <xdr:rowOff>0</xdr:rowOff>
    </xdr:to>
    <xdr:sp macro="" textlink="">
      <xdr:nvSpPr>
        <xdr:cNvPr id="58917324" name="Rectangle 2"/>
        <xdr:cNvSpPr>
          <a:spLocks noChangeArrowheads="1"/>
        </xdr:cNvSpPr>
      </xdr:nvSpPr>
      <xdr:spPr bwMode="auto">
        <a:xfrm>
          <a:off x="0" y="0"/>
          <a:ext cx="15773400" cy="82867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8100000" algn="ctr" rotWithShape="0">
            <a:srgbClr val="808080">
              <a:alpha val="50000"/>
            </a:srgbClr>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0</xdr:col>
      <xdr:colOff>0</xdr:colOff>
      <xdr:row>0</xdr:row>
      <xdr:rowOff>0</xdr:rowOff>
    </xdr:from>
    <xdr:to>
      <xdr:col>7</xdr:col>
      <xdr:colOff>0</xdr:colOff>
      <xdr:row>1</xdr:row>
      <xdr:rowOff>0</xdr:rowOff>
    </xdr:to>
    <xdr:sp macro="" textlink="">
      <xdr:nvSpPr>
        <xdr:cNvPr id="58917325" name="Rectangle 3"/>
        <xdr:cNvSpPr>
          <a:spLocks noChangeArrowheads="1"/>
        </xdr:cNvSpPr>
      </xdr:nvSpPr>
      <xdr:spPr bwMode="auto">
        <a:xfrm>
          <a:off x="0" y="0"/>
          <a:ext cx="15773400" cy="82867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8100000" algn="ctr" rotWithShape="0">
            <a:srgbClr val="808080">
              <a:alpha val="50000"/>
            </a:srgbClr>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0</xdr:col>
      <xdr:colOff>0</xdr:colOff>
      <xdr:row>0</xdr:row>
      <xdr:rowOff>0</xdr:rowOff>
    </xdr:from>
    <xdr:to>
      <xdr:col>7</xdr:col>
      <xdr:colOff>0</xdr:colOff>
      <xdr:row>1</xdr:row>
      <xdr:rowOff>0</xdr:rowOff>
    </xdr:to>
    <xdr:sp macro="" textlink="">
      <xdr:nvSpPr>
        <xdr:cNvPr id="58917326" name="Rectangle 9"/>
        <xdr:cNvSpPr>
          <a:spLocks noChangeArrowheads="1"/>
        </xdr:cNvSpPr>
      </xdr:nvSpPr>
      <xdr:spPr bwMode="auto">
        <a:xfrm>
          <a:off x="0" y="0"/>
          <a:ext cx="15773400" cy="82867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8100000" algn="ctr" rotWithShape="0">
            <a:srgbClr val="808080">
              <a:alpha val="50000"/>
            </a:srgbClr>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0</xdr:col>
      <xdr:colOff>0</xdr:colOff>
      <xdr:row>0</xdr:row>
      <xdr:rowOff>0</xdr:rowOff>
    </xdr:from>
    <xdr:to>
      <xdr:col>7</xdr:col>
      <xdr:colOff>0</xdr:colOff>
      <xdr:row>1</xdr:row>
      <xdr:rowOff>0</xdr:rowOff>
    </xdr:to>
    <xdr:sp macro="" textlink="">
      <xdr:nvSpPr>
        <xdr:cNvPr id="58917327" name="Rectangle 10"/>
        <xdr:cNvSpPr>
          <a:spLocks noChangeArrowheads="1"/>
        </xdr:cNvSpPr>
      </xdr:nvSpPr>
      <xdr:spPr bwMode="auto">
        <a:xfrm>
          <a:off x="0" y="0"/>
          <a:ext cx="15773400" cy="82867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8100000" algn="ctr" rotWithShape="0">
            <a:srgbClr val="808080">
              <a:alpha val="50000"/>
            </a:srgbClr>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0</xdr:col>
      <xdr:colOff>0</xdr:colOff>
      <xdr:row>0</xdr:row>
      <xdr:rowOff>0</xdr:rowOff>
    </xdr:from>
    <xdr:to>
      <xdr:col>7</xdr:col>
      <xdr:colOff>0</xdr:colOff>
      <xdr:row>1</xdr:row>
      <xdr:rowOff>0</xdr:rowOff>
    </xdr:to>
    <xdr:sp macro="" textlink="">
      <xdr:nvSpPr>
        <xdr:cNvPr id="58917328" name="Rectangle 2"/>
        <xdr:cNvSpPr>
          <a:spLocks noChangeArrowheads="1"/>
        </xdr:cNvSpPr>
      </xdr:nvSpPr>
      <xdr:spPr bwMode="auto">
        <a:xfrm>
          <a:off x="0" y="0"/>
          <a:ext cx="15773400" cy="82867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8100000" algn="ctr" rotWithShape="0">
            <a:srgbClr val="808080">
              <a:alpha val="50000"/>
            </a:srgbClr>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0</xdr:col>
      <xdr:colOff>0</xdr:colOff>
      <xdr:row>0</xdr:row>
      <xdr:rowOff>0</xdr:rowOff>
    </xdr:from>
    <xdr:to>
      <xdr:col>7</xdr:col>
      <xdr:colOff>0</xdr:colOff>
      <xdr:row>1</xdr:row>
      <xdr:rowOff>0</xdr:rowOff>
    </xdr:to>
    <xdr:sp macro="" textlink="">
      <xdr:nvSpPr>
        <xdr:cNvPr id="58917329" name="Rectangle 3"/>
        <xdr:cNvSpPr>
          <a:spLocks noChangeArrowheads="1"/>
        </xdr:cNvSpPr>
      </xdr:nvSpPr>
      <xdr:spPr bwMode="auto">
        <a:xfrm>
          <a:off x="0" y="0"/>
          <a:ext cx="15773400" cy="82867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8100000" algn="ctr" rotWithShape="0">
            <a:srgbClr val="808080">
              <a:alpha val="50000"/>
            </a:srgbClr>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0</xdr:col>
      <xdr:colOff>0</xdr:colOff>
      <xdr:row>0</xdr:row>
      <xdr:rowOff>0</xdr:rowOff>
    </xdr:from>
    <xdr:to>
      <xdr:col>7</xdr:col>
      <xdr:colOff>0</xdr:colOff>
      <xdr:row>1</xdr:row>
      <xdr:rowOff>0</xdr:rowOff>
    </xdr:to>
    <xdr:sp macro="" textlink="">
      <xdr:nvSpPr>
        <xdr:cNvPr id="58917330" name="Rectangle 9"/>
        <xdr:cNvSpPr>
          <a:spLocks noChangeArrowheads="1"/>
        </xdr:cNvSpPr>
      </xdr:nvSpPr>
      <xdr:spPr bwMode="auto">
        <a:xfrm>
          <a:off x="0" y="0"/>
          <a:ext cx="15773400" cy="82867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8100000" algn="ctr" rotWithShape="0">
            <a:srgbClr val="808080">
              <a:alpha val="50000"/>
            </a:srgbClr>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0</xdr:col>
      <xdr:colOff>0</xdr:colOff>
      <xdr:row>0</xdr:row>
      <xdr:rowOff>0</xdr:rowOff>
    </xdr:from>
    <xdr:to>
      <xdr:col>7</xdr:col>
      <xdr:colOff>0</xdr:colOff>
      <xdr:row>1</xdr:row>
      <xdr:rowOff>0</xdr:rowOff>
    </xdr:to>
    <xdr:sp macro="" textlink="">
      <xdr:nvSpPr>
        <xdr:cNvPr id="58917331" name="Rectangle 10"/>
        <xdr:cNvSpPr>
          <a:spLocks noChangeArrowheads="1"/>
        </xdr:cNvSpPr>
      </xdr:nvSpPr>
      <xdr:spPr bwMode="auto">
        <a:xfrm>
          <a:off x="0" y="0"/>
          <a:ext cx="15773400" cy="82867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8100000" algn="ctr" rotWithShape="0">
            <a:srgbClr val="808080">
              <a:alpha val="50000"/>
            </a:srgbClr>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0</xdr:col>
      <xdr:colOff>0</xdr:colOff>
      <xdr:row>0</xdr:row>
      <xdr:rowOff>0</xdr:rowOff>
    </xdr:from>
    <xdr:to>
      <xdr:col>7</xdr:col>
      <xdr:colOff>0</xdr:colOff>
      <xdr:row>1</xdr:row>
      <xdr:rowOff>0</xdr:rowOff>
    </xdr:to>
    <xdr:sp macro="" textlink="">
      <xdr:nvSpPr>
        <xdr:cNvPr id="58917332" name="Rectangle 2"/>
        <xdr:cNvSpPr>
          <a:spLocks noChangeArrowheads="1"/>
        </xdr:cNvSpPr>
      </xdr:nvSpPr>
      <xdr:spPr bwMode="auto">
        <a:xfrm>
          <a:off x="0" y="0"/>
          <a:ext cx="15773400" cy="82867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8100000" algn="ctr" rotWithShape="0">
            <a:srgbClr val="808080">
              <a:alpha val="50000"/>
            </a:srgbClr>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0</xdr:col>
      <xdr:colOff>0</xdr:colOff>
      <xdr:row>0</xdr:row>
      <xdr:rowOff>0</xdr:rowOff>
    </xdr:from>
    <xdr:to>
      <xdr:col>7</xdr:col>
      <xdr:colOff>0</xdr:colOff>
      <xdr:row>1</xdr:row>
      <xdr:rowOff>0</xdr:rowOff>
    </xdr:to>
    <xdr:sp macro="" textlink="">
      <xdr:nvSpPr>
        <xdr:cNvPr id="58917333" name="Rectangle 3"/>
        <xdr:cNvSpPr>
          <a:spLocks noChangeArrowheads="1"/>
        </xdr:cNvSpPr>
      </xdr:nvSpPr>
      <xdr:spPr bwMode="auto">
        <a:xfrm>
          <a:off x="0" y="0"/>
          <a:ext cx="15773400" cy="82867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8100000" algn="ctr" rotWithShape="0">
            <a:srgbClr val="808080">
              <a:alpha val="50000"/>
            </a:srgbClr>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0</xdr:col>
      <xdr:colOff>0</xdr:colOff>
      <xdr:row>0</xdr:row>
      <xdr:rowOff>0</xdr:rowOff>
    </xdr:from>
    <xdr:to>
      <xdr:col>7</xdr:col>
      <xdr:colOff>0</xdr:colOff>
      <xdr:row>1</xdr:row>
      <xdr:rowOff>0</xdr:rowOff>
    </xdr:to>
    <xdr:sp macro="" textlink="">
      <xdr:nvSpPr>
        <xdr:cNvPr id="58917334" name="Rectangle 9"/>
        <xdr:cNvSpPr>
          <a:spLocks noChangeArrowheads="1"/>
        </xdr:cNvSpPr>
      </xdr:nvSpPr>
      <xdr:spPr bwMode="auto">
        <a:xfrm>
          <a:off x="0" y="0"/>
          <a:ext cx="15773400" cy="82867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8100000" algn="ctr" rotWithShape="0">
            <a:srgbClr val="808080">
              <a:alpha val="50000"/>
            </a:srgbClr>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0</xdr:col>
      <xdr:colOff>0</xdr:colOff>
      <xdr:row>0</xdr:row>
      <xdr:rowOff>0</xdr:rowOff>
    </xdr:from>
    <xdr:to>
      <xdr:col>7</xdr:col>
      <xdr:colOff>0</xdr:colOff>
      <xdr:row>1</xdr:row>
      <xdr:rowOff>0</xdr:rowOff>
    </xdr:to>
    <xdr:sp macro="" textlink="">
      <xdr:nvSpPr>
        <xdr:cNvPr id="58917335" name="Rectangle 10"/>
        <xdr:cNvSpPr>
          <a:spLocks noChangeArrowheads="1"/>
        </xdr:cNvSpPr>
      </xdr:nvSpPr>
      <xdr:spPr bwMode="auto">
        <a:xfrm>
          <a:off x="0" y="0"/>
          <a:ext cx="15773400" cy="82867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8100000" algn="ctr" rotWithShape="0">
            <a:srgbClr val="808080">
              <a:alpha val="50000"/>
            </a:srgbClr>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0</xdr:col>
      <xdr:colOff>0</xdr:colOff>
      <xdr:row>0</xdr:row>
      <xdr:rowOff>0</xdr:rowOff>
    </xdr:from>
    <xdr:to>
      <xdr:col>7</xdr:col>
      <xdr:colOff>0</xdr:colOff>
      <xdr:row>1</xdr:row>
      <xdr:rowOff>0</xdr:rowOff>
    </xdr:to>
    <xdr:sp macro="" textlink="">
      <xdr:nvSpPr>
        <xdr:cNvPr id="58917336" name="Rectangle 2"/>
        <xdr:cNvSpPr>
          <a:spLocks noChangeArrowheads="1"/>
        </xdr:cNvSpPr>
      </xdr:nvSpPr>
      <xdr:spPr bwMode="auto">
        <a:xfrm>
          <a:off x="0" y="0"/>
          <a:ext cx="15773400" cy="82867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8100000" algn="ctr" rotWithShape="0">
            <a:srgbClr val="808080">
              <a:alpha val="50000"/>
            </a:srgbClr>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0</xdr:col>
      <xdr:colOff>0</xdr:colOff>
      <xdr:row>0</xdr:row>
      <xdr:rowOff>0</xdr:rowOff>
    </xdr:from>
    <xdr:to>
      <xdr:col>7</xdr:col>
      <xdr:colOff>0</xdr:colOff>
      <xdr:row>1</xdr:row>
      <xdr:rowOff>0</xdr:rowOff>
    </xdr:to>
    <xdr:sp macro="" textlink="">
      <xdr:nvSpPr>
        <xdr:cNvPr id="58917337" name="Rectangle 3"/>
        <xdr:cNvSpPr>
          <a:spLocks noChangeArrowheads="1"/>
        </xdr:cNvSpPr>
      </xdr:nvSpPr>
      <xdr:spPr bwMode="auto">
        <a:xfrm>
          <a:off x="0" y="0"/>
          <a:ext cx="15773400" cy="82867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8100000" algn="ctr" rotWithShape="0">
            <a:srgbClr val="808080">
              <a:alpha val="50000"/>
            </a:srgbClr>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0</xdr:col>
      <xdr:colOff>0</xdr:colOff>
      <xdr:row>0</xdr:row>
      <xdr:rowOff>0</xdr:rowOff>
    </xdr:from>
    <xdr:to>
      <xdr:col>7</xdr:col>
      <xdr:colOff>0</xdr:colOff>
      <xdr:row>1</xdr:row>
      <xdr:rowOff>0</xdr:rowOff>
    </xdr:to>
    <xdr:sp macro="" textlink="">
      <xdr:nvSpPr>
        <xdr:cNvPr id="58917338" name="Rectangle 9"/>
        <xdr:cNvSpPr>
          <a:spLocks noChangeArrowheads="1"/>
        </xdr:cNvSpPr>
      </xdr:nvSpPr>
      <xdr:spPr bwMode="auto">
        <a:xfrm>
          <a:off x="0" y="0"/>
          <a:ext cx="15773400" cy="82867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8100000" algn="ctr" rotWithShape="0">
            <a:srgbClr val="808080">
              <a:alpha val="50000"/>
            </a:srgbClr>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0</xdr:col>
      <xdr:colOff>0</xdr:colOff>
      <xdr:row>0</xdr:row>
      <xdr:rowOff>0</xdr:rowOff>
    </xdr:from>
    <xdr:to>
      <xdr:col>7</xdr:col>
      <xdr:colOff>0</xdr:colOff>
      <xdr:row>1</xdr:row>
      <xdr:rowOff>0</xdr:rowOff>
    </xdr:to>
    <xdr:sp macro="" textlink="">
      <xdr:nvSpPr>
        <xdr:cNvPr id="58917339" name="Rectangle 10"/>
        <xdr:cNvSpPr>
          <a:spLocks noChangeArrowheads="1"/>
        </xdr:cNvSpPr>
      </xdr:nvSpPr>
      <xdr:spPr bwMode="auto">
        <a:xfrm>
          <a:off x="0" y="0"/>
          <a:ext cx="15773400" cy="82867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8100000" algn="ctr" rotWithShape="0">
            <a:srgbClr val="808080">
              <a:alpha val="50000"/>
            </a:srgbClr>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0</xdr:col>
      <xdr:colOff>0</xdr:colOff>
      <xdr:row>0</xdr:row>
      <xdr:rowOff>0</xdr:rowOff>
    </xdr:from>
    <xdr:to>
      <xdr:col>7</xdr:col>
      <xdr:colOff>0</xdr:colOff>
      <xdr:row>1</xdr:row>
      <xdr:rowOff>0</xdr:rowOff>
    </xdr:to>
    <xdr:sp macro="" textlink="">
      <xdr:nvSpPr>
        <xdr:cNvPr id="58917340" name="Rectangle 2"/>
        <xdr:cNvSpPr>
          <a:spLocks noChangeArrowheads="1"/>
        </xdr:cNvSpPr>
      </xdr:nvSpPr>
      <xdr:spPr bwMode="auto">
        <a:xfrm>
          <a:off x="0" y="0"/>
          <a:ext cx="15773400" cy="82867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8100000" algn="ctr" rotWithShape="0">
            <a:srgbClr val="808080">
              <a:alpha val="50000"/>
            </a:srgbClr>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0</xdr:col>
      <xdr:colOff>0</xdr:colOff>
      <xdr:row>0</xdr:row>
      <xdr:rowOff>0</xdr:rowOff>
    </xdr:from>
    <xdr:to>
      <xdr:col>7</xdr:col>
      <xdr:colOff>0</xdr:colOff>
      <xdr:row>1</xdr:row>
      <xdr:rowOff>0</xdr:rowOff>
    </xdr:to>
    <xdr:sp macro="" textlink="">
      <xdr:nvSpPr>
        <xdr:cNvPr id="58917341" name="Rectangle 3"/>
        <xdr:cNvSpPr>
          <a:spLocks noChangeArrowheads="1"/>
        </xdr:cNvSpPr>
      </xdr:nvSpPr>
      <xdr:spPr bwMode="auto">
        <a:xfrm>
          <a:off x="0" y="0"/>
          <a:ext cx="15773400" cy="82867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8100000" algn="ctr" rotWithShape="0">
            <a:srgbClr val="808080">
              <a:alpha val="50000"/>
            </a:srgbClr>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0</xdr:col>
      <xdr:colOff>0</xdr:colOff>
      <xdr:row>0</xdr:row>
      <xdr:rowOff>0</xdr:rowOff>
    </xdr:from>
    <xdr:to>
      <xdr:col>7</xdr:col>
      <xdr:colOff>0</xdr:colOff>
      <xdr:row>1</xdr:row>
      <xdr:rowOff>0</xdr:rowOff>
    </xdr:to>
    <xdr:sp macro="" textlink="">
      <xdr:nvSpPr>
        <xdr:cNvPr id="58917342" name="Rectangle 9"/>
        <xdr:cNvSpPr>
          <a:spLocks noChangeArrowheads="1"/>
        </xdr:cNvSpPr>
      </xdr:nvSpPr>
      <xdr:spPr bwMode="auto">
        <a:xfrm>
          <a:off x="0" y="0"/>
          <a:ext cx="15773400" cy="82867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8100000" algn="ctr" rotWithShape="0">
            <a:srgbClr val="808080">
              <a:alpha val="50000"/>
            </a:srgbClr>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0</xdr:col>
      <xdr:colOff>0</xdr:colOff>
      <xdr:row>0</xdr:row>
      <xdr:rowOff>0</xdr:rowOff>
    </xdr:from>
    <xdr:to>
      <xdr:col>7</xdr:col>
      <xdr:colOff>0</xdr:colOff>
      <xdr:row>1</xdr:row>
      <xdr:rowOff>0</xdr:rowOff>
    </xdr:to>
    <xdr:sp macro="" textlink="">
      <xdr:nvSpPr>
        <xdr:cNvPr id="58917343" name="Rectangle 10"/>
        <xdr:cNvSpPr>
          <a:spLocks noChangeArrowheads="1"/>
        </xdr:cNvSpPr>
      </xdr:nvSpPr>
      <xdr:spPr bwMode="auto">
        <a:xfrm>
          <a:off x="0" y="0"/>
          <a:ext cx="15773400" cy="82867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8100000" algn="ctr" rotWithShape="0">
            <a:srgbClr val="808080">
              <a:alpha val="50000"/>
            </a:srgbClr>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20</xdr:row>
      <xdr:rowOff>133350</xdr:rowOff>
    </xdr:from>
    <xdr:to>
      <xdr:col>5</xdr:col>
      <xdr:colOff>1009650</xdr:colOff>
      <xdr:row>34</xdr:row>
      <xdr:rowOff>47625</xdr:rowOff>
    </xdr:to>
    <xdr:graphicFrame macro="">
      <xdr:nvGraphicFramePr>
        <xdr:cNvPr id="57231040" name="Grafik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8</xdr:row>
      <xdr:rowOff>12700</xdr:rowOff>
    </xdr:from>
    <xdr:to>
      <xdr:col>5</xdr:col>
      <xdr:colOff>1085850</xdr:colOff>
      <xdr:row>19</xdr:row>
      <xdr:rowOff>107950</xdr:rowOff>
    </xdr:to>
    <xdr:graphicFrame macro="">
      <xdr:nvGraphicFramePr>
        <xdr:cNvPr id="57231041" name="Grafik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wsDr>
</file>

<file path=xl/drawings/drawing3.xml><?xml version="1.0" encoding="utf-8"?>
<xdr:wsDr xmlns:xdr="http://schemas.openxmlformats.org/drawingml/2006/spreadsheetDrawing" xmlns:a="http://schemas.openxmlformats.org/drawingml/2006/main">
  <xdr:twoCellAnchor>
    <xdr:from>
      <xdr:col>16</xdr:col>
      <xdr:colOff>76200</xdr:colOff>
      <xdr:row>2</xdr:row>
      <xdr:rowOff>247650</xdr:rowOff>
    </xdr:from>
    <xdr:to>
      <xdr:col>23</xdr:col>
      <xdr:colOff>523875</xdr:colOff>
      <xdr:row>15</xdr:row>
      <xdr:rowOff>123825</xdr:rowOff>
    </xdr:to>
    <xdr:graphicFrame macro="">
      <xdr:nvGraphicFramePr>
        <xdr:cNvPr id="57234410" name="Grafik 10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76200</xdr:colOff>
      <xdr:row>17</xdr:row>
      <xdr:rowOff>295275</xdr:rowOff>
    </xdr:from>
    <xdr:to>
      <xdr:col>23</xdr:col>
      <xdr:colOff>457200</xdr:colOff>
      <xdr:row>30</xdr:row>
      <xdr:rowOff>104775</xdr:rowOff>
    </xdr:to>
    <xdr:graphicFrame macro="">
      <xdr:nvGraphicFramePr>
        <xdr:cNvPr id="57234411" name="Grafik 10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57150</xdr:colOff>
      <xdr:row>32</xdr:row>
      <xdr:rowOff>219075</xdr:rowOff>
    </xdr:from>
    <xdr:to>
      <xdr:col>23</xdr:col>
      <xdr:colOff>523875</xdr:colOff>
      <xdr:row>45</xdr:row>
      <xdr:rowOff>133350</xdr:rowOff>
    </xdr:to>
    <xdr:graphicFrame macro="">
      <xdr:nvGraphicFramePr>
        <xdr:cNvPr id="57234412" name="Grafik 10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is Teması">
  <a:themeElements>
    <a:clrScheme name="Ofis">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is">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i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A0000" mc:Ignorable="a14" a14:legacySpreadsheetColorIndex="10">
            <a:alpha val="44000"/>
          </a:srgbClr>
        </a:solidFill>
        <a:ln>
          <a:noFill/>
        </a:ln>
        <a:effectLst/>
        <a:extLst>
          <a:ext uri="{91240B29-F687-4F45-9708-019B960494DF}">
            <a14:hiddenLine xmlns:a14="http://schemas.microsoft.com/office/drawing/2010/main" w="38100" cap="flat" cmpd="sng" algn="ctr">
              <a:solidFill>
                <a:srgbClr val="00808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A0000" mc:Ignorable="a14" a14:legacySpreadsheetColorIndex="10">
            <a:alpha val="44000"/>
          </a:srgbClr>
        </a:solidFill>
        <a:ln>
          <a:noFill/>
        </a:ln>
        <a:effectLst/>
        <a:extLst>
          <a:ext uri="{91240B29-F687-4F45-9708-019B960494DF}">
            <a14:hiddenLine xmlns:a14="http://schemas.microsoft.com/office/drawing/2010/main" w="38100" cap="flat" cmpd="sng" algn="ctr">
              <a:solidFill>
                <a:srgbClr val="00808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lnDef>
  </a:objectDefaults>
  <a:extraClrSchemeLst/>
</a:theme>
</file>

<file path=xl/theme/themeOverride1.xml><?xml version="1.0" encoding="utf-8"?>
<a:themeOverride xmlns:a="http://schemas.openxmlformats.org/drawingml/2006/main">
  <a:clrScheme name="Ofis">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is">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i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ayfa1">
    <tabColor rgb="FFFF0000"/>
  </sheetPr>
  <dimension ref="A1:AL54"/>
  <sheetViews>
    <sheetView showGridLines="0" zoomScale="75" zoomScaleNormal="75" workbookViewId="0"/>
  </sheetViews>
  <sheetFormatPr defaultRowHeight="18"/>
  <cols>
    <col min="1" max="1" width="16.85546875" style="92" customWidth="1"/>
    <col min="2" max="2" width="13.5703125" style="92" customWidth="1"/>
    <col min="3" max="3" width="35.42578125" style="92" customWidth="1"/>
    <col min="4" max="4" width="25.28515625" style="92" customWidth="1"/>
    <col min="5" max="5" width="53.85546875" style="92" customWidth="1"/>
    <col min="6" max="6" width="71.7109375" style="92" customWidth="1"/>
    <col min="7" max="7" width="19.85546875" style="92" customWidth="1"/>
    <col min="8" max="8" width="4.28515625" style="92" customWidth="1"/>
    <col min="9" max="16384" width="9.140625" style="92"/>
  </cols>
  <sheetData>
    <row r="1" spans="1:7" ht="65.25" customHeight="1">
      <c r="A1" s="719" t="s">
        <v>729</v>
      </c>
      <c r="B1" s="1750" t="s">
        <v>148</v>
      </c>
      <c r="C1" s="1750"/>
      <c r="D1" s="1750"/>
      <c r="E1" s="1750"/>
      <c r="F1" s="720"/>
      <c r="G1" s="720" t="s">
        <v>726</v>
      </c>
    </row>
    <row r="2" spans="1:7" ht="36.75" customHeight="1">
      <c r="A2" s="93"/>
      <c r="B2" s="1749" t="s">
        <v>146</v>
      </c>
      <c r="C2" s="1749"/>
      <c r="D2" s="1749"/>
      <c r="E2" s="1749"/>
      <c r="F2" s="1749"/>
      <c r="G2" s="95"/>
    </row>
    <row r="3" spans="1:7" ht="33" customHeight="1">
      <c r="A3" s="96" t="s">
        <v>267</v>
      </c>
      <c r="B3" s="92" t="s">
        <v>216</v>
      </c>
      <c r="C3" s="195"/>
      <c r="D3" s="195" t="s">
        <v>729</v>
      </c>
      <c r="E3" s="195"/>
      <c r="G3" s="95"/>
    </row>
    <row r="4" spans="1:7" ht="33" customHeight="1">
      <c r="A4" s="96" t="s">
        <v>268</v>
      </c>
      <c r="B4" s="92" t="s">
        <v>217</v>
      </c>
      <c r="C4" s="195"/>
      <c r="D4" s="195"/>
      <c r="E4" s="195"/>
      <c r="G4" s="95"/>
    </row>
    <row r="5" spans="1:7" ht="33" customHeight="1">
      <c r="A5" s="96" t="s">
        <v>269</v>
      </c>
      <c r="B5" s="92" t="s">
        <v>218</v>
      </c>
      <c r="C5" s="195"/>
      <c r="D5" s="195"/>
      <c r="E5" s="195"/>
      <c r="G5" s="95"/>
    </row>
    <row r="6" spans="1:7" ht="33" customHeight="1">
      <c r="A6" s="96" t="s">
        <v>270</v>
      </c>
      <c r="B6" s="92" t="s">
        <v>219</v>
      </c>
      <c r="C6" s="195"/>
      <c r="D6" s="195"/>
      <c r="E6" s="195"/>
      <c r="G6" s="95"/>
    </row>
    <row r="7" spans="1:7" ht="36" customHeight="1">
      <c r="A7" s="96"/>
      <c r="B7" s="1749" t="s">
        <v>147</v>
      </c>
      <c r="C7" s="1749"/>
      <c r="D7" s="1749"/>
      <c r="E7" s="1749"/>
      <c r="F7" s="1749"/>
      <c r="G7" s="95"/>
    </row>
    <row r="8" spans="1:7" s="97" customFormat="1" ht="33" customHeight="1">
      <c r="A8" s="96" t="s">
        <v>271</v>
      </c>
      <c r="B8" s="92" t="s">
        <v>220</v>
      </c>
      <c r="C8" s="196"/>
      <c r="G8" s="95"/>
    </row>
    <row r="9" spans="1:7" ht="33" customHeight="1">
      <c r="A9" s="96" t="s">
        <v>272</v>
      </c>
      <c r="B9" s="92" t="s">
        <v>221</v>
      </c>
      <c r="G9" s="95"/>
    </row>
    <row r="10" spans="1:7" ht="33" customHeight="1">
      <c r="A10" s="96" t="s">
        <v>273</v>
      </c>
      <c r="B10" s="92" t="s">
        <v>222</v>
      </c>
      <c r="G10" s="95"/>
    </row>
    <row r="11" spans="1:7" ht="33" customHeight="1">
      <c r="A11" s="96" t="s">
        <v>274</v>
      </c>
      <c r="B11" s="92" t="s">
        <v>223</v>
      </c>
      <c r="G11" s="95"/>
    </row>
    <row r="12" spans="1:7" ht="33" customHeight="1">
      <c r="A12" s="96" t="s">
        <v>275</v>
      </c>
      <c r="B12" s="92" t="s">
        <v>224</v>
      </c>
      <c r="G12" s="95"/>
    </row>
    <row r="13" spans="1:7" ht="33" customHeight="1">
      <c r="A13" s="96" t="s">
        <v>276</v>
      </c>
      <c r="B13" s="92" t="s">
        <v>73</v>
      </c>
      <c r="G13" s="95"/>
    </row>
    <row r="14" spans="1:7" ht="33" customHeight="1">
      <c r="A14" s="98" t="s">
        <v>277</v>
      </c>
      <c r="B14" s="92" t="s">
        <v>74</v>
      </c>
      <c r="G14" s="95"/>
    </row>
    <row r="15" spans="1:7" ht="33" customHeight="1">
      <c r="A15" s="96" t="s">
        <v>278</v>
      </c>
      <c r="B15" s="92" t="s">
        <v>75</v>
      </c>
      <c r="G15" s="95"/>
    </row>
    <row r="16" spans="1:7" ht="33" customHeight="1">
      <c r="A16" s="96" t="s">
        <v>279</v>
      </c>
      <c r="B16" s="92" t="s">
        <v>973</v>
      </c>
      <c r="G16" s="95"/>
    </row>
    <row r="17" spans="1:38" ht="33" customHeight="1">
      <c r="A17" s="96" t="s">
        <v>280</v>
      </c>
      <c r="B17" s="92" t="s">
        <v>76</v>
      </c>
      <c r="G17" s="95"/>
    </row>
    <row r="18" spans="1:38" ht="29.25" customHeight="1">
      <c r="A18" s="96" t="s">
        <v>298</v>
      </c>
      <c r="B18" s="92" t="s">
        <v>951</v>
      </c>
      <c r="G18" s="95"/>
    </row>
    <row r="19" spans="1:38" ht="33" customHeight="1">
      <c r="A19" s="96" t="s">
        <v>299</v>
      </c>
      <c r="B19" s="92" t="s">
        <v>77</v>
      </c>
      <c r="G19" s="95"/>
    </row>
    <row r="20" spans="1:38" ht="33" customHeight="1">
      <c r="A20" s="96" t="s">
        <v>300</v>
      </c>
      <c r="B20" s="92" t="s">
        <v>78</v>
      </c>
      <c r="G20" s="95"/>
    </row>
    <row r="21" spans="1:38" ht="33" customHeight="1">
      <c r="A21" s="96" t="s">
        <v>301</v>
      </c>
      <c r="B21" s="92" t="s">
        <v>568</v>
      </c>
      <c r="G21" s="95"/>
    </row>
    <row r="22" spans="1:38" ht="33" customHeight="1">
      <c r="A22" s="96" t="s">
        <v>302</v>
      </c>
      <c r="B22" s="92" t="s">
        <v>569</v>
      </c>
      <c r="G22" s="95"/>
    </row>
    <row r="23" spans="1:38" ht="33" customHeight="1">
      <c r="A23" s="96" t="s">
        <v>303</v>
      </c>
      <c r="B23" s="92" t="s">
        <v>570</v>
      </c>
      <c r="G23" s="95"/>
    </row>
    <row r="24" spans="1:38" ht="33" customHeight="1">
      <c r="A24" s="98" t="s">
        <v>304</v>
      </c>
      <c r="B24" s="92" t="s">
        <v>571</v>
      </c>
      <c r="G24" s="95"/>
    </row>
    <row r="25" spans="1:38" ht="33" customHeight="1">
      <c r="A25" s="96" t="s">
        <v>305</v>
      </c>
      <c r="B25" s="92" t="s">
        <v>572</v>
      </c>
      <c r="G25" s="95"/>
    </row>
    <row r="26" spans="1:38" ht="33" customHeight="1">
      <c r="A26" s="96" t="s">
        <v>306</v>
      </c>
      <c r="B26" s="92" t="s">
        <v>955</v>
      </c>
      <c r="G26" s="95"/>
    </row>
    <row r="27" spans="1:38" ht="29.25" customHeight="1">
      <c r="B27" s="318" t="s">
        <v>954</v>
      </c>
      <c r="G27" s="95"/>
    </row>
    <row r="28" spans="1:38" ht="29.25" customHeight="1">
      <c r="A28" s="98" t="s">
        <v>307</v>
      </c>
      <c r="B28" s="92" t="s">
        <v>950</v>
      </c>
      <c r="G28" s="95"/>
    </row>
    <row r="29" spans="1:38" ht="37.5" customHeight="1">
      <c r="B29" s="1749" t="s">
        <v>265</v>
      </c>
      <c r="C29" s="1749"/>
      <c r="D29" s="1749"/>
      <c r="E29" s="99"/>
      <c r="G29" s="95"/>
    </row>
    <row r="30" spans="1:38" ht="33" customHeight="1">
      <c r="A30" s="96" t="s">
        <v>308</v>
      </c>
      <c r="B30" s="1748" t="s">
        <v>1171</v>
      </c>
      <c r="C30" s="1748"/>
      <c r="D30" s="1748"/>
      <c r="E30" s="1748"/>
      <c r="F30" s="1748"/>
      <c r="G30" s="307"/>
      <c r="H30" s="307"/>
      <c r="I30" s="307"/>
      <c r="J30" s="307"/>
      <c r="K30" s="307"/>
      <c r="L30" s="307"/>
      <c r="M30" s="307"/>
      <c r="N30" s="308"/>
      <c r="O30" s="308"/>
      <c r="P30" s="308"/>
    </row>
    <row r="31" spans="1:38" ht="33" customHeight="1">
      <c r="A31" s="96" t="s">
        <v>309</v>
      </c>
      <c r="B31" s="1748" t="s">
        <v>1172</v>
      </c>
      <c r="C31" s="1748"/>
      <c r="D31" s="1748"/>
      <c r="E31" s="1748"/>
      <c r="F31" s="1748"/>
      <c r="G31" s="1746" t="s">
        <v>729</v>
      </c>
      <c r="H31" s="1747"/>
      <c r="I31" s="1747"/>
      <c r="J31" s="1747"/>
      <c r="K31" s="1747"/>
      <c r="L31" s="1747"/>
      <c r="M31" s="1747"/>
      <c r="N31" s="1747"/>
    </row>
    <row r="32" spans="1:38" ht="33" customHeight="1">
      <c r="A32" s="98" t="s">
        <v>310</v>
      </c>
      <c r="B32" s="1748" t="s">
        <v>1173</v>
      </c>
      <c r="C32" s="1748"/>
      <c r="D32" s="1748"/>
      <c r="E32" s="1748"/>
      <c r="F32" s="1748"/>
      <c r="G32" s="1746" t="s">
        <v>729</v>
      </c>
      <c r="H32" s="1746"/>
      <c r="I32" s="1746"/>
      <c r="J32" s="1746"/>
      <c r="K32" s="1746"/>
      <c r="L32" s="1746"/>
      <c r="M32" s="1746"/>
      <c r="N32" s="1746"/>
      <c r="O32" s="1746"/>
      <c r="P32" s="1746"/>
      <c r="Q32" s="1746"/>
      <c r="R32" s="1746"/>
      <c r="S32" s="1746"/>
      <c r="T32" s="1746"/>
      <c r="U32" s="1746"/>
      <c r="V32" s="1746"/>
      <c r="W32" s="1746"/>
      <c r="X32" s="1746"/>
      <c r="Y32" s="1746"/>
      <c r="Z32" s="1746"/>
      <c r="AA32" s="1746"/>
      <c r="AB32" s="1746"/>
      <c r="AC32" s="1746"/>
      <c r="AD32" s="1746"/>
      <c r="AE32" s="1746"/>
      <c r="AF32" s="1746"/>
      <c r="AG32" s="1746"/>
      <c r="AH32" s="1746"/>
      <c r="AI32" s="1746"/>
      <c r="AJ32" s="1746"/>
      <c r="AK32" s="1746"/>
      <c r="AL32" s="1746"/>
    </row>
    <row r="33" spans="1:16" ht="41.25" customHeight="1">
      <c r="A33" s="96" t="s">
        <v>311</v>
      </c>
      <c r="B33" s="1748" t="s">
        <v>1174</v>
      </c>
      <c r="C33" s="1748"/>
      <c r="D33" s="1748"/>
      <c r="E33" s="1748"/>
      <c r="F33" s="1748"/>
      <c r="G33" s="1748"/>
      <c r="H33" s="1748"/>
      <c r="I33" s="1748"/>
      <c r="J33" s="1748"/>
      <c r="K33" s="1748"/>
      <c r="L33" s="1748"/>
      <c r="M33" s="1748"/>
      <c r="N33" s="1748"/>
      <c r="O33" s="1748"/>
      <c r="P33" s="1748"/>
    </row>
    <row r="34" spans="1:16" ht="36.75" customHeight="1">
      <c r="A34" s="96"/>
      <c r="B34" s="1749" t="s">
        <v>145</v>
      </c>
      <c r="C34" s="1749"/>
      <c r="D34" s="1749"/>
    </row>
    <row r="35" spans="1:16" ht="36.75" customHeight="1">
      <c r="A35" s="96"/>
      <c r="B35" s="94"/>
      <c r="C35" s="94"/>
      <c r="D35" s="94"/>
    </row>
    <row r="36" spans="1:16" ht="23.25" customHeight="1">
      <c r="A36" s="96" t="s">
        <v>312</v>
      </c>
      <c r="B36" s="92" t="s">
        <v>1098</v>
      </c>
      <c r="G36" s="95"/>
    </row>
    <row r="37" spans="1:16" ht="20.25" customHeight="1">
      <c r="G37" s="95"/>
    </row>
    <row r="38" spans="1:16" ht="16.5" customHeight="1">
      <c r="A38" s="96" t="s">
        <v>313</v>
      </c>
      <c r="B38" s="92" t="s">
        <v>1099</v>
      </c>
      <c r="G38" s="95"/>
    </row>
    <row r="39" spans="1:16" ht="15.75" customHeight="1">
      <c r="G39" s="95"/>
    </row>
    <row r="40" spans="1:16" ht="20.25" customHeight="1">
      <c r="A40" s="96" t="s">
        <v>314</v>
      </c>
      <c r="B40" s="92" t="s">
        <v>1100</v>
      </c>
      <c r="G40" s="95"/>
    </row>
    <row r="41" spans="1:16" ht="15.75" customHeight="1">
      <c r="G41" s="95"/>
    </row>
    <row r="42" spans="1:16" ht="15.75" customHeight="1">
      <c r="A42" s="96" t="s">
        <v>315</v>
      </c>
      <c r="B42" s="92" t="s">
        <v>500</v>
      </c>
      <c r="G42" s="95"/>
    </row>
    <row r="43" spans="1:16" ht="12.75" customHeight="1">
      <c r="A43" s="96"/>
      <c r="G43" s="95"/>
    </row>
    <row r="44" spans="1:16" ht="21.75" customHeight="1">
      <c r="A44" s="96" t="s">
        <v>316</v>
      </c>
      <c r="B44" s="92" t="s">
        <v>501</v>
      </c>
      <c r="G44" s="95"/>
    </row>
    <row r="45" spans="1:16" ht="30.75" customHeight="1">
      <c r="A45" s="96" t="s">
        <v>317</v>
      </c>
      <c r="B45" s="92" t="s">
        <v>1153</v>
      </c>
      <c r="G45" s="95"/>
    </row>
    <row r="46" spans="1:16" ht="30.75" customHeight="1">
      <c r="A46" s="96"/>
      <c r="G46" s="95"/>
    </row>
    <row r="47" spans="1:16" ht="18.75">
      <c r="A47" s="96" t="s">
        <v>318</v>
      </c>
      <c r="B47" s="92" t="s">
        <v>880</v>
      </c>
    </row>
    <row r="48" spans="1:16">
      <c r="A48" s="96"/>
    </row>
    <row r="49" spans="1:3" ht="18.75">
      <c r="A49" s="96" t="s">
        <v>319</v>
      </c>
      <c r="B49" s="92" t="s">
        <v>1154</v>
      </c>
      <c r="C49" s="94"/>
    </row>
    <row r="50" spans="1:3">
      <c r="A50" s="96"/>
      <c r="C50" s="94"/>
    </row>
    <row r="51" spans="1:3" ht="18.75">
      <c r="A51" s="96" t="s">
        <v>320</v>
      </c>
      <c r="B51" s="92" t="s">
        <v>363</v>
      </c>
    </row>
    <row r="52" spans="1:3">
      <c r="A52" s="96"/>
    </row>
    <row r="53" spans="1:3">
      <c r="A53" s="96"/>
    </row>
    <row r="54" spans="1:3">
      <c r="A54" s="96"/>
    </row>
  </sheetData>
  <mergeCells count="11">
    <mergeCell ref="B1:E1"/>
    <mergeCell ref="B7:F7"/>
    <mergeCell ref="B29:D29"/>
    <mergeCell ref="B34:D34"/>
    <mergeCell ref="B30:F30"/>
    <mergeCell ref="B31:F31"/>
    <mergeCell ref="G31:N31"/>
    <mergeCell ref="B32:F32"/>
    <mergeCell ref="G32:AL32"/>
    <mergeCell ref="B33:P33"/>
    <mergeCell ref="B2:F2"/>
  </mergeCells>
  <phoneticPr fontId="7" type="noConversion"/>
  <pageMargins left="0.35433070866141736" right="0.27559055118110237" top="0.86614173228346458" bottom="0.51181102362204722" header="0.51181102362204722" footer="0.27559055118110237"/>
  <pageSetup paperSize="9" scale="42" orientation="portrait" r:id="rId1"/>
  <headerFooter alignWithMargins="0"/>
  <colBreaks count="2" manualBreakCount="2">
    <brk id="7" max="60" man="1"/>
    <brk id="8" max="1048575" man="1"/>
  </col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ayfa15">
    <tabColor theme="3" tint="0.59999389629810485"/>
  </sheetPr>
  <dimension ref="A1:AS107"/>
  <sheetViews>
    <sheetView showGridLines="0" zoomScaleNormal="100" zoomScaleSheetLayoutView="100" workbookViewId="0">
      <selection activeCell="A3" sqref="A3:A5"/>
    </sheetView>
  </sheetViews>
  <sheetFormatPr defaultRowHeight="12.75"/>
  <cols>
    <col min="1" max="1" width="4.85546875" customWidth="1"/>
    <col min="2" max="2" width="16.7109375" style="35" customWidth="1"/>
    <col min="3" max="3" width="15.85546875" style="312" bestFit="1" customWidth="1"/>
    <col min="4" max="4" width="13.5703125" style="14" customWidth="1"/>
    <col min="5" max="5" width="13.140625" style="14" customWidth="1"/>
    <col min="6" max="6" width="11.42578125" style="14" customWidth="1"/>
    <col min="7" max="7" width="13" bestFit="1" customWidth="1"/>
    <col min="8" max="8" width="14.7109375" customWidth="1"/>
    <col min="9" max="9" width="14.140625" bestFit="1" customWidth="1"/>
    <col min="10" max="10" width="11.42578125" customWidth="1"/>
    <col min="11" max="11" width="16.42578125" customWidth="1"/>
    <col min="12" max="12" width="13.140625" customWidth="1"/>
    <col min="13" max="13" width="17" customWidth="1"/>
    <col min="14" max="15" width="14.42578125" customWidth="1"/>
    <col min="16" max="16" width="17" customWidth="1"/>
    <col min="17" max="18" width="19.7109375" style="198" hidden="1" customWidth="1"/>
    <col min="19" max="19" width="7.42578125" style="198" hidden="1" customWidth="1"/>
    <col min="20" max="20" width="6.7109375" style="198" hidden="1" customWidth="1"/>
    <col min="21" max="21" width="6.5703125" style="198" hidden="1" customWidth="1"/>
    <col min="22" max="22" width="0.140625" style="198" hidden="1" customWidth="1"/>
    <col min="23" max="23" width="5.28515625" style="198" hidden="1" customWidth="1"/>
    <col min="24" max="24" width="4.42578125" style="198" hidden="1" customWidth="1"/>
    <col min="25" max="26" width="10.140625" style="198" hidden="1" customWidth="1"/>
    <col min="27" max="27" width="10" style="198" hidden="1" customWidth="1"/>
    <col min="28" max="37" width="10.140625" style="198" customWidth="1"/>
    <col min="38" max="43" width="9.140625" style="198" customWidth="1"/>
    <col min="45" max="45" width="0" hidden="1" customWidth="1"/>
  </cols>
  <sheetData>
    <row r="1" spans="1:45" ht="14.25" customHeight="1">
      <c r="A1" s="38" t="s">
        <v>1024</v>
      </c>
      <c r="B1" s="38"/>
      <c r="C1" s="311"/>
      <c r="D1" s="38"/>
      <c r="E1" s="38"/>
      <c r="F1" s="38"/>
      <c r="G1" s="613"/>
      <c r="H1" s="613"/>
      <c r="I1" s="613"/>
      <c r="J1" s="613"/>
      <c r="K1" s="613"/>
      <c r="L1" s="613"/>
      <c r="M1" s="613"/>
      <c r="N1" s="38"/>
      <c r="O1" s="38"/>
    </row>
    <row r="2" spans="1:45" ht="12.75" customHeight="1" thickBot="1">
      <c r="A2" s="101" t="s">
        <v>295</v>
      </c>
      <c r="D2" s="102"/>
      <c r="E2" s="102"/>
      <c r="F2" s="102"/>
      <c r="G2" s="614"/>
      <c r="H2" s="614"/>
      <c r="I2" s="614"/>
      <c r="J2" s="614"/>
      <c r="K2" s="614"/>
      <c r="L2" s="614"/>
      <c r="M2" s="614"/>
      <c r="N2" s="317"/>
      <c r="O2" s="1852" t="str">
        <f>+'10.4-a İL DAĞILIM'!AG2</f>
        <v>2017 Nisan (April)</v>
      </c>
      <c r="P2" s="1852"/>
      <c r="Q2" s="105"/>
      <c r="S2" s="198" t="s">
        <v>800</v>
      </c>
      <c r="W2" s="198" t="s">
        <v>801</v>
      </c>
    </row>
    <row r="3" spans="1:45" s="36" customFormat="1" ht="24" customHeight="1" thickBot="1">
      <c r="A3" s="1866" t="s">
        <v>366</v>
      </c>
      <c r="B3" s="843"/>
      <c r="C3" s="1872" t="s">
        <v>837</v>
      </c>
      <c r="D3" s="1873"/>
      <c r="E3" s="1873"/>
      <c r="F3" s="1856"/>
      <c r="G3" s="1880" t="s">
        <v>1218</v>
      </c>
      <c r="H3" s="1881"/>
      <c r="I3" s="1881"/>
      <c r="J3" s="1881"/>
      <c r="K3" s="1881"/>
      <c r="L3" s="1881"/>
      <c r="M3" s="1881"/>
      <c r="N3" s="1853" t="s">
        <v>1062</v>
      </c>
      <c r="O3" s="1856" t="s">
        <v>1063</v>
      </c>
      <c r="P3" s="1856" t="s">
        <v>114</v>
      </c>
      <c r="Q3" s="108"/>
      <c r="R3" s="111"/>
      <c r="S3" s="112" t="s">
        <v>180</v>
      </c>
      <c r="T3" s="112" t="s">
        <v>788</v>
      </c>
      <c r="U3" s="111" t="s">
        <v>787</v>
      </c>
      <c r="V3" s="110"/>
      <c r="W3" s="112" t="s">
        <v>180</v>
      </c>
      <c r="X3" s="112" t="s">
        <v>788</v>
      </c>
      <c r="Y3" s="111" t="s">
        <v>787</v>
      </c>
      <c r="Z3" s="110"/>
      <c r="AA3" s="110"/>
      <c r="AB3" s="110"/>
      <c r="AC3" s="110"/>
      <c r="AD3" s="110"/>
      <c r="AE3" s="110"/>
      <c r="AF3" s="110"/>
      <c r="AG3" s="110"/>
      <c r="AH3" s="110"/>
      <c r="AI3" s="110"/>
      <c r="AJ3" s="110"/>
      <c r="AK3" s="106"/>
      <c r="AL3" s="106"/>
      <c r="AM3" s="106"/>
      <c r="AN3" s="106"/>
      <c r="AO3" s="106"/>
      <c r="AP3" s="106"/>
      <c r="AQ3" s="106"/>
    </row>
    <row r="4" spans="1:45" s="36" customFormat="1" ht="30" customHeight="1" thickBot="1">
      <c r="A4" s="1867"/>
      <c r="B4" s="844"/>
      <c r="C4" s="1874"/>
      <c r="D4" s="1875"/>
      <c r="E4" s="1875"/>
      <c r="F4" s="1858"/>
      <c r="G4" s="1882" t="s">
        <v>1065</v>
      </c>
      <c r="H4" s="1883"/>
      <c r="I4" s="1883"/>
      <c r="J4" s="1884"/>
      <c r="K4" s="1882" t="s">
        <v>1064</v>
      </c>
      <c r="L4" s="1883"/>
      <c r="M4" s="1884"/>
      <c r="N4" s="1854"/>
      <c r="O4" s="1857"/>
      <c r="P4" s="1857"/>
      <c r="Q4" s="108"/>
      <c r="R4" s="113"/>
      <c r="S4" s="114" t="s">
        <v>886</v>
      </c>
      <c r="T4" s="114" t="s">
        <v>886</v>
      </c>
      <c r="U4" s="114" t="s">
        <v>886</v>
      </c>
      <c r="V4" s="110"/>
      <c r="W4" s="114" t="s">
        <v>886</v>
      </c>
      <c r="X4" s="114" t="s">
        <v>886</v>
      </c>
      <c r="Y4" s="114" t="s">
        <v>886</v>
      </c>
      <c r="Z4" s="110"/>
      <c r="AA4" s="110"/>
      <c r="AB4" s="110"/>
      <c r="AC4" s="110"/>
      <c r="AD4" s="110"/>
      <c r="AE4" s="110"/>
      <c r="AF4" s="110"/>
      <c r="AG4" s="110"/>
      <c r="AH4" s="110"/>
      <c r="AI4" s="110"/>
      <c r="AJ4" s="110"/>
      <c r="AK4" s="106"/>
      <c r="AL4" s="106"/>
      <c r="AM4" s="106"/>
      <c r="AN4" s="106"/>
      <c r="AO4" s="106"/>
      <c r="AP4" s="106"/>
      <c r="AQ4" s="106"/>
    </row>
    <row r="5" spans="1:45" s="36" customFormat="1" ht="101.25" customHeight="1" thickBot="1">
      <c r="A5" s="1868"/>
      <c r="B5" s="845" t="s">
        <v>675</v>
      </c>
      <c r="C5" s="846" t="s">
        <v>956</v>
      </c>
      <c r="D5" s="846" t="s">
        <v>394</v>
      </c>
      <c r="E5" s="846" t="s">
        <v>958</v>
      </c>
      <c r="F5" s="846" t="s">
        <v>957</v>
      </c>
      <c r="G5" s="646" t="s">
        <v>1055</v>
      </c>
      <c r="H5" s="647" t="s">
        <v>1056</v>
      </c>
      <c r="I5" s="648" t="s">
        <v>1057</v>
      </c>
      <c r="J5" s="649" t="s">
        <v>1058</v>
      </c>
      <c r="K5" s="650" t="s">
        <v>1059</v>
      </c>
      <c r="L5" s="651" t="s">
        <v>1060</v>
      </c>
      <c r="M5" s="652" t="s">
        <v>1061</v>
      </c>
      <c r="N5" s="1855"/>
      <c r="O5" s="1858"/>
      <c r="P5" s="1858"/>
      <c r="Q5" s="108" t="s">
        <v>619</v>
      </c>
      <c r="R5" s="115" t="s">
        <v>377</v>
      </c>
      <c r="S5" s="116"/>
      <c r="T5" s="116"/>
      <c r="U5" s="116"/>
      <c r="V5" s="110"/>
      <c r="W5" s="116"/>
      <c r="X5" s="116"/>
      <c r="Y5" s="116"/>
      <c r="Z5" s="110"/>
      <c r="AA5" s="110"/>
      <c r="AB5" s="110"/>
      <c r="AC5" s="110"/>
      <c r="AD5" s="110"/>
      <c r="AE5" s="110"/>
      <c r="AF5" s="110"/>
      <c r="AG5" s="110"/>
      <c r="AH5" s="110"/>
      <c r="AI5" s="110"/>
      <c r="AJ5" s="110"/>
      <c r="AK5" s="106"/>
      <c r="AL5" s="106"/>
      <c r="AM5" s="106"/>
      <c r="AN5" s="106"/>
      <c r="AO5" s="106"/>
      <c r="AP5" s="106"/>
      <c r="AQ5" s="106"/>
    </row>
    <row r="6" spans="1:45" s="36" customFormat="1" ht="12.75" customHeight="1">
      <c r="A6" s="55" t="s">
        <v>195</v>
      </c>
      <c r="B6" s="47" t="s">
        <v>196</v>
      </c>
      <c r="C6" s="673">
        <f>+D6+E6+F6</f>
        <v>52721</v>
      </c>
      <c r="D6" s="674">
        <v>50022</v>
      </c>
      <c r="E6" s="675">
        <v>2415</v>
      </c>
      <c r="F6" s="675">
        <v>284</v>
      </c>
      <c r="G6" s="629">
        <v>533</v>
      </c>
      <c r="H6" s="620">
        <v>29057</v>
      </c>
      <c r="I6" s="620">
        <v>15731</v>
      </c>
      <c r="J6" s="621">
        <v>20811</v>
      </c>
      <c r="K6" s="628">
        <v>4</v>
      </c>
      <c r="L6" s="690">
        <v>5</v>
      </c>
      <c r="M6" s="676">
        <v>14</v>
      </c>
      <c r="N6" s="677">
        <f>+G6+H6+I6+K6+L6</f>
        <v>45330</v>
      </c>
      <c r="O6" s="671">
        <f>+G6+H6+J6+K6+M6</f>
        <v>50419</v>
      </c>
      <c r="P6" s="672">
        <f t="shared" ref="P6:P45" si="0">((C6)*S6)+(G6*U6)+(H6*T6)+J6+K6+M6</f>
        <v>325240.00598298409</v>
      </c>
      <c r="Q6" s="52">
        <f t="shared" ref="Q6:Q45" si="1">+P6-C6-O6</f>
        <v>222100.00598298409</v>
      </c>
      <c r="R6" s="135" t="s">
        <v>378</v>
      </c>
      <c r="S6" s="120">
        <v>4.1606699988553553</v>
      </c>
      <c r="T6" s="120">
        <v>2.8486317810849737</v>
      </c>
      <c r="U6" s="120">
        <v>4.2844827586206895</v>
      </c>
      <c r="V6" s="110"/>
      <c r="W6" s="121">
        <f>+S6-1</f>
        <v>3.1606699988553553</v>
      </c>
      <c r="X6" s="121">
        <f>+T6-1</f>
        <v>1.8486317810849737</v>
      </c>
      <c r="Y6" s="121">
        <f>+U6-1</f>
        <v>3.2844827586206895</v>
      </c>
      <c r="Z6" s="122"/>
      <c r="AA6" s="110">
        <v>538</v>
      </c>
      <c r="AB6" s="123"/>
      <c r="AC6" s="123"/>
      <c r="AD6" s="109"/>
      <c r="AE6" s="110"/>
      <c r="AF6" s="109"/>
      <c r="AG6" s="109"/>
      <c r="AH6" s="110"/>
      <c r="AI6" s="110"/>
      <c r="AJ6" s="110"/>
      <c r="AK6" s="106"/>
      <c r="AL6" s="106"/>
      <c r="AM6" s="106"/>
      <c r="AN6" s="106"/>
      <c r="AO6" s="106"/>
      <c r="AP6" s="106"/>
      <c r="AQ6" s="106"/>
      <c r="AS6" s="202">
        <f>((AH6)*AY6)+(AL6*BA6)+(AM6*AZ6)+AP6+AN6</f>
        <v>0</v>
      </c>
    </row>
    <row r="7" spans="1:45" s="36" customFormat="1" ht="12.75" customHeight="1">
      <c r="A7" s="48" t="s">
        <v>197</v>
      </c>
      <c r="B7" s="44" t="s">
        <v>198</v>
      </c>
      <c r="C7" s="678">
        <f>+D7+E7+F7</f>
        <v>11537</v>
      </c>
      <c r="D7" s="674">
        <v>11093</v>
      </c>
      <c r="E7" s="679">
        <v>128</v>
      </c>
      <c r="F7" s="679">
        <v>316</v>
      </c>
      <c r="G7" s="630">
        <v>94</v>
      </c>
      <c r="H7" s="622">
        <v>5769</v>
      </c>
      <c r="I7" s="622">
        <v>2607</v>
      </c>
      <c r="J7" s="623">
        <v>3680</v>
      </c>
      <c r="K7" s="616">
        <v>4</v>
      </c>
      <c r="L7" s="691">
        <v>3</v>
      </c>
      <c r="M7" s="680">
        <v>10</v>
      </c>
      <c r="N7" s="670">
        <f t="shared" ref="N7:N44" si="2">+G7+H7+I7+K7+L7</f>
        <v>8477</v>
      </c>
      <c r="O7" s="671">
        <f t="shared" ref="O7:O44" si="3">+G7+H7+J7+K7+M7</f>
        <v>9557</v>
      </c>
      <c r="P7" s="672">
        <f t="shared" si="0"/>
        <v>81733.685830160583</v>
      </c>
      <c r="Q7" s="52">
        <f t="shared" si="1"/>
        <v>60639.685830160583</v>
      </c>
      <c r="R7" s="119" t="s">
        <v>379</v>
      </c>
      <c r="S7" s="120">
        <v>4.9650803756167399</v>
      </c>
      <c r="T7" s="120">
        <v>3.5142770352369381</v>
      </c>
      <c r="U7" s="120">
        <v>5.1456310679611654</v>
      </c>
      <c r="V7" s="110"/>
      <c r="W7" s="121">
        <f t="shared" ref="W7:Y75" si="4">+S7-1</f>
        <v>3.9650803756167399</v>
      </c>
      <c r="X7" s="121">
        <f t="shared" si="4"/>
        <v>2.5142770352369381</v>
      </c>
      <c r="Y7" s="121">
        <f t="shared" si="4"/>
        <v>4.1456310679611654</v>
      </c>
      <c r="Z7" s="122"/>
      <c r="AA7" s="110">
        <v>96</v>
      </c>
      <c r="AB7" s="123"/>
      <c r="AC7" s="123"/>
      <c r="AD7" s="110"/>
      <c r="AE7" s="110"/>
      <c r="AF7" s="110"/>
      <c r="AG7" s="110"/>
      <c r="AH7" s="110"/>
      <c r="AI7" s="110"/>
      <c r="AJ7" s="110"/>
      <c r="AK7" s="106"/>
      <c r="AL7" s="106"/>
      <c r="AM7" s="106"/>
      <c r="AN7" s="106"/>
      <c r="AO7" s="106"/>
      <c r="AP7" s="106"/>
      <c r="AQ7" s="106"/>
    </row>
    <row r="8" spans="1:45" s="36" customFormat="1" ht="12.75" customHeight="1">
      <c r="A8" s="48" t="s">
        <v>199</v>
      </c>
      <c r="B8" s="44" t="s">
        <v>200</v>
      </c>
      <c r="C8" s="678">
        <f t="shared" ref="C8:C45" si="5">+D8+E8+F8</f>
        <v>17806</v>
      </c>
      <c r="D8" s="674">
        <v>17038</v>
      </c>
      <c r="E8" s="675">
        <v>527</v>
      </c>
      <c r="F8" s="675">
        <v>241</v>
      </c>
      <c r="G8" s="630">
        <v>167</v>
      </c>
      <c r="H8" s="622">
        <v>12933</v>
      </c>
      <c r="I8" s="622">
        <v>7220</v>
      </c>
      <c r="J8" s="623">
        <v>8375</v>
      </c>
      <c r="K8" s="616">
        <v>1</v>
      </c>
      <c r="L8" s="691">
        <v>0</v>
      </c>
      <c r="M8" s="680">
        <v>0</v>
      </c>
      <c r="N8" s="670">
        <f t="shared" si="2"/>
        <v>20321</v>
      </c>
      <c r="O8" s="671">
        <f t="shared" si="3"/>
        <v>21476</v>
      </c>
      <c r="P8" s="672">
        <f t="shared" si="0"/>
        <v>113326.70839585803</v>
      </c>
      <c r="Q8" s="52">
        <f t="shared" si="1"/>
        <v>74044.708395858033</v>
      </c>
      <c r="R8" s="119" t="s">
        <v>1</v>
      </c>
      <c r="S8" s="120">
        <v>4.2423039690222701</v>
      </c>
      <c r="T8" s="120">
        <v>2.237794533459001</v>
      </c>
      <c r="U8" s="120">
        <v>2.8194444444444446</v>
      </c>
      <c r="V8" s="110"/>
      <c r="W8" s="121">
        <f t="shared" si="4"/>
        <v>3.2423039690222701</v>
      </c>
      <c r="X8" s="121">
        <f t="shared" si="4"/>
        <v>1.237794533459001</v>
      </c>
      <c r="Y8" s="121">
        <f t="shared" si="4"/>
        <v>1.8194444444444446</v>
      </c>
      <c r="Z8" s="122"/>
      <c r="AA8" s="110">
        <v>164</v>
      </c>
      <c r="AB8" s="123"/>
      <c r="AC8" s="123"/>
      <c r="AD8" s="110"/>
      <c r="AE8" s="110"/>
      <c r="AF8" s="110"/>
      <c r="AG8" s="110"/>
      <c r="AH8" s="110"/>
      <c r="AI8" s="110"/>
      <c r="AJ8" s="110"/>
      <c r="AK8" s="106"/>
      <c r="AL8" s="106"/>
      <c r="AM8" s="106"/>
      <c r="AN8" s="106"/>
      <c r="AO8" s="106"/>
      <c r="AP8" s="106"/>
      <c r="AQ8" s="106"/>
    </row>
    <row r="9" spans="1:45" s="36" customFormat="1" ht="12.75" customHeight="1">
      <c r="A9" s="48" t="s">
        <v>201</v>
      </c>
      <c r="B9" s="44" t="s">
        <v>202</v>
      </c>
      <c r="C9" s="678">
        <f t="shared" si="5"/>
        <v>6150</v>
      </c>
      <c r="D9" s="674">
        <v>5751</v>
      </c>
      <c r="E9" s="675">
        <v>65</v>
      </c>
      <c r="F9" s="675">
        <v>334</v>
      </c>
      <c r="G9" s="630">
        <v>55</v>
      </c>
      <c r="H9" s="622">
        <v>3617</v>
      </c>
      <c r="I9" s="622">
        <v>1812</v>
      </c>
      <c r="J9" s="623">
        <v>2669</v>
      </c>
      <c r="K9" s="616">
        <v>0</v>
      </c>
      <c r="L9" s="691">
        <v>0</v>
      </c>
      <c r="M9" s="680">
        <v>0</v>
      </c>
      <c r="N9" s="670">
        <f t="shared" si="2"/>
        <v>5484</v>
      </c>
      <c r="O9" s="671">
        <f t="shared" si="3"/>
        <v>6341</v>
      </c>
      <c r="P9" s="672">
        <f t="shared" si="0"/>
        <v>61708.583015876779</v>
      </c>
      <c r="Q9" s="52">
        <f t="shared" si="1"/>
        <v>49217.583015876779</v>
      </c>
      <c r="R9" s="119" t="s">
        <v>2</v>
      </c>
      <c r="S9" s="120">
        <v>7.1332891246684396</v>
      </c>
      <c r="T9" s="120">
        <v>4.0898268398268396</v>
      </c>
      <c r="U9" s="120">
        <v>6.8536585365853657</v>
      </c>
      <c r="V9" s="110"/>
      <c r="W9" s="121">
        <f t="shared" si="4"/>
        <v>6.1332891246684396</v>
      </c>
      <c r="X9" s="121">
        <f t="shared" si="4"/>
        <v>3.0898268398268396</v>
      </c>
      <c r="Y9" s="121">
        <f t="shared" si="4"/>
        <v>5.8536585365853657</v>
      </c>
      <c r="Z9" s="122"/>
      <c r="AA9" s="110">
        <v>57</v>
      </c>
      <c r="AB9" s="123"/>
      <c r="AC9" s="123"/>
      <c r="AD9" s="110"/>
      <c r="AE9" s="110"/>
      <c r="AF9" s="110"/>
      <c r="AG9" s="110"/>
      <c r="AH9" s="110"/>
      <c r="AI9" s="110"/>
      <c r="AJ9" s="110"/>
      <c r="AK9" s="106"/>
      <c r="AL9" s="106"/>
      <c r="AM9" s="106"/>
      <c r="AN9" s="106"/>
      <c r="AO9" s="106"/>
      <c r="AP9" s="106"/>
      <c r="AQ9" s="106"/>
    </row>
    <row r="10" spans="1:45" s="36" customFormat="1" ht="12.75" customHeight="1">
      <c r="A10" s="48" t="s">
        <v>185</v>
      </c>
      <c r="B10" s="44" t="s">
        <v>186</v>
      </c>
      <c r="C10" s="678">
        <f t="shared" si="5"/>
        <v>8073</v>
      </c>
      <c r="D10" s="674">
        <v>7559</v>
      </c>
      <c r="E10" s="675">
        <v>409</v>
      </c>
      <c r="F10" s="675">
        <v>105</v>
      </c>
      <c r="G10" s="630">
        <v>140</v>
      </c>
      <c r="H10" s="622">
        <v>8298</v>
      </c>
      <c r="I10" s="622">
        <v>4458</v>
      </c>
      <c r="J10" s="623">
        <v>5090</v>
      </c>
      <c r="K10" s="616">
        <v>1</v>
      </c>
      <c r="L10" s="691">
        <v>1</v>
      </c>
      <c r="M10" s="680">
        <v>2</v>
      </c>
      <c r="N10" s="670">
        <f t="shared" si="2"/>
        <v>12898</v>
      </c>
      <c r="O10" s="671">
        <f t="shared" si="3"/>
        <v>13531</v>
      </c>
      <c r="P10" s="672">
        <f t="shared" si="0"/>
        <v>55801.14562550508</v>
      </c>
      <c r="Q10" s="52">
        <f t="shared" si="1"/>
        <v>34197.14562550508</v>
      </c>
      <c r="R10" s="119" t="s">
        <v>3</v>
      </c>
      <c r="S10" s="120">
        <v>3.9268563806136059</v>
      </c>
      <c r="T10" s="120">
        <v>2.245091491919327</v>
      </c>
      <c r="U10" s="120">
        <v>2.6918918918918919</v>
      </c>
      <c r="V10" s="110"/>
      <c r="W10" s="121">
        <f t="shared" si="4"/>
        <v>2.9268563806136059</v>
      </c>
      <c r="X10" s="121">
        <f t="shared" si="4"/>
        <v>1.245091491919327</v>
      </c>
      <c r="Y10" s="121">
        <f t="shared" si="4"/>
        <v>1.6918918918918919</v>
      </c>
      <c r="Z10" s="122"/>
      <c r="AA10" s="110">
        <v>142</v>
      </c>
      <c r="AB10" s="123"/>
      <c r="AC10" s="123"/>
      <c r="AD10" s="110"/>
      <c r="AE10" s="110"/>
      <c r="AF10" s="110"/>
      <c r="AG10" s="110"/>
      <c r="AH10" s="110"/>
      <c r="AI10" s="110"/>
      <c r="AJ10" s="110"/>
      <c r="AK10" s="106"/>
      <c r="AL10" s="106"/>
      <c r="AM10" s="106"/>
      <c r="AN10" s="106"/>
      <c r="AO10" s="106"/>
      <c r="AP10" s="106"/>
      <c r="AQ10" s="106"/>
    </row>
    <row r="11" spans="1:45" s="36" customFormat="1" ht="12.75" customHeight="1">
      <c r="A11" s="48" t="s">
        <v>187</v>
      </c>
      <c r="B11" s="44" t="s">
        <v>188</v>
      </c>
      <c r="C11" s="678">
        <f t="shared" si="5"/>
        <v>138534</v>
      </c>
      <c r="D11" s="674">
        <v>127174</v>
      </c>
      <c r="E11" s="675">
        <v>11060</v>
      </c>
      <c r="F11" s="675">
        <v>300</v>
      </c>
      <c r="G11" s="630">
        <v>874</v>
      </c>
      <c r="H11" s="622">
        <v>82278</v>
      </c>
      <c r="I11" s="622">
        <v>31275</v>
      </c>
      <c r="J11" s="623">
        <v>37343</v>
      </c>
      <c r="K11" s="616">
        <v>5</v>
      </c>
      <c r="L11" s="691">
        <v>8</v>
      </c>
      <c r="M11" s="680">
        <v>23</v>
      </c>
      <c r="N11" s="670">
        <f t="shared" si="2"/>
        <v>114440</v>
      </c>
      <c r="O11" s="671">
        <f t="shared" si="3"/>
        <v>120523</v>
      </c>
      <c r="P11" s="672">
        <f t="shared" si="0"/>
        <v>578844.56494753971</v>
      </c>
      <c r="Q11" s="52">
        <f t="shared" si="1"/>
        <v>319787.56494753971</v>
      </c>
      <c r="R11" s="119" t="s">
        <v>4</v>
      </c>
      <c r="S11" s="120">
        <v>2.8</v>
      </c>
      <c r="T11" s="120">
        <v>1.84388801626167</v>
      </c>
      <c r="U11" s="120">
        <v>2.1360946745562099</v>
      </c>
      <c r="V11" s="110"/>
      <c r="W11" s="121">
        <f t="shared" si="4"/>
        <v>1.7999999999999998</v>
      </c>
      <c r="X11" s="121">
        <f t="shared" si="4"/>
        <v>0.84388801626166998</v>
      </c>
      <c r="Y11" s="121">
        <f t="shared" si="4"/>
        <v>1.1360946745562099</v>
      </c>
      <c r="Z11" s="122"/>
      <c r="AA11" s="110">
        <v>856</v>
      </c>
      <c r="AB11" s="123"/>
      <c r="AC11" s="123"/>
      <c r="AD11" s="110"/>
      <c r="AE11" s="110"/>
      <c r="AF11" s="110"/>
      <c r="AG11" s="110"/>
      <c r="AH11" s="110"/>
      <c r="AI11" s="110"/>
      <c r="AJ11" s="110"/>
      <c r="AK11" s="106"/>
      <c r="AL11" s="106"/>
      <c r="AM11" s="106"/>
      <c r="AN11" s="106"/>
      <c r="AO11" s="106"/>
      <c r="AP11" s="106"/>
      <c r="AQ11" s="106"/>
    </row>
    <row r="12" spans="1:45" s="36" customFormat="1" ht="12.75" customHeight="1">
      <c r="A12" s="48" t="s">
        <v>189</v>
      </c>
      <c r="B12" s="44" t="s">
        <v>190</v>
      </c>
      <c r="C12" s="678">
        <f t="shared" si="5"/>
        <v>92537</v>
      </c>
      <c r="D12" s="674">
        <v>88205</v>
      </c>
      <c r="E12" s="675">
        <v>4095</v>
      </c>
      <c r="F12" s="675">
        <v>237</v>
      </c>
      <c r="G12" s="630">
        <v>506</v>
      </c>
      <c r="H12" s="622">
        <v>42928</v>
      </c>
      <c r="I12" s="622">
        <v>12879</v>
      </c>
      <c r="J12" s="623">
        <v>15729</v>
      </c>
      <c r="K12" s="616">
        <v>6</v>
      </c>
      <c r="L12" s="691">
        <v>4</v>
      </c>
      <c r="M12" s="680">
        <v>11</v>
      </c>
      <c r="N12" s="670">
        <f t="shared" si="2"/>
        <v>56323</v>
      </c>
      <c r="O12" s="671">
        <f t="shared" si="3"/>
        <v>59180</v>
      </c>
      <c r="P12" s="672">
        <f t="shared" si="0"/>
        <v>346769.62446264992</v>
      </c>
      <c r="Q12" s="52">
        <f t="shared" si="1"/>
        <v>195052.62446264992</v>
      </c>
      <c r="R12" s="119" t="s">
        <v>230</v>
      </c>
      <c r="S12" s="120">
        <v>2.5872776074744399</v>
      </c>
      <c r="T12" s="120">
        <v>2.09986346258875</v>
      </c>
      <c r="U12" s="120">
        <v>2.8888888888888902</v>
      </c>
      <c r="V12" s="110"/>
      <c r="W12" s="121">
        <f t="shared" si="4"/>
        <v>1.5872776074744399</v>
      </c>
      <c r="X12" s="121">
        <f t="shared" si="4"/>
        <v>1.09986346258875</v>
      </c>
      <c r="Y12" s="121">
        <f t="shared" si="4"/>
        <v>1.8888888888888902</v>
      </c>
      <c r="Z12" s="122"/>
      <c r="AA12" s="110">
        <v>523</v>
      </c>
      <c r="AB12" s="123"/>
      <c r="AC12" s="123"/>
      <c r="AD12" s="110"/>
      <c r="AE12" s="110"/>
      <c r="AF12" s="110"/>
      <c r="AG12" s="110"/>
      <c r="AH12" s="110"/>
      <c r="AI12" s="110"/>
      <c r="AJ12" s="110"/>
      <c r="AK12" s="106"/>
      <c r="AL12" s="106"/>
      <c r="AM12" s="106"/>
      <c r="AN12" s="106"/>
      <c r="AO12" s="106"/>
      <c r="AP12" s="106"/>
      <c r="AQ12" s="106"/>
    </row>
    <row r="13" spans="1:45" s="36" customFormat="1" ht="12.75" customHeight="1">
      <c r="A13" s="48" t="s">
        <v>643</v>
      </c>
      <c r="B13" s="44" t="s">
        <v>644</v>
      </c>
      <c r="C13" s="678">
        <f t="shared" si="5"/>
        <v>4466</v>
      </c>
      <c r="D13" s="674">
        <v>4289</v>
      </c>
      <c r="E13" s="675">
        <v>112</v>
      </c>
      <c r="F13" s="675">
        <v>65</v>
      </c>
      <c r="G13" s="630">
        <v>41</v>
      </c>
      <c r="H13" s="622">
        <v>3073</v>
      </c>
      <c r="I13" s="622">
        <v>1987</v>
      </c>
      <c r="J13" s="623">
        <v>2358</v>
      </c>
      <c r="K13" s="616">
        <v>0</v>
      </c>
      <c r="L13" s="691">
        <v>2</v>
      </c>
      <c r="M13" s="680">
        <v>7</v>
      </c>
      <c r="N13" s="670">
        <f t="shared" si="2"/>
        <v>5103</v>
      </c>
      <c r="O13" s="671">
        <f t="shared" si="3"/>
        <v>5479</v>
      </c>
      <c r="P13" s="672">
        <f t="shared" si="0"/>
        <v>19355.490371410739</v>
      </c>
      <c r="Q13" s="52">
        <f t="shared" si="1"/>
        <v>9410.4903714107386</v>
      </c>
      <c r="R13" s="119" t="s">
        <v>231</v>
      </c>
      <c r="S13" s="120">
        <v>2.1</v>
      </c>
      <c r="T13" s="120">
        <v>2.4144818976279652</v>
      </c>
      <c r="U13" s="120">
        <v>4.6875</v>
      </c>
      <c r="V13" s="110"/>
      <c r="W13" s="121">
        <f t="shared" si="4"/>
        <v>1.1000000000000001</v>
      </c>
      <c r="X13" s="121">
        <f t="shared" si="4"/>
        <v>1.4144818976279652</v>
      </c>
      <c r="Y13" s="121">
        <f t="shared" si="4"/>
        <v>3.6875</v>
      </c>
      <c r="Z13" s="122"/>
      <c r="AA13" s="110">
        <v>40</v>
      </c>
      <c r="AB13" s="123"/>
      <c r="AC13" s="123"/>
      <c r="AD13" s="110"/>
      <c r="AE13" s="110"/>
      <c r="AF13" s="110"/>
      <c r="AG13" s="110"/>
      <c r="AH13" s="110"/>
      <c r="AI13" s="110"/>
      <c r="AJ13" s="110"/>
      <c r="AK13" s="106"/>
      <c r="AL13" s="106"/>
      <c r="AM13" s="106"/>
      <c r="AN13" s="106"/>
      <c r="AO13" s="106"/>
      <c r="AP13" s="106"/>
      <c r="AQ13" s="106"/>
    </row>
    <row r="14" spans="1:45" s="36" customFormat="1" ht="12.75" customHeight="1">
      <c r="A14" s="48" t="s">
        <v>645</v>
      </c>
      <c r="B14" s="44" t="s">
        <v>476</v>
      </c>
      <c r="C14" s="678">
        <f t="shared" si="5"/>
        <v>36377</v>
      </c>
      <c r="D14" s="674">
        <v>35220</v>
      </c>
      <c r="E14" s="675">
        <v>980</v>
      </c>
      <c r="F14" s="675">
        <v>177</v>
      </c>
      <c r="G14" s="630">
        <v>304</v>
      </c>
      <c r="H14" s="622">
        <v>23882</v>
      </c>
      <c r="I14" s="622">
        <v>12086</v>
      </c>
      <c r="J14" s="623">
        <v>13969</v>
      </c>
      <c r="K14" s="616">
        <v>0</v>
      </c>
      <c r="L14" s="691">
        <v>4</v>
      </c>
      <c r="M14" s="680">
        <v>13</v>
      </c>
      <c r="N14" s="670">
        <f t="shared" si="2"/>
        <v>36276</v>
      </c>
      <c r="O14" s="671">
        <f t="shared" si="3"/>
        <v>38168</v>
      </c>
      <c r="P14" s="672">
        <f t="shared" si="0"/>
        <v>193698.01820071606</v>
      </c>
      <c r="Q14" s="52">
        <f t="shared" si="1"/>
        <v>119153.01820071606</v>
      </c>
      <c r="R14" s="119" t="s">
        <v>232</v>
      </c>
      <c r="S14" s="120">
        <v>3.4848336594911937</v>
      </c>
      <c r="T14" s="120">
        <v>2.1834350388567256</v>
      </c>
      <c r="U14" s="120">
        <v>2.6428571428571428</v>
      </c>
      <c r="V14" s="110"/>
      <c r="W14" s="121">
        <f t="shared" si="4"/>
        <v>2.4848336594911937</v>
      </c>
      <c r="X14" s="121">
        <f t="shared" si="4"/>
        <v>1.1834350388567256</v>
      </c>
      <c r="Y14" s="121">
        <f t="shared" si="4"/>
        <v>1.6428571428571428</v>
      </c>
      <c r="Z14" s="122"/>
      <c r="AA14" s="110">
        <v>316</v>
      </c>
      <c r="AB14" s="123"/>
      <c r="AC14" s="123"/>
      <c r="AD14" s="110"/>
      <c r="AE14" s="110"/>
      <c r="AF14" s="110"/>
      <c r="AG14" s="110"/>
      <c r="AH14" s="110"/>
      <c r="AI14" s="110"/>
      <c r="AJ14" s="110"/>
      <c r="AK14" s="106"/>
      <c r="AL14" s="106"/>
      <c r="AM14" s="106"/>
      <c r="AN14" s="106"/>
      <c r="AO14" s="106"/>
      <c r="AP14" s="106"/>
      <c r="AQ14" s="106"/>
    </row>
    <row r="15" spans="1:45" s="36" customFormat="1" ht="12.75" customHeight="1">
      <c r="A15" s="48">
        <f t="shared" ref="A15:A67" si="6">+A14+1</f>
        <v>10</v>
      </c>
      <c r="B15" s="44" t="s">
        <v>405</v>
      </c>
      <c r="C15" s="678">
        <f t="shared" si="5"/>
        <v>36415</v>
      </c>
      <c r="D15" s="674">
        <v>34588</v>
      </c>
      <c r="E15" s="675">
        <v>1523</v>
      </c>
      <c r="F15" s="675">
        <v>304</v>
      </c>
      <c r="G15" s="630">
        <v>329</v>
      </c>
      <c r="H15" s="622">
        <v>26809</v>
      </c>
      <c r="I15" s="622">
        <v>14552</v>
      </c>
      <c r="J15" s="623">
        <v>16479</v>
      </c>
      <c r="K15" s="616">
        <v>2</v>
      </c>
      <c r="L15" s="691">
        <v>3</v>
      </c>
      <c r="M15" s="680">
        <v>9</v>
      </c>
      <c r="N15" s="670">
        <f t="shared" si="2"/>
        <v>41695</v>
      </c>
      <c r="O15" s="671">
        <f t="shared" si="3"/>
        <v>43628</v>
      </c>
      <c r="P15" s="672">
        <f t="shared" si="0"/>
        <v>196206.93771694892</v>
      </c>
      <c r="Q15" s="52">
        <f t="shared" si="1"/>
        <v>116163.93771694892</v>
      </c>
      <c r="R15" s="119" t="s">
        <v>233</v>
      </c>
      <c r="S15" s="120">
        <v>3.37</v>
      </c>
      <c r="T15" s="120">
        <v>2.0964735615843306</v>
      </c>
      <c r="U15" s="120">
        <v>2.41345898004435</v>
      </c>
      <c r="V15" s="110"/>
      <c r="W15" s="121">
        <f t="shared" si="4"/>
        <v>2.37</v>
      </c>
      <c r="X15" s="121">
        <f t="shared" si="4"/>
        <v>1.0964735615843306</v>
      </c>
      <c r="Y15" s="121">
        <f t="shared" si="4"/>
        <v>1.41345898004435</v>
      </c>
      <c r="Z15" s="122"/>
      <c r="AA15" s="110">
        <v>331</v>
      </c>
      <c r="AB15" s="123"/>
      <c r="AC15" s="123"/>
      <c r="AD15" s="110"/>
      <c r="AE15" s="110"/>
      <c r="AF15" s="110"/>
      <c r="AG15" s="110"/>
      <c r="AH15" s="110"/>
      <c r="AI15" s="110"/>
      <c r="AJ15" s="110"/>
      <c r="AK15" s="106"/>
      <c r="AL15" s="106"/>
      <c r="AM15" s="106"/>
      <c r="AN15" s="106"/>
      <c r="AO15" s="106"/>
      <c r="AP15" s="106"/>
      <c r="AQ15" s="106"/>
    </row>
    <row r="16" spans="1:45" s="36" customFormat="1" ht="12.75" customHeight="1">
      <c r="A16" s="49">
        <f t="shared" si="6"/>
        <v>11</v>
      </c>
      <c r="B16" s="44" t="s">
        <v>406</v>
      </c>
      <c r="C16" s="678">
        <f t="shared" si="5"/>
        <v>4205</v>
      </c>
      <c r="D16" s="674">
        <v>4039</v>
      </c>
      <c r="E16" s="675">
        <v>102</v>
      </c>
      <c r="F16" s="675">
        <v>64</v>
      </c>
      <c r="G16" s="630">
        <v>32</v>
      </c>
      <c r="H16" s="622">
        <v>3344</v>
      </c>
      <c r="I16" s="622">
        <v>2312</v>
      </c>
      <c r="J16" s="623">
        <v>2585</v>
      </c>
      <c r="K16" s="616">
        <v>0</v>
      </c>
      <c r="L16" s="691">
        <v>1</v>
      </c>
      <c r="M16" s="680">
        <v>2</v>
      </c>
      <c r="N16" s="670">
        <f t="shared" si="2"/>
        <v>5689</v>
      </c>
      <c r="O16" s="671">
        <f t="shared" si="3"/>
        <v>5963</v>
      </c>
      <c r="P16" s="672">
        <f t="shared" si="0"/>
        <v>22220.177039130191</v>
      </c>
      <c r="Q16" s="52">
        <f t="shared" si="1"/>
        <v>12052.177039130191</v>
      </c>
      <c r="R16" s="119" t="s">
        <v>234</v>
      </c>
      <c r="S16" s="120">
        <v>3.0193138500635301</v>
      </c>
      <c r="T16" s="120">
        <v>2.0519624101713654</v>
      </c>
      <c r="U16" s="120">
        <v>2.35</v>
      </c>
      <c r="V16" s="110"/>
      <c r="W16" s="121">
        <f t="shared" si="4"/>
        <v>2.0193138500635301</v>
      </c>
      <c r="X16" s="121">
        <f t="shared" si="4"/>
        <v>1.0519624101713654</v>
      </c>
      <c r="Y16" s="121">
        <f t="shared" si="4"/>
        <v>1.35</v>
      </c>
      <c r="Z16" s="122"/>
      <c r="AA16" s="110">
        <v>32</v>
      </c>
      <c r="AB16" s="123"/>
      <c r="AC16" s="123"/>
      <c r="AD16" s="110"/>
      <c r="AE16" s="110"/>
      <c r="AF16" s="110"/>
      <c r="AG16" s="110"/>
      <c r="AH16" s="110"/>
      <c r="AI16" s="110"/>
      <c r="AJ16" s="110"/>
      <c r="AK16" s="106"/>
      <c r="AL16" s="106"/>
      <c r="AM16" s="106"/>
      <c r="AN16" s="106"/>
      <c r="AO16" s="106"/>
      <c r="AP16" s="106"/>
      <c r="AQ16" s="106"/>
    </row>
    <row r="17" spans="1:43" s="36" customFormat="1" ht="12.75" customHeight="1">
      <c r="A17" s="49">
        <f t="shared" si="6"/>
        <v>12</v>
      </c>
      <c r="B17" s="44" t="s">
        <v>407</v>
      </c>
      <c r="C17" s="678">
        <f t="shared" si="5"/>
        <v>3432</v>
      </c>
      <c r="D17" s="674">
        <v>3180</v>
      </c>
      <c r="E17" s="675">
        <v>47</v>
      </c>
      <c r="F17" s="675">
        <v>205</v>
      </c>
      <c r="G17" s="630">
        <v>43</v>
      </c>
      <c r="H17" s="622">
        <v>2467</v>
      </c>
      <c r="I17" s="622">
        <v>1442</v>
      </c>
      <c r="J17" s="623">
        <v>2259</v>
      </c>
      <c r="K17" s="616">
        <v>0</v>
      </c>
      <c r="L17" s="691">
        <v>0</v>
      </c>
      <c r="M17" s="680">
        <v>0</v>
      </c>
      <c r="N17" s="670">
        <f t="shared" si="2"/>
        <v>3952</v>
      </c>
      <c r="O17" s="671">
        <f t="shared" si="3"/>
        <v>4769</v>
      </c>
      <c r="P17" s="672">
        <f t="shared" si="0"/>
        <v>33054.287295965441</v>
      </c>
      <c r="Q17" s="52">
        <f t="shared" si="1"/>
        <v>24853.287295965441</v>
      </c>
      <c r="R17" s="119" t="s">
        <v>235</v>
      </c>
      <c r="S17" s="120">
        <v>5.8577849117174958</v>
      </c>
      <c r="T17" s="120">
        <v>4.245772946859903</v>
      </c>
      <c r="U17" s="120">
        <v>5.0476190476190474</v>
      </c>
      <c r="V17" s="110"/>
      <c r="W17" s="121">
        <f t="shared" si="4"/>
        <v>4.8577849117174958</v>
      </c>
      <c r="X17" s="121">
        <f t="shared" si="4"/>
        <v>3.245772946859903</v>
      </c>
      <c r="Y17" s="121">
        <f t="shared" si="4"/>
        <v>4.0476190476190474</v>
      </c>
      <c r="Z17" s="122"/>
      <c r="AA17" s="110">
        <v>39</v>
      </c>
      <c r="AB17" s="123"/>
      <c r="AC17" s="123"/>
      <c r="AD17" s="110"/>
      <c r="AE17" s="110"/>
      <c r="AF17" s="110"/>
      <c r="AG17" s="110"/>
      <c r="AH17" s="110"/>
      <c r="AI17" s="110"/>
      <c r="AJ17" s="110"/>
      <c r="AK17" s="106"/>
      <c r="AL17" s="106"/>
      <c r="AM17" s="106"/>
      <c r="AN17" s="106"/>
      <c r="AO17" s="106"/>
      <c r="AP17" s="106"/>
      <c r="AQ17" s="106"/>
    </row>
    <row r="18" spans="1:43" s="36" customFormat="1" ht="12.75" customHeight="1">
      <c r="A18" s="49">
        <f t="shared" si="6"/>
        <v>13</v>
      </c>
      <c r="B18" s="44" t="s">
        <v>408</v>
      </c>
      <c r="C18" s="678">
        <f t="shared" si="5"/>
        <v>5092</v>
      </c>
      <c r="D18" s="674">
        <v>4759</v>
      </c>
      <c r="E18" s="675">
        <v>89</v>
      </c>
      <c r="F18" s="675">
        <v>244</v>
      </c>
      <c r="G18" s="630">
        <v>52</v>
      </c>
      <c r="H18" s="622">
        <v>3038</v>
      </c>
      <c r="I18" s="622">
        <v>1642</v>
      </c>
      <c r="J18" s="623">
        <v>2471</v>
      </c>
      <c r="K18" s="616">
        <v>1</v>
      </c>
      <c r="L18" s="691">
        <v>2</v>
      </c>
      <c r="M18" s="680">
        <v>8</v>
      </c>
      <c r="N18" s="670">
        <f t="shared" si="2"/>
        <v>4735</v>
      </c>
      <c r="O18" s="671">
        <f t="shared" si="3"/>
        <v>5570</v>
      </c>
      <c r="P18" s="672">
        <f t="shared" si="0"/>
        <v>43179.577284315819</v>
      </c>
      <c r="Q18" s="52">
        <f t="shared" si="1"/>
        <v>32517.577284315819</v>
      </c>
      <c r="R18" s="119" t="s">
        <v>236</v>
      </c>
      <c r="S18" s="120">
        <v>5.7135306553911205</v>
      </c>
      <c r="T18" s="120">
        <v>3.7383177570093458</v>
      </c>
      <c r="U18" s="120">
        <v>4.7936507936507935</v>
      </c>
      <c r="V18" s="110"/>
      <c r="W18" s="121">
        <f t="shared" si="4"/>
        <v>4.7135306553911205</v>
      </c>
      <c r="X18" s="121">
        <f t="shared" si="4"/>
        <v>2.7383177570093458</v>
      </c>
      <c r="Y18" s="121">
        <f t="shared" si="4"/>
        <v>3.7936507936507935</v>
      </c>
      <c r="Z18" s="122"/>
      <c r="AA18" s="110">
        <v>52</v>
      </c>
      <c r="AB18" s="123"/>
      <c r="AC18" s="123"/>
      <c r="AD18" s="110"/>
      <c r="AE18" s="110"/>
      <c r="AF18" s="110"/>
      <c r="AG18" s="110"/>
      <c r="AH18" s="110"/>
      <c r="AI18" s="110"/>
      <c r="AJ18" s="110"/>
      <c r="AK18" s="106"/>
      <c r="AL18" s="106"/>
      <c r="AM18" s="106"/>
      <c r="AN18" s="106"/>
      <c r="AO18" s="106"/>
      <c r="AP18" s="106"/>
      <c r="AQ18" s="106"/>
    </row>
    <row r="19" spans="1:43" s="36" customFormat="1" ht="12.75" customHeight="1">
      <c r="A19" s="49">
        <f t="shared" si="6"/>
        <v>14</v>
      </c>
      <c r="B19" s="44" t="s">
        <v>409</v>
      </c>
      <c r="C19" s="678">
        <f t="shared" si="5"/>
        <v>7199</v>
      </c>
      <c r="D19" s="674">
        <v>6589</v>
      </c>
      <c r="E19" s="675">
        <v>519</v>
      </c>
      <c r="F19" s="675">
        <v>91</v>
      </c>
      <c r="G19" s="630">
        <v>100</v>
      </c>
      <c r="H19" s="622">
        <v>6633</v>
      </c>
      <c r="I19" s="622">
        <v>3515</v>
      </c>
      <c r="J19" s="623">
        <v>3904</v>
      </c>
      <c r="K19" s="616">
        <v>1</v>
      </c>
      <c r="L19" s="691">
        <v>2</v>
      </c>
      <c r="M19" s="680">
        <v>4</v>
      </c>
      <c r="N19" s="670">
        <f t="shared" si="2"/>
        <v>10251</v>
      </c>
      <c r="O19" s="671">
        <f t="shared" si="3"/>
        <v>10642</v>
      </c>
      <c r="P19" s="672">
        <f t="shared" si="0"/>
        <v>40895.274962876138</v>
      </c>
      <c r="Q19" s="52">
        <f t="shared" si="1"/>
        <v>23054.274962876138</v>
      </c>
      <c r="R19" s="119" t="s">
        <v>237</v>
      </c>
      <c r="S19" s="120">
        <v>3.0567455970337898</v>
      </c>
      <c r="T19" s="120">
        <v>2.2221241170534811</v>
      </c>
      <c r="U19" s="120">
        <v>2.4141414141414139</v>
      </c>
      <c r="V19" s="110"/>
      <c r="W19" s="121">
        <f t="shared" si="4"/>
        <v>2.0567455970337898</v>
      </c>
      <c r="X19" s="121">
        <f t="shared" si="4"/>
        <v>1.2221241170534811</v>
      </c>
      <c r="Y19" s="121">
        <f t="shared" si="4"/>
        <v>1.4141414141414139</v>
      </c>
      <c r="Z19" s="122"/>
      <c r="AA19" s="110">
        <v>103</v>
      </c>
      <c r="AB19" s="123"/>
      <c r="AC19" s="123"/>
      <c r="AD19" s="110"/>
      <c r="AE19" s="110"/>
      <c r="AF19" s="110"/>
      <c r="AG19" s="110"/>
      <c r="AH19" s="110"/>
      <c r="AI19" s="110"/>
      <c r="AJ19" s="110"/>
      <c r="AK19" s="106"/>
      <c r="AL19" s="106"/>
      <c r="AM19" s="106"/>
      <c r="AN19" s="106"/>
      <c r="AO19" s="106"/>
      <c r="AP19" s="106"/>
      <c r="AQ19" s="106"/>
    </row>
    <row r="20" spans="1:43" s="36" customFormat="1" ht="12.75" customHeight="1">
      <c r="A20" s="49">
        <f t="shared" si="6"/>
        <v>15</v>
      </c>
      <c r="B20" s="44" t="s">
        <v>410</v>
      </c>
      <c r="C20" s="678">
        <f t="shared" si="5"/>
        <v>8898</v>
      </c>
      <c r="D20" s="674">
        <v>8288</v>
      </c>
      <c r="E20" s="675">
        <v>542</v>
      </c>
      <c r="F20" s="675">
        <v>68</v>
      </c>
      <c r="G20" s="630">
        <v>149</v>
      </c>
      <c r="H20" s="622">
        <v>9916</v>
      </c>
      <c r="I20" s="622">
        <v>4887</v>
      </c>
      <c r="J20" s="623">
        <v>5504</v>
      </c>
      <c r="K20" s="616">
        <v>1</v>
      </c>
      <c r="L20" s="691">
        <v>1</v>
      </c>
      <c r="M20" s="680">
        <v>1</v>
      </c>
      <c r="N20" s="670">
        <f t="shared" si="2"/>
        <v>14954</v>
      </c>
      <c r="O20" s="671">
        <f t="shared" si="3"/>
        <v>15571</v>
      </c>
      <c r="P20" s="672">
        <f t="shared" si="0"/>
        <v>48072.56709546483</v>
      </c>
      <c r="Q20" s="52">
        <f t="shared" si="1"/>
        <v>23603.56709546483</v>
      </c>
      <c r="R20" s="119" t="s">
        <v>238</v>
      </c>
      <c r="S20" s="120">
        <v>2.2894638403990002</v>
      </c>
      <c r="T20" s="120">
        <v>2.1795838602138198</v>
      </c>
      <c r="U20" s="120">
        <v>3.907142857142857</v>
      </c>
      <c r="V20" s="110"/>
      <c r="W20" s="121">
        <f t="shared" si="4"/>
        <v>1.2894638403990002</v>
      </c>
      <c r="X20" s="121">
        <f t="shared" si="4"/>
        <v>1.1795838602138198</v>
      </c>
      <c r="Y20" s="121">
        <f t="shared" si="4"/>
        <v>2.907142857142857</v>
      </c>
      <c r="Z20" s="122"/>
      <c r="AA20" s="110">
        <v>150</v>
      </c>
      <c r="AB20" s="123"/>
      <c r="AC20" s="123"/>
      <c r="AD20" s="110"/>
      <c r="AE20" s="110"/>
      <c r="AF20" s="110"/>
      <c r="AG20" s="110"/>
      <c r="AH20" s="110"/>
      <c r="AI20" s="110"/>
      <c r="AJ20" s="110"/>
      <c r="AK20" s="106"/>
      <c r="AL20" s="106"/>
      <c r="AM20" s="106"/>
      <c r="AN20" s="106"/>
      <c r="AO20" s="106"/>
      <c r="AP20" s="106"/>
      <c r="AQ20" s="106"/>
    </row>
    <row r="21" spans="1:43" s="36" customFormat="1" ht="12.75" customHeight="1">
      <c r="A21" s="49">
        <f t="shared" si="6"/>
        <v>16</v>
      </c>
      <c r="B21" s="44" t="s">
        <v>411</v>
      </c>
      <c r="C21" s="678">
        <f t="shared" si="5"/>
        <v>86031</v>
      </c>
      <c r="D21" s="674">
        <v>79840</v>
      </c>
      <c r="E21" s="675">
        <v>5956</v>
      </c>
      <c r="F21" s="675">
        <v>235</v>
      </c>
      <c r="G21" s="630">
        <v>584</v>
      </c>
      <c r="H21" s="622">
        <v>42887</v>
      </c>
      <c r="I21" s="622">
        <v>21631</v>
      </c>
      <c r="J21" s="623">
        <v>25278</v>
      </c>
      <c r="K21" s="616">
        <v>9</v>
      </c>
      <c r="L21" s="691">
        <v>2</v>
      </c>
      <c r="M21" s="680">
        <v>8</v>
      </c>
      <c r="N21" s="670">
        <f t="shared" si="2"/>
        <v>65113</v>
      </c>
      <c r="O21" s="671">
        <f t="shared" si="3"/>
        <v>68766</v>
      </c>
      <c r="P21" s="672">
        <f t="shared" si="0"/>
        <v>402227.10740108707</v>
      </c>
      <c r="Q21" s="52">
        <f t="shared" si="1"/>
        <v>247430.10740108707</v>
      </c>
      <c r="R21" s="119" t="s">
        <v>834</v>
      </c>
      <c r="S21" s="120">
        <v>3.2731077214434201</v>
      </c>
      <c r="T21" s="120">
        <v>2.1910403791347788</v>
      </c>
      <c r="U21" s="120">
        <v>2.3565552699228798</v>
      </c>
      <c r="V21" s="110"/>
      <c r="W21" s="121">
        <f t="shared" si="4"/>
        <v>2.2731077214434201</v>
      </c>
      <c r="X21" s="121">
        <f t="shared" si="4"/>
        <v>1.1910403791347788</v>
      </c>
      <c r="Y21" s="121">
        <f t="shared" si="4"/>
        <v>1.3565552699228798</v>
      </c>
      <c r="Z21" s="122"/>
      <c r="AA21" s="110">
        <v>586</v>
      </c>
      <c r="AB21" s="123"/>
      <c r="AC21" s="123"/>
      <c r="AD21" s="110"/>
      <c r="AE21" s="110"/>
      <c r="AF21" s="110"/>
      <c r="AG21" s="110"/>
      <c r="AH21" s="110"/>
      <c r="AI21" s="110"/>
      <c r="AJ21" s="110"/>
      <c r="AK21" s="106"/>
      <c r="AL21" s="106"/>
      <c r="AM21" s="106"/>
      <c r="AN21" s="106"/>
      <c r="AO21" s="106"/>
      <c r="AP21" s="106"/>
      <c r="AQ21" s="106"/>
    </row>
    <row r="22" spans="1:43" s="36" customFormat="1" ht="12.75" customHeight="1">
      <c r="A22" s="49">
        <f t="shared" si="6"/>
        <v>17</v>
      </c>
      <c r="B22" s="44" t="s">
        <v>412</v>
      </c>
      <c r="C22" s="678">
        <f t="shared" si="5"/>
        <v>16688</v>
      </c>
      <c r="D22" s="674">
        <v>15544</v>
      </c>
      <c r="E22" s="675">
        <v>1040</v>
      </c>
      <c r="F22" s="675">
        <v>104</v>
      </c>
      <c r="G22" s="630">
        <v>176</v>
      </c>
      <c r="H22" s="622">
        <v>12718</v>
      </c>
      <c r="I22" s="622">
        <v>6230</v>
      </c>
      <c r="J22" s="623">
        <v>6967</v>
      </c>
      <c r="K22" s="616">
        <v>0</v>
      </c>
      <c r="L22" s="691">
        <v>2</v>
      </c>
      <c r="M22" s="680">
        <v>5</v>
      </c>
      <c r="N22" s="670">
        <f t="shared" si="2"/>
        <v>19126</v>
      </c>
      <c r="O22" s="671">
        <f t="shared" si="3"/>
        <v>19866</v>
      </c>
      <c r="P22" s="672">
        <f t="shared" si="0"/>
        <v>66095.348369275118</v>
      </c>
      <c r="Q22" s="52">
        <f t="shared" si="1"/>
        <v>29541.348369275118</v>
      </c>
      <c r="R22" s="119" t="s">
        <v>835</v>
      </c>
      <c r="S22" s="120">
        <v>2.1464649472869102</v>
      </c>
      <c r="T22" s="120">
        <v>1.80099434587639</v>
      </c>
      <c r="U22" s="120">
        <v>2.2619047619047601</v>
      </c>
      <c r="V22" s="110"/>
      <c r="W22" s="121">
        <f t="shared" si="4"/>
        <v>1.1464649472869102</v>
      </c>
      <c r="X22" s="121">
        <f t="shared" si="4"/>
        <v>0.80099434587638996</v>
      </c>
      <c r="Y22" s="121">
        <f t="shared" si="4"/>
        <v>1.2619047619047601</v>
      </c>
      <c r="Z22" s="122"/>
      <c r="AA22" s="110">
        <v>175</v>
      </c>
      <c r="AB22" s="123"/>
      <c r="AC22" s="123"/>
      <c r="AD22" s="110"/>
      <c r="AE22" s="110"/>
      <c r="AF22" s="110"/>
      <c r="AG22" s="110"/>
      <c r="AH22" s="110"/>
      <c r="AI22" s="110"/>
      <c r="AJ22" s="110"/>
      <c r="AK22" s="106"/>
      <c r="AL22" s="106"/>
      <c r="AM22" s="106"/>
      <c r="AN22" s="106"/>
      <c r="AO22" s="106"/>
      <c r="AP22" s="106"/>
      <c r="AQ22" s="106"/>
    </row>
    <row r="23" spans="1:43" s="36" customFormat="1" ht="12.75" customHeight="1">
      <c r="A23" s="49">
        <f t="shared" si="6"/>
        <v>18</v>
      </c>
      <c r="B23" s="44" t="s">
        <v>413</v>
      </c>
      <c r="C23" s="678">
        <f t="shared" si="5"/>
        <v>3125</v>
      </c>
      <c r="D23" s="674">
        <v>2828</v>
      </c>
      <c r="E23" s="675">
        <v>187</v>
      </c>
      <c r="F23" s="675">
        <v>110</v>
      </c>
      <c r="G23" s="630">
        <v>51</v>
      </c>
      <c r="H23" s="622">
        <v>3381</v>
      </c>
      <c r="I23" s="622">
        <v>2091</v>
      </c>
      <c r="J23" s="623">
        <v>2361</v>
      </c>
      <c r="K23" s="616">
        <v>0</v>
      </c>
      <c r="L23" s="691">
        <v>0</v>
      </c>
      <c r="M23" s="680">
        <v>0</v>
      </c>
      <c r="N23" s="670">
        <f t="shared" si="2"/>
        <v>5523</v>
      </c>
      <c r="O23" s="671">
        <f t="shared" si="3"/>
        <v>5793</v>
      </c>
      <c r="P23" s="672">
        <f t="shared" si="0"/>
        <v>19664.973278974623</v>
      </c>
      <c r="Q23" s="52">
        <f t="shared" si="1"/>
        <v>10746.973278974623</v>
      </c>
      <c r="R23" s="119" t="s">
        <v>633</v>
      </c>
      <c r="S23" s="120">
        <v>3.0763462849352399</v>
      </c>
      <c r="T23" s="120">
        <v>2.2325265161816699</v>
      </c>
      <c r="U23" s="120">
        <v>2.78860759493671</v>
      </c>
      <c r="V23" s="110"/>
      <c r="W23" s="121">
        <f t="shared" si="4"/>
        <v>2.0763462849352399</v>
      </c>
      <c r="X23" s="121">
        <f t="shared" si="4"/>
        <v>1.2325265161816699</v>
      </c>
      <c r="Y23" s="121">
        <f t="shared" si="4"/>
        <v>1.78860759493671</v>
      </c>
      <c r="Z23" s="122"/>
      <c r="AA23" s="110">
        <v>50</v>
      </c>
      <c r="AB23" s="123"/>
      <c r="AC23" s="123"/>
      <c r="AD23" s="110"/>
      <c r="AE23" s="110"/>
      <c r="AF23" s="110"/>
      <c r="AG23" s="110"/>
      <c r="AH23" s="110"/>
      <c r="AI23" s="110"/>
      <c r="AJ23" s="110"/>
      <c r="AK23" s="106"/>
      <c r="AL23" s="106"/>
      <c r="AM23" s="106"/>
      <c r="AN23" s="106"/>
      <c r="AO23" s="106"/>
      <c r="AP23" s="106"/>
      <c r="AQ23" s="106"/>
    </row>
    <row r="24" spans="1:43" s="36" customFormat="1" ht="12.75" customHeight="1">
      <c r="A24" s="49">
        <f t="shared" si="6"/>
        <v>19</v>
      </c>
      <c r="B24" s="45" t="s">
        <v>414</v>
      </c>
      <c r="C24" s="678">
        <f t="shared" si="5"/>
        <v>12642</v>
      </c>
      <c r="D24" s="674">
        <v>11494</v>
      </c>
      <c r="E24" s="675">
        <v>851</v>
      </c>
      <c r="F24" s="675">
        <v>297</v>
      </c>
      <c r="G24" s="630">
        <v>169</v>
      </c>
      <c r="H24" s="622">
        <v>10020</v>
      </c>
      <c r="I24" s="622">
        <v>6217</v>
      </c>
      <c r="J24" s="623">
        <v>7175</v>
      </c>
      <c r="K24" s="616">
        <v>3</v>
      </c>
      <c r="L24" s="691">
        <v>2</v>
      </c>
      <c r="M24" s="680">
        <v>3</v>
      </c>
      <c r="N24" s="670">
        <f t="shared" si="2"/>
        <v>16411</v>
      </c>
      <c r="O24" s="671">
        <f t="shared" si="3"/>
        <v>17370</v>
      </c>
      <c r="P24" s="672">
        <f t="shared" si="0"/>
        <v>66517.455794002046</v>
      </c>
      <c r="Q24" s="52">
        <f t="shared" si="1"/>
        <v>36505.455794002046</v>
      </c>
      <c r="R24" s="119" t="s">
        <v>169</v>
      </c>
      <c r="S24" s="120">
        <v>2.9202840785564201</v>
      </c>
      <c r="T24" s="120">
        <v>2.1836071936861199</v>
      </c>
      <c r="U24" s="120">
        <v>3.18627450980392</v>
      </c>
      <c r="V24" s="110"/>
      <c r="W24" s="121">
        <f t="shared" si="4"/>
        <v>1.9202840785564201</v>
      </c>
      <c r="X24" s="121">
        <f t="shared" si="4"/>
        <v>1.1836071936861199</v>
      </c>
      <c r="Y24" s="121">
        <f t="shared" si="4"/>
        <v>2.18627450980392</v>
      </c>
      <c r="Z24" s="122"/>
      <c r="AA24" s="110">
        <v>175</v>
      </c>
      <c r="AB24" s="123"/>
      <c r="AC24" s="123"/>
      <c r="AD24" s="110"/>
      <c r="AE24" s="110"/>
      <c r="AF24" s="110"/>
      <c r="AG24" s="110"/>
      <c r="AH24" s="110"/>
      <c r="AI24" s="110"/>
      <c r="AJ24" s="110"/>
      <c r="AK24" s="106"/>
      <c r="AL24" s="106"/>
      <c r="AM24" s="106"/>
      <c r="AN24" s="106"/>
      <c r="AO24" s="106"/>
      <c r="AP24" s="106"/>
      <c r="AQ24" s="106"/>
    </row>
    <row r="25" spans="1:43" s="36" customFormat="1" ht="12.75" customHeight="1">
      <c r="A25" s="49">
        <f t="shared" si="6"/>
        <v>20</v>
      </c>
      <c r="B25" s="45" t="s">
        <v>415</v>
      </c>
      <c r="C25" s="678">
        <f t="shared" si="5"/>
        <v>34176</v>
      </c>
      <c r="D25" s="674">
        <v>32171</v>
      </c>
      <c r="E25" s="675">
        <v>1863</v>
      </c>
      <c r="F25" s="675">
        <v>142</v>
      </c>
      <c r="G25" s="630">
        <v>396</v>
      </c>
      <c r="H25" s="622">
        <v>26571</v>
      </c>
      <c r="I25" s="622">
        <v>12057</v>
      </c>
      <c r="J25" s="623">
        <v>13789</v>
      </c>
      <c r="K25" s="616">
        <v>5</v>
      </c>
      <c r="L25" s="691">
        <v>2</v>
      </c>
      <c r="M25" s="680">
        <v>6</v>
      </c>
      <c r="N25" s="670">
        <f t="shared" si="2"/>
        <v>39031</v>
      </c>
      <c r="O25" s="671">
        <f t="shared" si="3"/>
        <v>40767</v>
      </c>
      <c r="P25" s="672">
        <f t="shared" si="0"/>
        <v>180110.0487297404</v>
      </c>
      <c r="Q25" s="52">
        <f t="shared" si="1"/>
        <v>105167.0487297404</v>
      </c>
      <c r="R25" s="119" t="s">
        <v>170</v>
      </c>
      <c r="S25" s="120">
        <v>3.1163502109704599</v>
      </c>
      <c r="T25" s="120">
        <v>2.2059759980406564</v>
      </c>
      <c r="U25" s="120">
        <v>3.0067567567567566</v>
      </c>
      <c r="V25" s="110"/>
      <c r="W25" s="121">
        <f t="shared" si="4"/>
        <v>2.1163502109704599</v>
      </c>
      <c r="X25" s="121">
        <f t="shared" si="4"/>
        <v>1.2059759980406564</v>
      </c>
      <c r="Y25" s="121">
        <f t="shared" si="4"/>
        <v>2.0067567567567566</v>
      </c>
      <c r="Z25" s="122"/>
      <c r="AA25" s="110">
        <v>384</v>
      </c>
      <c r="AB25" s="123"/>
      <c r="AC25" s="123"/>
      <c r="AD25" s="110"/>
      <c r="AE25" s="110"/>
      <c r="AF25" s="110"/>
      <c r="AG25" s="110"/>
      <c r="AH25" s="110"/>
      <c r="AI25" s="110"/>
      <c r="AJ25" s="110"/>
      <c r="AK25" s="106"/>
      <c r="AL25" s="106"/>
      <c r="AM25" s="106"/>
      <c r="AN25" s="106"/>
      <c r="AO25" s="106"/>
      <c r="AP25" s="106"/>
      <c r="AQ25" s="106"/>
    </row>
    <row r="26" spans="1:43" s="36" customFormat="1" ht="12.75" customHeight="1">
      <c r="A26" s="49">
        <f t="shared" si="6"/>
        <v>21</v>
      </c>
      <c r="B26" s="45" t="s">
        <v>502</v>
      </c>
      <c r="C26" s="678">
        <f t="shared" si="5"/>
        <v>20766</v>
      </c>
      <c r="D26" s="674">
        <v>19789</v>
      </c>
      <c r="E26" s="675">
        <v>441</v>
      </c>
      <c r="F26" s="675">
        <v>536</v>
      </c>
      <c r="G26" s="630">
        <v>162</v>
      </c>
      <c r="H26" s="622">
        <v>7892</v>
      </c>
      <c r="I26" s="622">
        <v>5230</v>
      </c>
      <c r="J26" s="623">
        <v>8640</v>
      </c>
      <c r="K26" s="616">
        <v>3</v>
      </c>
      <c r="L26" s="691">
        <v>2</v>
      </c>
      <c r="M26" s="680">
        <v>9</v>
      </c>
      <c r="N26" s="670">
        <f t="shared" si="2"/>
        <v>13289</v>
      </c>
      <c r="O26" s="671">
        <f t="shared" si="3"/>
        <v>16706</v>
      </c>
      <c r="P26" s="672">
        <f t="shared" si="0"/>
        <v>203927.62082897942</v>
      </c>
      <c r="Q26" s="52">
        <f t="shared" si="1"/>
        <v>166455.62082897942</v>
      </c>
      <c r="R26" s="119" t="s">
        <v>171</v>
      </c>
      <c r="S26" s="120">
        <v>7.8015762170790097</v>
      </c>
      <c r="T26" s="120">
        <v>4.0407204385277993</v>
      </c>
      <c r="U26" s="120">
        <v>8.5106382978723403</v>
      </c>
      <c r="V26" s="110"/>
      <c r="W26" s="121">
        <f t="shared" si="4"/>
        <v>6.8015762170790097</v>
      </c>
      <c r="X26" s="121">
        <f t="shared" si="4"/>
        <v>3.0407204385277993</v>
      </c>
      <c r="Y26" s="121">
        <f t="shared" si="4"/>
        <v>7.5106382978723403</v>
      </c>
      <c r="Z26" s="122"/>
      <c r="AA26" s="110">
        <v>154</v>
      </c>
      <c r="AB26" s="123"/>
      <c r="AC26" s="123"/>
      <c r="AD26" s="110"/>
      <c r="AE26" s="110"/>
      <c r="AF26" s="110"/>
      <c r="AG26" s="110"/>
      <c r="AH26" s="110"/>
      <c r="AI26" s="110"/>
      <c r="AJ26" s="110"/>
      <c r="AK26" s="106"/>
      <c r="AL26" s="106"/>
      <c r="AM26" s="106"/>
      <c r="AN26" s="106"/>
      <c r="AO26" s="106"/>
      <c r="AP26" s="106"/>
      <c r="AQ26" s="106"/>
    </row>
    <row r="27" spans="1:43" s="36" customFormat="1" ht="12.75" customHeight="1">
      <c r="A27" s="49">
        <f t="shared" si="6"/>
        <v>22</v>
      </c>
      <c r="B27" s="45" t="s">
        <v>503</v>
      </c>
      <c r="C27" s="678">
        <f t="shared" si="5"/>
        <v>11667</v>
      </c>
      <c r="D27" s="674">
        <v>11069</v>
      </c>
      <c r="E27" s="675">
        <v>525</v>
      </c>
      <c r="F27" s="675">
        <v>73</v>
      </c>
      <c r="G27" s="630">
        <v>97</v>
      </c>
      <c r="H27" s="622">
        <v>12051</v>
      </c>
      <c r="I27" s="622">
        <v>6280</v>
      </c>
      <c r="J27" s="623">
        <v>7081</v>
      </c>
      <c r="K27" s="616">
        <v>0</v>
      </c>
      <c r="L27" s="691">
        <v>0</v>
      </c>
      <c r="M27" s="680">
        <v>0</v>
      </c>
      <c r="N27" s="670">
        <f t="shared" si="2"/>
        <v>18428</v>
      </c>
      <c r="O27" s="671">
        <f t="shared" si="3"/>
        <v>19229</v>
      </c>
      <c r="P27" s="672">
        <f t="shared" si="0"/>
        <v>72287.983255896426</v>
      </c>
      <c r="Q27" s="52">
        <f t="shared" si="1"/>
        <v>41391.983255896426</v>
      </c>
      <c r="R27" s="119" t="s">
        <v>172</v>
      </c>
      <c r="S27" s="120">
        <v>3.3132200886262924</v>
      </c>
      <c r="T27" s="120">
        <v>2.1820258079250885</v>
      </c>
      <c r="U27" s="120">
        <v>2.6397058823529411</v>
      </c>
      <c r="V27" s="110"/>
      <c r="W27" s="121">
        <f t="shared" si="4"/>
        <v>2.3132200886262924</v>
      </c>
      <c r="X27" s="121">
        <f t="shared" si="4"/>
        <v>1.1820258079250885</v>
      </c>
      <c r="Y27" s="121">
        <f t="shared" si="4"/>
        <v>1.6397058823529411</v>
      </c>
      <c r="Z27" s="122"/>
      <c r="AA27" s="110">
        <v>102</v>
      </c>
      <c r="AB27" s="123"/>
      <c r="AC27" s="123"/>
      <c r="AD27" s="110"/>
      <c r="AE27" s="110"/>
      <c r="AF27" s="110"/>
      <c r="AG27" s="110"/>
      <c r="AH27" s="110"/>
      <c r="AI27" s="110"/>
      <c r="AJ27" s="110"/>
      <c r="AK27" s="106"/>
      <c r="AL27" s="106"/>
      <c r="AM27" s="106"/>
      <c r="AN27" s="106"/>
      <c r="AO27" s="106"/>
      <c r="AP27" s="106"/>
      <c r="AQ27" s="106"/>
    </row>
    <row r="28" spans="1:43" s="36" customFormat="1" ht="12.75" customHeight="1">
      <c r="A28" s="49">
        <f t="shared" si="6"/>
        <v>23</v>
      </c>
      <c r="B28" s="45" t="s">
        <v>504</v>
      </c>
      <c r="C28" s="678">
        <f t="shared" si="5"/>
        <v>10594</v>
      </c>
      <c r="D28" s="674">
        <v>9974</v>
      </c>
      <c r="E28" s="675">
        <v>375</v>
      </c>
      <c r="F28" s="675">
        <v>245</v>
      </c>
      <c r="G28" s="630">
        <v>145</v>
      </c>
      <c r="H28" s="622">
        <v>5749</v>
      </c>
      <c r="I28" s="622">
        <v>3556</v>
      </c>
      <c r="J28" s="623">
        <v>4802</v>
      </c>
      <c r="K28" s="616">
        <v>0</v>
      </c>
      <c r="L28" s="691">
        <v>0</v>
      </c>
      <c r="M28" s="680">
        <v>0</v>
      </c>
      <c r="N28" s="670">
        <f t="shared" si="2"/>
        <v>9450</v>
      </c>
      <c r="O28" s="671">
        <f t="shared" si="3"/>
        <v>10696</v>
      </c>
      <c r="P28" s="672">
        <f t="shared" si="0"/>
        <v>69305.098318069329</v>
      </c>
      <c r="Q28" s="52">
        <f t="shared" si="1"/>
        <v>48015.098318069329</v>
      </c>
      <c r="R28" s="119" t="s">
        <v>173</v>
      </c>
      <c r="S28" s="120">
        <v>4.4505823627287855</v>
      </c>
      <c r="T28" s="120">
        <v>2.8875223613595709</v>
      </c>
      <c r="U28" s="120">
        <v>5.1949152542372881</v>
      </c>
      <c r="V28" s="110"/>
      <c r="W28" s="121">
        <f t="shared" si="4"/>
        <v>3.4505823627287855</v>
      </c>
      <c r="X28" s="121">
        <f t="shared" si="4"/>
        <v>1.8875223613595709</v>
      </c>
      <c r="Y28" s="121">
        <f t="shared" si="4"/>
        <v>4.1949152542372881</v>
      </c>
      <c r="Z28" s="122"/>
      <c r="AA28" s="110">
        <v>144</v>
      </c>
      <c r="AB28" s="123"/>
      <c r="AC28" s="123"/>
      <c r="AD28" s="110"/>
      <c r="AE28" s="110"/>
      <c r="AF28" s="110"/>
      <c r="AG28" s="110"/>
      <c r="AH28" s="110"/>
      <c r="AI28" s="110"/>
      <c r="AJ28" s="110"/>
      <c r="AK28" s="106"/>
      <c r="AL28" s="106"/>
      <c r="AM28" s="106"/>
      <c r="AN28" s="106"/>
      <c r="AO28" s="106"/>
      <c r="AP28" s="106"/>
      <c r="AQ28" s="106"/>
    </row>
    <row r="29" spans="1:43" s="36" customFormat="1" ht="12.75" customHeight="1">
      <c r="A29" s="49">
        <f t="shared" si="6"/>
        <v>24</v>
      </c>
      <c r="B29" s="45" t="s">
        <v>700</v>
      </c>
      <c r="C29" s="678">
        <f t="shared" si="5"/>
        <v>5022</v>
      </c>
      <c r="D29" s="674">
        <v>4352</v>
      </c>
      <c r="E29" s="675">
        <v>412</v>
      </c>
      <c r="F29" s="675">
        <v>258</v>
      </c>
      <c r="G29" s="630">
        <v>76</v>
      </c>
      <c r="H29" s="622">
        <v>4574</v>
      </c>
      <c r="I29" s="622">
        <v>3011</v>
      </c>
      <c r="J29" s="623">
        <v>3609</v>
      </c>
      <c r="K29" s="616">
        <v>4</v>
      </c>
      <c r="L29" s="691">
        <v>0</v>
      </c>
      <c r="M29" s="680">
        <v>0</v>
      </c>
      <c r="N29" s="670">
        <f t="shared" si="2"/>
        <v>7665</v>
      </c>
      <c r="O29" s="671">
        <f t="shared" si="3"/>
        <v>8263</v>
      </c>
      <c r="P29" s="672">
        <f t="shared" si="0"/>
        <v>37702.937229953612</v>
      </c>
      <c r="Q29" s="52">
        <f t="shared" si="1"/>
        <v>24417.937229953612</v>
      </c>
      <c r="R29" s="119" t="s">
        <v>174</v>
      </c>
      <c r="S29" s="120">
        <v>4.2575308641975305</v>
      </c>
      <c r="T29" s="120">
        <v>2.7230616302186879</v>
      </c>
      <c r="U29" s="120">
        <v>3.3333333333333335</v>
      </c>
      <c r="V29" s="110"/>
      <c r="W29" s="121">
        <f t="shared" si="4"/>
        <v>3.2575308641975305</v>
      </c>
      <c r="X29" s="121">
        <f t="shared" si="4"/>
        <v>1.7230616302186879</v>
      </c>
      <c r="Y29" s="121">
        <f t="shared" si="4"/>
        <v>2.3333333333333335</v>
      </c>
      <c r="Z29" s="122"/>
      <c r="AA29" s="110">
        <v>77</v>
      </c>
      <c r="AB29" s="123"/>
      <c r="AC29" s="123"/>
      <c r="AD29" s="110"/>
      <c r="AE29" s="110"/>
      <c r="AF29" s="110"/>
      <c r="AG29" s="110"/>
      <c r="AH29" s="110"/>
      <c r="AI29" s="110"/>
      <c r="AJ29" s="110"/>
      <c r="AK29" s="106"/>
      <c r="AL29" s="106"/>
      <c r="AM29" s="106"/>
      <c r="AN29" s="106"/>
      <c r="AO29" s="106"/>
      <c r="AP29" s="106"/>
      <c r="AQ29" s="106"/>
    </row>
    <row r="30" spans="1:43" s="36" customFormat="1" ht="12.75" customHeight="1">
      <c r="A30" s="49">
        <f t="shared" si="6"/>
        <v>25</v>
      </c>
      <c r="B30" s="45" t="s">
        <v>701</v>
      </c>
      <c r="C30" s="678">
        <f t="shared" si="5"/>
        <v>13294</v>
      </c>
      <c r="D30" s="674">
        <v>12241</v>
      </c>
      <c r="E30" s="675">
        <v>414</v>
      </c>
      <c r="F30" s="675">
        <v>639</v>
      </c>
      <c r="G30" s="630">
        <v>148</v>
      </c>
      <c r="H30" s="622">
        <v>9343</v>
      </c>
      <c r="I30" s="622">
        <v>6345</v>
      </c>
      <c r="J30" s="623">
        <v>8138</v>
      </c>
      <c r="K30" s="616">
        <v>0</v>
      </c>
      <c r="L30" s="691">
        <v>1</v>
      </c>
      <c r="M30" s="680">
        <v>3</v>
      </c>
      <c r="N30" s="670">
        <f t="shared" si="2"/>
        <v>15837</v>
      </c>
      <c r="O30" s="671">
        <f t="shared" si="3"/>
        <v>17632</v>
      </c>
      <c r="P30" s="672">
        <f t="shared" si="0"/>
        <v>74231.556011317734</v>
      </c>
      <c r="Q30" s="52">
        <f t="shared" si="1"/>
        <v>43305.556011317734</v>
      </c>
      <c r="R30" s="119" t="s">
        <v>175</v>
      </c>
      <c r="S30" s="120">
        <v>2.7267575063306402</v>
      </c>
      <c r="T30" s="120">
        <v>3.1420758076825237</v>
      </c>
      <c r="U30" s="120">
        <v>3.2745098039215699</v>
      </c>
      <c r="V30" s="110"/>
      <c r="W30" s="121">
        <f t="shared" si="4"/>
        <v>1.7267575063306402</v>
      </c>
      <c r="X30" s="121">
        <f t="shared" si="4"/>
        <v>2.1420758076825237</v>
      </c>
      <c r="Y30" s="121">
        <f t="shared" si="4"/>
        <v>2.2745098039215699</v>
      </c>
      <c r="Z30" s="122"/>
      <c r="AA30" s="110">
        <v>142</v>
      </c>
      <c r="AB30" s="123"/>
      <c r="AC30" s="123"/>
      <c r="AD30" s="110"/>
      <c r="AE30" s="110"/>
      <c r="AF30" s="110"/>
      <c r="AG30" s="110"/>
      <c r="AH30" s="110"/>
      <c r="AI30" s="110"/>
      <c r="AJ30" s="110"/>
      <c r="AK30" s="106"/>
      <c r="AL30" s="106"/>
      <c r="AM30" s="106"/>
      <c r="AN30" s="106"/>
      <c r="AO30" s="106"/>
      <c r="AP30" s="106"/>
      <c r="AQ30" s="106"/>
    </row>
    <row r="31" spans="1:43" s="36" customFormat="1" ht="12.75" customHeight="1">
      <c r="A31" s="49">
        <f t="shared" si="6"/>
        <v>26</v>
      </c>
      <c r="B31" s="45" t="s">
        <v>26</v>
      </c>
      <c r="C31" s="678">
        <f t="shared" si="5"/>
        <v>18940</v>
      </c>
      <c r="D31" s="674">
        <v>17956</v>
      </c>
      <c r="E31" s="675">
        <v>848</v>
      </c>
      <c r="F31" s="675">
        <v>136</v>
      </c>
      <c r="G31" s="630">
        <v>132</v>
      </c>
      <c r="H31" s="622">
        <v>13039</v>
      </c>
      <c r="I31" s="622">
        <v>7328</v>
      </c>
      <c r="J31" s="623">
        <v>8344</v>
      </c>
      <c r="K31" s="616">
        <v>1</v>
      </c>
      <c r="L31" s="691">
        <v>5</v>
      </c>
      <c r="M31" s="680">
        <v>11</v>
      </c>
      <c r="N31" s="670">
        <f t="shared" si="2"/>
        <v>20505</v>
      </c>
      <c r="O31" s="671">
        <f t="shared" si="3"/>
        <v>21527</v>
      </c>
      <c r="P31" s="672">
        <f t="shared" si="0"/>
        <v>79703.364586821321</v>
      </c>
      <c r="Q31" s="52">
        <f t="shared" si="1"/>
        <v>39236.364586821321</v>
      </c>
      <c r="R31" s="119" t="s">
        <v>176</v>
      </c>
      <c r="S31" s="120">
        <v>2.30775017095965</v>
      </c>
      <c r="T31" s="120">
        <v>2.0979218888978735</v>
      </c>
      <c r="U31" s="120">
        <v>2.1497942386831301</v>
      </c>
      <c r="V31" s="110"/>
      <c r="W31" s="121">
        <f t="shared" si="4"/>
        <v>1.30775017095965</v>
      </c>
      <c r="X31" s="121">
        <f t="shared" si="4"/>
        <v>1.0979218888978735</v>
      </c>
      <c r="Y31" s="121">
        <f t="shared" si="4"/>
        <v>1.1497942386831301</v>
      </c>
      <c r="Z31" s="122"/>
      <c r="AA31" s="110">
        <v>129</v>
      </c>
      <c r="AB31" s="123"/>
      <c r="AC31" s="123"/>
      <c r="AD31" s="110"/>
      <c r="AE31" s="110"/>
      <c r="AF31" s="110"/>
      <c r="AG31" s="110"/>
      <c r="AH31" s="110"/>
      <c r="AI31" s="110"/>
      <c r="AJ31" s="110"/>
      <c r="AK31" s="106"/>
      <c r="AL31" s="106"/>
      <c r="AM31" s="106"/>
      <c r="AN31" s="106"/>
      <c r="AO31" s="106"/>
      <c r="AP31" s="106"/>
      <c r="AQ31" s="106"/>
    </row>
    <row r="32" spans="1:43" s="36" customFormat="1" ht="12.75" customHeight="1">
      <c r="A32" s="49">
        <f>+A31+1</f>
        <v>27</v>
      </c>
      <c r="B32" s="45" t="s">
        <v>95</v>
      </c>
      <c r="C32" s="678">
        <f t="shared" si="5"/>
        <v>45083</v>
      </c>
      <c r="D32" s="674">
        <v>43677</v>
      </c>
      <c r="E32" s="675">
        <v>1147</v>
      </c>
      <c r="F32" s="675">
        <v>259</v>
      </c>
      <c r="G32" s="630">
        <v>274</v>
      </c>
      <c r="H32" s="622">
        <v>21408</v>
      </c>
      <c r="I32" s="622">
        <v>10842</v>
      </c>
      <c r="J32" s="623">
        <v>14315</v>
      </c>
      <c r="K32" s="616">
        <v>2</v>
      </c>
      <c r="L32" s="691">
        <v>3</v>
      </c>
      <c r="M32" s="680">
        <v>6</v>
      </c>
      <c r="N32" s="670">
        <f t="shared" si="2"/>
        <v>32529</v>
      </c>
      <c r="O32" s="671">
        <f t="shared" si="3"/>
        <v>36005</v>
      </c>
      <c r="P32" s="672">
        <f t="shared" si="0"/>
        <v>318955.39872135263</v>
      </c>
      <c r="Q32" s="52">
        <f t="shared" si="1"/>
        <v>237867.39872135263</v>
      </c>
      <c r="R32" s="119" t="s">
        <v>178</v>
      </c>
      <c r="S32" s="120">
        <v>5.3322551474679996</v>
      </c>
      <c r="T32" s="120">
        <v>2.9366750704434228</v>
      </c>
      <c r="U32" s="120">
        <v>5</v>
      </c>
      <c r="V32" s="110"/>
      <c r="W32" s="121">
        <f t="shared" si="4"/>
        <v>4.3322551474679996</v>
      </c>
      <c r="X32" s="121">
        <f t="shared" si="4"/>
        <v>1.9366750704434228</v>
      </c>
      <c r="Y32" s="121">
        <f t="shared" si="4"/>
        <v>4</v>
      </c>
      <c r="Z32" s="122"/>
      <c r="AA32" s="110">
        <v>266</v>
      </c>
      <c r="AB32" s="123"/>
      <c r="AC32" s="123"/>
      <c r="AD32" s="110"/>
      <c r="AE32" s="110"/>
      <c r="AF32" s="110"/>
      <c r="AG32" s="110"/>
      <c r="AH32" s="110"/>
      <c r="AI32" s="110"/>
      <c r="AJ32" s="110"/>
      <c r="AK32" s="106"/>
      <c r="AL32" s="106"/>
      <c r="AM32" s="106"/>
      <c r="AN32" s="106"/>
      <c r="AO32" s="106"/>
      <c r="AP32" s="106"/>
      <c r="AQ32" s="106"/>
    </row>
    <row r="33" spans="1:43" s="36" customFormat="1" ht="12.75" customHeight="1">
      <c r="A33" s="48">
        <f>+A32+1</f>
        <v>28</v>
      </c>
      <c r="B33" s="44" t="s">
        <v>773</v>
      </c>
      <c r="C33" s="678">
        <f t="shared" si="5"/>
        <v>10150</v>
      </c>
      <c r="D33" s="674">
        <v>9613</v>
      </c>
      <c r="E33" s="675">
        <v>393</v>
      </c>
      <c r="F33" s="675">
        <v>144</v>
      </c>
      <c r="G33" s="630">
        <v>139</v>
      </c>
      <c r="H33" s="622">
        <v>9121</v>
      </c>
      <c r="I33" s="622">
        <v>5410</v>
      </c>
      <c r="J33" s="623">
        <v>6408</v>
      </c>
      <c r="K33" s="616">
        <v>0</v>
      </c>
      <c r="L33" s="691">
        <v>0</v>
      </c>
      <c r="M33" s="680">
        <v>0</v>
      </c>
      <c r="N33" s="670">
        <f t="shared" si="2"/>
        <v>14670</v>
      </c>
      <c r="O33" s="671">
        <f t="shared" si="3"/>
        <v>15668</v>
      </c>
      <c r="P33" s="672">
        <f t="shared" si="0"/>
        <v>56670.762578000329</v>
      </c>
      <c r="Q33" s="52">
        <f t="shared" si="1"/>
        <v>30852.762578000329</v>
      </c>
      <c r="R33" s="119" t="s">
        <v>179</v>
      </c>
      <c r="S33" s="120">
        <v>2.8791927496963501</v>
      </c>
      <c r="T33" s="120">
        <v>2.2504214559386972</v>
      </c>
      <c r="U33" s="120">
        <v>3.68965517241379</v>
      </c>
      <c r="V33" s="110"/>
      <c r="W33" s="121">
        <f t="shared" si="4"/>
        <v>1.8791927496963501</v>
      </c>
      <c r="X33" s="121">
        <f t="shared" si="4"/>
        <v>1.2504214559386972</v>
      </c>
      <c r="Y33" s="121">
        <f t="shared" si="4"/>
        <v>2.68965517241379</v>
      </c>
      <c r="Z33" s="122"/>
      <c r="AA33" s="110">
        <v>140</v>
      </c>
      <c r="AB33" s="123"/>
      <c r="AC33" s="123"/>
      <c r="AD33" s="110"/>
      <c r="AE33" s="110"/>
      <c r="AF33" s="110"/>
      <c r="AG33" s="110"/>
      <c r="AH33" s="110"/>
      <c r="AI33" s="110"/>
      <c r="AJ33" s="110"/>
      <c r="AK33" s="106"/>
      <c r="AL33" s="106"/>
      <c r="AM33" s="106"/>
      <c r="AN33" s="106"/>
      <c r="AO33" s="106"/>
      <c r="AP33" s="106"/>
      <c r="AQ33" s="106"/>
    </row>
    <row r="34" spans="1:43" s="36" customFormat="1" ht="12.75" customHeight="1">
      <c r="A34" s="48">
        <f t="shared" si="6"/>
        <v>29</v>
      </c>
      <c r="B34" s="44" t="s">
        <v>774</v>
      </c>
      <c r="C34" s="678">
        <f t="shared" si="5"/>
        <v>2632</v>
      </c>
      <c r="D34" s="674">
        <v>2475</v>
      </c>
      <c r="E34" s="675">
        <v>62</v>
      </c>
      <c r="F34" s="675">
        <v>95</v>
      </c>
      <c r="G34" s="630">
        <v>45</v>
      </c>
      <c r="H34" s="622">
        <v>2495</v>
      </c>
      <c r="I34" s="622">
        <v>1847</v>
      </c>
      <c r="J34" s="623">
        <v>2176</v>
      </c>
      <c r="K34" s="616">
        <v>0</v>
      </c>
      <c r="L34" s="691">
        <v>1</v>
      </c>
      <c r="M34" s="680">
        <v>4</v>
      </c>
      <c r="N34" s="670">
        <f t="shared" si="2"/>
        <v>4388</v>
      </c>
      <c r="O34" s="671">
        <f t="shared" si="3"/>
        <v>4720</v>
      </c>
      <c r="P34" s="672">
        <f t="shared" si="0"/>
        <v>17231.984753599114</v>
      </c>
      <c r="Q34" s="52">
        <f t="shared" si="1"/>
        <v>9879.9847535991139</v>
      </c>
      <c r="R34" s="119" t="s">
        <v>702</v>
      </c>
      <c r="S34" s="120">
        <v>3.552936775159</v>
      </c>
      <c r="T34" s="120">
        <v>2.2225252969643599</v>
      </c>
      <c r="U34" s="120">
        <v>3.4545454545454501</v>
      </c>
      <c r="V34" s="110"/>
      <c r="W34" s="121">
        <f t="shared" si="4"/>
        <v>2.552936775159</v>
      </c>
      <c r="X34" s="121">
        <f t="shared" si="4"/>
        <v>1.2225252969643599</v>
      </c>
      <c r="Y34" s="121">
        <f t="shared" si="4"/>
        <v>2.4545454545454501</v>
      </c>
      <c r="Z34" s="122"/>
      <c r="AA34" s="110">
        <v>47</v>
      </c>
      <c r="AB34" s="123"/>
      <c r="AC34" s="123"/>
      <c r="AD34" s="110"/>
      <c r="AE34" s="110"/>
      <c r="AF34" s="110"/>
      <c r="AG34" s="110"/>
      <c r="AH34" s="110"/>
      <c r="AI34" s="110"/>
      <c r="AJ34" s="110"/>
      <c r="AK34" s="106"/>
      <c r="AL34" s="106"/>
      <c r="AM34" s="106"/>
      <c r="AN34" s="106"/>
      <c r="AO34" s="106"/>
      <c r="AP34" s="106"/>
      <c r="AQ34" s="106"/>
    </row>
    <row r="35" spans="1:43" s="36" customFormat="1" ht="12.75" customHeight="1">
      <c r="A35" s="48">
        <f t="shared" si="6"/>
        <v>30</v>
      </c>
      <c r="B35" s="44" t="s">
        <v>775</v>
      </c>
      <c r="C35" s="678">
        <f t="shared" si="5"/>
        <v>3413</v>
      </c>
      <c r="D35" s="674">
        <v>3242</v>
      </c>
      <c r="E35" s="681">
        <v>42</v>
      </c>
      <c r="F35" s="681">
        <v>129</v>
      </c>
      <c r="G35" s="630">
        <v>7</v>
      </c>
      <c r="H35" s="622">
        <v>1037</v>
      </c>
      <c r="I35" s="622">
        <v>472</v>
      </c>
      <c r="J35" s="623">
        <v>972</v>
      </c>
      <c r="K35" s="616">
        <v>0</v>
      </c>
      <c r="L35" s="691">
        <v>0</v>
      </c>
      <c r="M35" s="680">
        <v>0</v>
      </c>
      <c r="N35" s="670">
        <f t="shared" si="2"/>
        <v>1516</v>
      </c>
      <c r="O35" s="671">
        <f t="shared" si="3"/>
        <v>2016</v>
      </c>
      <c r="P35" s="672">
        <f t="shared" si="0"/>
        <v>27157.21900675607</v>
      </c>
      <c r="Q35" s="52">
        <f t="shared" si="1"/>
        <v>21728.21900675607</v>
      </c>
      <c r="R35" s="119" t="s">
        <v>703</v>
      </c>
      <c r="S35" s="120">
        <v>6.2331113225499521</v>
      </c>
      <c r="T35" s="120">
        <v>4.6981132075471699</v>
      </c>
      <c r="U35" s="120">
        <v>5.666666666666667</v>
      </c>
      <c r="V35" s="110"/>
      <c r="W35" s="121">
        <f t="shared" si="4"/>
        <v>5.2331113225499521</v>
      </c>
      <c r="X35" s="121">
        <f t="shared" si="4"/>
        <v>3.6981132075471699</v>
      </c>
      <c r="Y35" s="121">
        <f t="shared" si="4"/>
        <v>4.666666666666667</v>
      </c>
      <c r="Z35" s="122"/>
      <c r="AA35" s="110">
        <v>6</v>
      </c>
      <c r="AB35" s="123"/>
      <c r="AC35" s="123"/>
      <c r="AD35" s="110"/>
      <c r="AE35" s="110"/>
      <c r="AF35" s="110"/>
      <c r="AG35" s="110"/>
      <c r="AH35" s="110"/>
      <c r="AI35" s="110"/>
      <c r="AJ35" s="110"/>
      <c r="AK35" s="106"/>
      <c r="AL35" s="106"/>
      <c r="AM35" s="106"/>
      <c r="AN35" s="106"/>
      <c r="AO35" s="106"/>
      <c r="AP35" s="106"/>
      <c r="AQ35" s="106"/>
    </row>
    <row r="36" spans="1:43" s="36" customFormat="1" ht="12.75" customHeight="1">
      <c r="A36" s="48">
        <f t="shared" si="6"/>
        <v>31</v>
      </c>
      <c r="B36" s="44" t="s">
        <v>371</v>
      </c>
      <c r="C36" s="678">
        <f t="shared" si="5"/>
        <v>39805</v>
      </c>
      <c r="D36" s="674">
        <v>38112</v>
      </c>
      <c r="E36" s="675">
        <v>1500</v>
      </c>
      <c r="F36" s="675">
        <v>193</v>
      </c>
      <c r="G36" s="630">
        <v>419</v>
      </c>
      <c r="H36" s="622">
        <v>24631</v>
      </c>
      <c r="I36" s="622">
        <v>11433</v>
      </c>
      <c r="J36" s="623">
        <v>15697</v>
      </c>
      <c r="K36" s="616">
        <v>0</v>
      </c>
      <c r="L36" s="691">
        <v>5</v>
      </c>
      <c r="M36" s="680">
        <v>16</v>
      </c>
      <c r="N36" s="670">
        <f t="shared" si="2"/>
        <v>36488</v>
      </c>
      <c r="O36" s="671">
        <f t="shared" si="3"/>
        <v>40763</v>
      </c>
      <c r="P36" s="672">
        <f t="shared" si="0"/>
        <v>310817.4847791082</v>
      </c>
      <c r="Q36" s="52">
        <f t="shared" si="1"/>
        <v>230249.4847791082</v>
      </c>
      <c r="R36" s="119" t="s">
        <v>704</v>
      </c>
      <c r="S36" s="120">
        <v>5.3204596910555102</v>
      </c>
      <c r="T36" s="120">
        <v>3.2818753160442102</v>
      </c>
      <c r="U36" s="120">
        <v>5.9372693726937271</v>
      </c>
      <c r="V36" s="110"/>
      <c r="W36" s="121">
        <f t="shared" si="4"/>
        <v>4.3204596910555102</v>
      </c>
      <c r="X36" s="121">
        <f t="shared" si="4"/>
        <v>2.2818753160442102</v>
      </c>
      <c r="Y36" s="121">
        <f t="shared" si="4"/>
        <v>4.9372693726937271</v>
      </c>
      <c r="Z36" s="122"/>
      <c r="AA36" s="110">
        <v>421</v>
      </c>
      <c r="AB36" s="123"/>
      <c r="AC36" s="123"/>
      <c r="AD36" s="110"/>
      <c r="AE36" s="110"/>
      <c r="AF36" s="110"/>
      <c r="AG36" s="110"/>
      <c r="AH36" s="110"/>
      <c r="AI36" s="110"/>
      <c r="AJ36" s="110"/>
      <c r="AK36" s="106"/>
      <c r="AL36" s="106"/>
      <c r="AM36" s="106"/>
      <c r="AN36" s="106"/>
      <c r="AO36" s="106"/>
      <c r="AP36" s="106"/>
      <c r="AQ36" s="106"/>
    </row>
    <row r="37" spans="1:43" s="36" customFormat="1" ht="12.75" customHeight="1">
      <c r="A37" s="48">
        <f t="shared" si="6"/>
        <v>32</v>
      </c>
      <c r="B37" s="44" t="s">
        <v>459</v>
      </c>
      <c r="C37" s="678">
        <f t="shared" si="5"/>
        <v>11448</v>
      </c>
      <c r="D37" s="674">
        <v>10484</v>
      </c>
      <c r="E37" s="675">
        <v>887</v>
      </c>
      <c r="F37" s="675">
        <v>77</v>
      </c>
      <c r="G37" s="630">
        <v>136</v>
      </c>
      <c r="H37" s="622">
        <v>9645</v>
      </c>
      <c r="I37" s="622">
        <v>5369</v>
      </c>
      <c r="J37" s="623">
        <v>6127</v>
      </c>
      <c r="K37" s="616">
        <v>1</v>
      </c>
      <c r="L37" s="691">
        <v>0</v>
      </c>
      <c r="M37" s="680">
        <v>0</v>
      </c>
      <c r="N37" s="670">
        <f t="shared" si="2"/>
        <v>15151</v>
      </c>
      <c r="O37" s="671">
        <f t="shared" si="3"/>
        <v>15909</v>
      </c>
      <c r="P37" s="672">
        <f t="shared" si="0"/>
        <v>52082.840551610716</v>
      </c>
      <c r="Q37" s="52">
        <f t="shared" si="1"/>
        <v>24725.840551610716</v>
      </c>
      <c r="R37" s="119" t="s">
        <v>646</v>
      </c>
      <c r="S37" s="120">
        <v>2.1632319819819799</v>
      </c>
      <c r="T37" s="120">
        <v>2.1645729145829198</v>
      </c>
      <c r="U37" s="120">
        <v>2.3004048582996002</v>
      </c>
      <c r="V37" s="110"/>
      <c r="W37" s="121">
        <f t="shared" si="4"/>
        <v>1.1632319819819799</v>
      </c>
      <c r="X37" s="121">
        <f t="shared" si="4"/>
        <v>1.1645729145829198</v>
      </c>
      <c r="Y37" s="121">
        <f t="shared" si="4"/>
        <v>1.3004048582996002</v>
      </c>
      <c r="Z37" s="122"/>
      <c r="AA37" s="110">
        <v>137</v>
      </c>
      <c r="AB37" s="123"/>
      <c r="AC37" s="123"/>
      <c r="AD37" s="110"/>
      <c r="AE37" s="110"/>
      <c r="AF37" s="110"/>
      <c r="AG37" s="110"/>
      <c r="AH37" s="110"/>
      <c r="AI37" s="110"/>
      <c r="AJ37" s="110"/>
      <c r="AK37" s="106"/>
      <c r="AL37" s="106"/>
      <c r="AM37" s="106"/>
      <c r="AN37" s="106"/>
      <c r="AO37" s="106"/>
      <c r="AP37" s="106"/>
      <c r="AQ37" s="106"/>
    </row>
    <row r="38" spans="1:43" s="36" customFormat="1" ht="12.75" customHeight="1">
      <c r="A38" s="48">
        <f t="shared" si="6"/>
        <v>33</v>
      </c>
      <c r="B38" s="44" t="s">
        <v>33</v>
      </c>
      <c r="C38" s="678">
        <f t="shared" si="5"/>
        <v>48247</v>
      </c>
      <c r="D38" s="674">
        <v>46588</v>
      </c>
      <c r="E38" s="675">
        <v>1369</v>
      </c>
      <c r="F38" s="675">
        <v>290</v>
      </c>
      <c r="G38" s="630">
        <v>319</v>
      </c>
      <c r="H38" s="622">
        <v>26082</v>
      </c>
      <c r="I38" s="622">
        <v>11381</v>
      </c>
      <c r="J38" s="623">
        <v>14649</v>
      </c>
      <c r="K38" s="616">
        <v>2</v>
      </c>
      <c r="L38" s="691">
        <v>3</v>
      </c>
      <c r="M38" s="680">
        <v>10</v>
      </c>
      <c r="N38" s="670">
        <f t="shared" si="2"/>
        <v>37787</v>
      </c>
      <c r="O38" s="671">
        <f t="shared" si="3"/>
        <v>41062</v>
      </c>
      <c r="P38" s="672">
        <f t="shared" si="0"/>
        <v>329378.66619057575</v>
      </c>
      <c r="Q38" s="52">
        <f t="shared" si="1"/>
        <v>240069.66619057575</v>
      </c>
      <c r="R38" s="129" t="s">
        <v>647</v>
      </c>
      <c r="S38" s="120">
        <v>5.0511557313826501</v>
      </c>
      <c r="T38" s="120">
        <v>2.6793620566531779</v>
      </c>
      <c r="U38" s="120">
        <v>3.5468164794007491</v>
      </c>
      <c r="V38" s="110"/>
      <c r="W38" s="121">
        <f t="shared" si="4"/>
        <v>4.0511557313826501</v>
      </c>
      <c r="X38" s="121">
        <f t="shared" si="4"/>
        <v>1.6793620566531779</v>
      </c>
      <c r="Y38" s="121">
        <f t="shared" si="4"/>
        <v>2.5468164794007491</v>
      </c>
      <c r="Z38" s="122"/>
      <c r="AA38" s="110">
        <v>325</v>
      </c>
      <c r="AB38" s="123"/>
      <c r="AC38" s="123"/>
      <c r="AD38" s="110"/>
      <c r="AE38" s="110"/>
      <c r="AF38" s="110"/>
      <c r="AG38" s="110"/>
      <c r="AH38" s="110"/>
      <c r="AI38" s="110"/>
      <c r="AJ38" s="110"/>
      <c r="AK38" s="106"/>
      <c r="AL38" s="106"/>
      <c r="AM38" s="106"/>
      <c r="AN38" s="106"/>
      <c r="AO38" s="106"/>
      <c r="AP38" s="106"/>
      <c r="AQ38" s="106"/>
    </row>
    <row r="39" spans="1:43" s="36" customFormat="1" ht="12.75" customHeight="1">
      <c r="A39" s="48">
        <f t="shared" si="6"/>
        <v>34</v>
      </c>
      <c r="B39" s="44" t="s">
        <v>34</v>
      </c>
      <c r="C39" s="678">
        <f t="shared" si="5"/>
        <v>518486</v>
      </c>
      <c r="D39" s="674">
        <v>498999</v>
      </c>
      <c r="E39" s="675">
        <v>19317</v>
      </c>
      <c r="F39" s="675">
        <v>170</v>
      </c>
      <c r="G39" s="630">
        <v>1981</v>
      </c>
      <c r="H39" s="622">
        <v>188895</v>
      </c>
      <c r="I39" s="622">
        <v>76773</v>
      </c>
      <c r="J39" s="623">
        <v>91996</v>
      </c>
      <c r="K39" s="616">
        <v>10</v>
      </c>
      <c r="L39" s="691">
        <v>21</v>
      </c>
      <c r="M39" s="680">
        <v>51</v>
      </c>
      <c r="N39" s="670">
        <f t="shared" si="2"/>
        <v>267680</v>
      </c>
      <c r="O39" s="671">
        <f t="shared" si="3"/>
        <v>282933</v>
      </c>
      <c r="P39" s="672">
        <f t="shared" si="0"/>
        <v>2292510.6032199529</v>
      </c>
      <c r="Q39" s="52">
        <f t="shared" si="1"/>
        <v>1491091.6032199529</v>
      </c>
      <c r="R39" s="119" t="s">
        <v>648</v>
      </c>
      <c r="S39" s="120">
        <v>3.50546776944614</v>
      </c>
      <c r="T39" s="120">
        <v>2.0035902238872536</v>
      </c>
      <c r="U39" s="120">
        <v>2.2460706560922898</v>
      </c>
      <c r="V39" s="110"/>
      <c r="W39" s="121">
        <f t="shared" si="4"/>
        <v>2.50546776944614</v>
      </c>
      <c r="X39" s="121">
        <f t="shared" si="4"/>
        <v>1.0035902238872536</v>
      </c>
      <c r="Y39" s="121">
        <f t="shared" si="4"/>
        <v>1.2460706560922898</v>
      </c>
      <c r="Z39" s="122"/>
      <c r="AA39" s="110">
        <v>1912</v>
      </c>
      <c r="AB39" s="123"/>
      <c r="AC39" s="123"/>
      <c r="AD39" s="110"/>
      <c r="AE39" s="110"/>
      <c r="AF39" s="110"/>
      <c r="AG39" s="110"/>
      <c r="AH39" s="110"/>
      <c r="AI39" s="110"/>
      <c r="AJ39" s="110"/>
      <c r="AK39" s="106"/>
      <c r="AL39" s="106"/>
      <c r="AM39" s="106"/>
      <c r="AN39" s="106"/>
      <c r="AO39" s="106"/>
      <c r="AP39" s="106"/>
      <c r="AQ39" s="106"/>
    </row>
    <row r="40" spans="1:43" s="36" customFormat="1" ht="12.75" customHeight="1">
      <c r="A40" s="48">
        <f t="shared" si="6"/>
        <v>35</v>
      </c>
      <c r="B40" s="44" t="s">
        <v>35</v>
      </c>
      <c r="C40" s="678">
        <f t="shared" si="5"/>
        <v>124112</v>
      </c>
      <c r="D40" s="674">
        <v>118875</v>
      </c>
      <c r="E40" s="675">
        <v>4925</v>
      </c>
      <c r="F40" s="675">
        <v>312</v>
      </c>
      <c r="G40" s="630">
        <v>943</v>
      </c>
      <c r="H40" s="622">
        <v>69036</v>
      </c>
      <c r="I40" s="622">
        <v>32471</v>
      </c>
      <c r="J40" s="623">
        <v>37516</v>
      </c>
      <c r="K40" s="616">
        <v>3</v>
      </c>
      <c r="L40" s="691">
        <v>5</v>
      </c>
      <c r="M40" s="680">
        <v>8</v>
      </c>
      <c r="N40" s="670">
        <f t="shared" si="2"/>
        <v>102458</v>
      </c>
      <c r="O40" s="671">
        <f t="shared" si="3"/>
        <v>107506</v>
      </c>
      <c r="P40" s="672">
        <f t="shared" si="0"/>
        <v>508817.98908988381</v>
      </c>
      <c r="Q40" s="52">
        <f t="shared" si="1"/>
        <v>277199.98908988381</v>
      </c>
      <c r="R40" s="119" t="s">
        <v>771</v>
      </c>
      <c r="S40" s="120">
        <v>2.6410776368854201</v>
      </c>
      <c r="T40" s="120">
        <v>2.0487924104718109</v>
      </c>
      <c r="U40" s="120">
        <v>2.1857142857142899</v>
      </c>
      <c r="V40" s="110"/>
      <c r="W40" s="121">
        <f t="shared" si="4"/>
        <v>1.6410776368854201</v>
      </c>
      <c r="X40" s="121">
        <f t="shared" si="4"/>
        <v>1.0487924104718109</v>
      </c>
      <c r="Y40" s="121">
        <f t="shared" si="4"/>
        <v>1.1857142857142899</v>
      </c>
      <c r="Z40" s="122"/>
      <c r="AA40" s="110">
        <v>926</v>
      </c>
      <c r="AB40" s="123"/>
      <c r="AC40" s="123"/>
      <c r="AD40" s="110"/>
      <c r="AE40" s="110"/>
      <c r="AF40" s="110"/>
      <c r="AG40" s="110"/>
      <c r="AH40" s="110"/>
      <c r="AI40" s="110"/>
      <c r="AJ40" s="110"/>
      <c r="AK40" s="106"/>
      <c r="AL40" s="106"/>
      <c r="AM40" s="106"/>
      <c r="AN40" s="106"/>
      <c r="AO40" s="106"/>
      <c r="AP40" s="106"/>
      <c r="AQ40" s="106"/>
    </row>
    <row r="41" spans="1:43" s="36" customFormat="1" ht="12.75" customHeight="1">
      <c r="A41" s="48">
        <f t="shared" si="6"/>
        <v>36</v>
      </c>
      <c r="B41" s="44" t="s">
        <v>36</v>
      </c>
      <c r="C41" s="678">
        <f t="shared" si="5"/>
        <v>4743</v>
      </c>
      <c r="D41" s="674">
        <v>4316</v>
      </c>
      <c r="E41" s="675">
        <v>216</v>
      </c>
      <c r="F41" s="675">
        <v>211</v>
      </c>
      <c r="G41" s="630">
        <v>57</v>
      </c>
      <c r="H41" s="622">
        <v>3998</v>
      </c>
      <c r="I41" s="622">
        <v>2781</v>
      </c>
      <c r="J41" s="623">
        <v>3384</v>
      </c>
      <c r="K41" s="616">
        <v>1</v>
      </c>
      <c r="L41" s="691">
        <v>1</v>
      </c>
      <c r="M41" s="680">
        <v>4</v>
      </c>
      <c r="N41" s="670">
        <f t="shared" si="2"/>
        <v>6838</v>
      </c>
      <c r="O41" s="671">
        <f t="shared" si="3"/>
        <v>7444</v>
      </c>
      <c r="P41" s="672">
        <f t="shared" si="0"/>
        <v>38662.872895297827</v>
      </c>
      <c r="Q41" s="52">
        <f t="shared" si="1"/>
        <v>26475.872895297827</v>
      </c>
      <c r="R41" s="119" t="s">
        <v>772</v>
      </c>
      <c r="S41" s="120">
        <v>4.9217991169977902</v>
      </c>
      <c r="T41" s="120">
        <v>2.9340369393139842</v>
      </c>
      <c r="U41" s="120">
        <v>3.5</v>
      </c>
      <c r="V41" s="110"/>
      <c r="W41" s="121">
        <f t="shared" si="4"/>
        <v>3.9217991169977902</v>
      </c>
      <c r="X41" s="121">
        <f t="shared" si="4"/>
        <v>1.9340369393139842</v>
      </c>
      <c r="Y41" s="121">
        <f t="shared" si="4"/>
        <v>2.5</v>
      </c>
      <c r="Z41" s="122"/>
      <c r="AA41" s="110">
        <v>54</v>
      </c>
      <c r="AB41" s="123"/>
      <c r="AC41" s="123"/>
      <c r="AD41" s="110"/>
      <c r="AE41" s="110"/>
      <c r="AF41" s="110"/>
      <c r="AG41" s="110"/>
      <c r="AH41" s="110"/>
      <c r="AI41" s="110"/>
      <c r="AJ41" s="110"/>
      <c r="AK41" s="106"/>
      <c r="AL41" s="106"/>
      <c r="AM41" s="106"/>
      <c r="AN41" s="106"/>
      <c r="AO41" s="106"/>
      <c r="AP41" s="106"/>
      <c r="AQ41" s="106"/>
    </row>
    <row r="42" spans="1:43" s="36" customFormat="1" ht="12.75" customHeight="1">
      <c r="A42" s="49">
        <f t="shared" si="6"/>
        <v>37</v>
      </c>
      <c r="B42" s="44" t="s">
        <v>37</v>
      </c>
      <c r="C42" s="678">
        <f t="shared" si="5"/>
        <v>9994</v>
      </c>
      <c r="D42" s="674">
        <v>9048</v>
      </c>
      <c r="E42" s="675">
        <v>764</v>
      </c>
      <c r="F42" s="675">
        <v>182</v>
      </c>
      <c r="G42" s="630">
        <v>117</v>
      </c>
      <c r="H42" s="622">
        <v>9031</v>
      </c>
      <c r="I42" s="622">
        <v>5580</v>
      </c>
      <c r="J42" s="623">
        <v>6239</v>
      </c>
      <c r="K42" s="616">
        <v>1</v>
      </c>
      <c r="L42" s="691">
        <v>1</v>
      </c>
      <c r="M42" s="680">
        <v>2</v>
      </c>
      <c r="N42" s="670">
        <f t="shared" si="2"/>
        <v>14730</v>
      </c>
      <c r="O42" s="671">
        <f t="shared" si="3"/>
        <v>15390</v>
      </c>
      <c r="P42" s="672">
        <f t="shared" si="0"/>
        <v>54450.920610241614</v>
      </c>
      <c r="Q42" s="52">
        <f t="shared" si="1"/>
        <v>29066.920610241614</v>
      </c>
      <c r="R42" s="119" t="s">
        <v>69</v>
      </c>
      <c r="S42" s="120">
        <v>2.8141199226305602</v>
      </c>
      <c r="T42" s="120">
        <v>2.1877036258539149</v>
      </c>
      <c r="U42" s="120">
        <v>2.7987577639751602</v>
      </c>
      <c r="V42" s="110"/>
      <c r="W42" s="121">
        <f t="shared" si="4"/>
        <v>1.8141199226305602</v>
      </c>
      <c r="X42" s="121">
        <f t="shared" si="4"/>
        <v>1.1877036258539149</v>
      </c>
      <c r="Y42" s="121">
        <f t="shared" si="4"/>
        <v>1.7987577639751602</v>
      </c>
      <c r="Z42" s="122"/>
      <c r="AA42" s="110">
        <v>120</v>
      </c>
      <c r="AB42" s="123"/>
      <c r="AC42" s="123"/>
      <c r="AD42" s="110"/>
      <c r="AE42" s="110"/>
      <c r="AF42" s="110"/>
      <c r="AG42" s="110"/>
      <c r="AH42" s="110"/>
      <c r="AI42" s="110"/>
      <c r="AJ42" s="110"/>
      <c r="AK42" s="106"/>
      <c r="AL42" s="106"/>
      <c r="AM42" s="106"/>
      <c r="AN42" s="106"/>
      <c r="AO42" s="106"/>
      <c r="AP42" s="106"/>
      <c r="AQ42" s="106"/>
    </row>
    <row r="43" spans="1:43" s="36" customFormat="1" ht="12.75" customHeight="1">
      <c r="A43" s="49">
        <f t="shared" si="6"/>
        <v>38</v>
      </c>
      <c r="B43" s="44" t="s">
        <v>38</v>
      </c>
      <c r="C43" s="678">
        <f t="shared" si="5"/>
        <v>33246</v>
      </c>
      <c r="D43" s="674">
        <v>30967</v>
      </c>
      <c r="E43" s="675">
        <v>2042</v>
      </c>
      <c r="F43" s="675">
        <v>237</v>
      </c>
      <c r="G43" s="630">
        <v>274</v>
      </c>
      <c r="H43" s="622">
        <v>20459</v>
      </c>
      <c r="I43" s="622">
        <v>9429</v>
      </c>
      <c r="J43" s="623">
        <v>11431</v>
      </c>
      <c r="K43" s="616">
        <v>4</v>
      </c>
      <c r="L43" s="691">
        <v>6</v>
      </c>
      <c r="M43" s="680">
        <v>13</v>
      </c>
      <c r="N43" s="670">
        <f t="shared" si="2"/>
        <v>30172</v>
      </c>
      <c r="O43" s="671">
        <f t="shared" si="3"/>
        <v>32181</v>
      </c>
      <c r="P43" s="672">
        <f t="shared" si="0"/>
        <v>199742.13526078235</v>
      </c>
      <c r="Q43" s="52">
        <f t="shared" si="1"/>
        <v>134315.13526078235</v>
      </c>
      <c r="R43" s="119" t="s">
        <v>70</v>
      </c>
      <c r="S43" s="120">
        <v>4.1106085799800463</v>
      </c>
      <c r="T43" s="120">
        <v>2.479696883042608</v>
      </c>
      <c r="U43" s="120">
        <v>3.2873134328358211</v>
      </c>
      <c r="V43" s="110"/>
      <c r="W43" s="121">
        <f t="shared" si="4"/>
        <v>3.1106085799800463</v>
      </c>
      <c r="X43" s="121">
        <f t="shared" si="4"/>
        <v>1.479696883042608</v>
      </c>
      <c r="Y43" s="121">
        <f t="shared" si="4"/>
        <v>2.2873134328358211</v>
      </c>
      <c r="Z43" s="122"/>
      <c r="AA43" s="110">
        <v>270</v>
      </c>
      <c r="AB43" s="123"/>
      <c r="AC43" s="123"/>
      <c r="AD43" s="110"/>
      <c r="AE43" s="110"/>
      <c r="AF43" s="110"/>
      <c r="AG43" s="110"/>
      <c r="AH43" s="110"/>
      <c r="AI43" s="110"/>
      <c r="AJ43" s="110"/>
      <c r="AK43" s="106"/>
      <c r="AL43" s="106"/>
      <c r="AM43" s="106"/>
      <c r="AN43" s="106"/>
      <c r="AO43" s="106"/>
      <c r="AP43" s="106"/>
      <c r="AQ43" s="106"/>
    </row>
    <row r="44" spans="1:43" s="36" customFormat="1" ht="12.75" customHeight="1">
      <c r="A44" s="49">
        <f t="shared" si="6"/>
        <v>39</v>
      </c>
      <c r="B44" s="44" t="s">
        <v>39</v>
      </c>
      <c r="C44" s="678">
        <f t="shared" si="5"/>
        <v>10023</v>
      </c>
      <c r="D44" s="674">
        <v>9368</v>
      </c>
      <c r="E44" s="675">
        <v>604</v>
      </c>
      <c r="F44" s="675">
        <v>51</v>
      </c>
      <c r="G44" s="630">
        <v>106</v>
      </c>
      <c r="H44" s="622">
        <v>9474</v>
      </c>
      <c r="I44" s="622">
        <v>5261</v>
      </c>
      <c r="J44" s="623">
        <v>5923</v>
      </c>
      <c r="K44" s="616">
        <v>0</v>
      </c>
      <c r="L44" s="691">
        <v>0</v>
      </c>
      <c r="M44" s="680">
        <v>0</v>
      </c>
      <c r="N44" s="670">
        <f t="shared" si="2"/>
        <v>14841</v>
      </c>
      <c r="O44" s="671">
        <f t="shared" si="3"/>
        <v>15503</v>
      </c>
      <c r="P44" s="672">
        <f t="shared" si="0"/>
        <v>60854.354735732311</v>
      </c>
      <c r="Q44" s="52">
        <f t="shared" si="1"/>
        <v>35328.354735732311</v>
      </c>
      <c r="R44" s="119" t="s">
        <v>843</v>
      </c>
      <c r="S44" s="120">
        <v>3.3449625891769621</v>
      </c>
      <c r="T44" s="120">
        <v>2.2315016634163127</v>
      </c>
      <c r="U44" s="120">
        <v>2.4863013698630136</v>
      </c>
      <c r="V44" s="110"/>
      <c r="W44" s="121">
        <f t="shared" si="4"/>
        <v>2.3449625891769621</v>
      </c>
      <c r="X44" s="121">
        <f t="shared" si="4"/>
        <v>1.2315016634163127</v>
      </c>
      <c r="Y44" s="121">
        <f t="shared" si="4"/>
        <v>1.4863013698630136</v>
      </c>
      <c r="Z44" s="122"/>
      <c r="AA44" s="110">
        <v>107</v>
      </c>
      <c r="AB44" s="123"/>
      <c r="AC44" s="123"/>
      <c r="AD44" s="110"/>
      <c r="AE44" s="110"/>
      <c r="AF44" s="110"/>
      <c r="AG44" s="110"/>
      <c r="AH44" s="110"/>
      <c r="AI44" s="110"/>
      <c r="AJ44" s="110"/>
      <c r="AK44" s="106"/>
      <c r="AL44" s="106"/>
      <c r="AM44" s="106"/>
      <c r="AN44" s="106"/>
      <c r="AO44" s="106"/>
      <c r="AP44" s="106"/>
      <c r="AQ44" s="106"/>
    </row>
    <row r="45" spans="1:43" s="36" customFormat="1" ht="12.75" customHeight="1" thickBot="1">
      <c r="A45" s="73">
        <f t="shared" si="6"/>
        <v>40</v>
      </c>
      <c r="B45" s="186" t="s">
        <v>40</v>
      </c>
      <c r="C45" s="682">
        <f t="shared" si="5"/>
        <v>5725</v>
      </c>
      <c r="D45" s="683">
        <v>5025</v>
      </c>
      <c r="E45" s="684">
        <v>582</v>
      </c>
      <c r="F45" s="684">
        <v>118</v>
      </c>
      <c r="G45" s="631">
        <v>104</v>
      </c>
      <c r="H45" s="626">
        <v>5838</v>
      </c>
      <c r="I45" s="626">
        <v>3014</v>
      </c>
      <c r="J45" s="627">
        <v>3611</v>
      </c>
      <c r="K45" s="685">
        <v>0</v>
      </c>
      <c r="L45" s="692">
        <v>1</v>
      </c>
      <c r="M45" s="686">
        <v>1</v>
      </c>
      <c r="N45" s="687">
        <f>+G45+H45+I45+K45+L45</f>
        <v>8957</v>
      </c>
      <c r="O45" s="687">
        <f>+G45+H45+J45+K45+M45</f>
        <v>9554</v>
      </c>
      <c r="P45" s="688">
        <f t="shared" si="0"/>
        <v>35007.141488537469</v>
      </c>
      <c r="Q45" s="52">
        <f t="shared" si="1"/>
        <v>19728.141488537469</v>
      </c>
      <c r="R45" s="119" t="s">
        <v>844</v>
      </c>
      <c r="S45" s="120">
        <v>2.97668850806452</v>
      </c>
      <c r="T45" s="120">
        <v>2.4019895998191272</v>
      </c>
      <c r="U45" s="120">
        <v>3.1806201550387598</v>
      </c>
      <c r="V45" s="110"/>
      <c r="W45" s="121">
        <f t="shared" si="4"/>
        <v>1.97668850806452</v>
      </c>
      <c r="X45" s="121">
        <f t="shared" si="4"/>
        <v>1.4019895998191272</v>
      </c>
      <c r="Y45" s="121">
        <f t="shared" si="4"/>
        <v>2.1806201550387598</v>
      </c>
      <c r="Z45" s="122"/>
      <c r="AA45" s="110">
        <v>103</v>
      </c>
      <c r="AB45" s="123"/>
      <c r="AC45" s="123"/>
      <c r="AD45" s="110"/>
      <c r="AE45" s="110"/>
      <c r="AF45" s="110"/>
      <c r="AG45" s="110"/>
      <c r="AH45" s="110"/>
      <c r="AI45" s="110"/>
      <c r="AJ45" s="110"/>
      <c r="AK45" s="106"/>
      <c r="AL45" s="106"/>
      <c r="AM45" s="106"/>
      <c r="AN45" s="106"/>
      <c r="AO45" s="106"/>
      <c r="AP45" s="106"/>
      <c r="AQ45" s="106"/>
    </row>
    <row r="46" spans="1:43" s="36" customFormat="1" ht="26.25" customHeight="1">
      <c r="A46" s="38" t="s">
        <v>1032</v>
      </c>
      <c r="B46" s="65"/>
      <c r="C46" s="314"/>
      <c r="D46" s="60"/>
      <c r="E46" s="58"/>
      <c r="F46" s="58"/>
      <c r="G46" s="615"/>
      <c r="H46" s="615"/>
      <c r="I46" s="615"/>
      <c r="J46" s="615"/>
      <c r="K46" s="624"/>
      <c r="L46" s="625"/>
      <c r="M46" s="625"/>
      <c r="N46" s="67"/>
      <c r="O46" s="58"/>
      <c r="P46" s="52"/>
      <c r="Q46" s="52"/>
      <c r="R46" s="136"/>
      <c r="S46" s="137"/>
      <c r="T46" s="137"/>
      <c r="U46" s="138"/>
      <c r="V46" s="110"/>
      <c r="W46" s="121"/>
      <c r="X46" s="121"/>
      <c r="Y46" s="121"/>
      <c r="Z46" s="122"/>
      <c r="AA46" s="110">
        <v>577</v>
      </c>
      <c r="AB46" s="123"/>
      <c r="AC46" s="123"/>
      <c r="AD46" s="110"/>
      <c r="AE46" s="110"/>
      <c r="AF46" s="110"/>
      <c r="AG46" s="110"/>
      <c r="AH46" s="110"/>
      <c r="AI46" s="110"/>
      <c r="AJ46" s="110"/>
      <c r="AK46" s="106"/>
      <c r="AL46" s="106"/>
      <c r="AM46" s="106"/>
      <c r="AN46" s="106"/>
      <c r="AO46" s="106"/>
      <c r="AP46" s="106"/>
      <c r="AQ46" s="106"/>
    </row>
    <row r="47" spans="1:43" s="36" customFormat="1" ht="16.5" customHeight="1" thickBot="1">
      <c r="A47" s="101" t="s">
        <v>959</v>
      </c>
      <c r="B47" s="65"/>
      <c r="C47" s="314"/>
      <c r="D47" s="60"/>
      <c r="E47" s="58"/>
      <c r="F47" s="58"/>
      <c r="G47" s="615"/>
      <c r="H47" s="615"/>
      <c r="I47" s="615"/>
      <c r="J47" s="615"/>
      <c r="K47" s="624"/>
      <c r="L47" s="625"/>
      <c r="M47" s="625"/>
      <c r="N47" s="66"/>
      <c r="O47" s="1862" t="str">
        <f>+O2</f>
        <v>2017 Nisan (April)</v>
      </c>
      <c r="P47" s="1862"/>
      <c r="Q47" s="316"/>
      <c r="R47" s="316"/>
      <c r="S47" s="316"/>
      <c r="T47" s="316"/>
      <c r="U47" s="316"/>
      <c r="V47" s="316"/>
      <c r="W47" s="316"/>
      <c r="X47" s="316"/>
      <c r="Y47" s="316"/>
      <c r="Z47" s="316"/>
      <c r="AA47" s="316">
        <v>104</v>
      </c>
      <c r="AB47" s="107"/>
      <c r="AC47" s="107"/>
      <c r="AD47" s="106"/>
      <c r="AE47" s="106"/>
      <c r="AF47" s="106"/>
      <c r="AG47" s="106"/>
      <c r="AH47" s="106"/>
      <c r="AI47" s="106"/>
      <c r="AJ47" s="106"/>
      <c r="AK47" s="106"/>
      <c r="AL47" s="106"/>
      <c r="AM47" s="106"/>
      <c r="AN47" s="106"/>
      <c r="AO47" s="106"/>
      <c r="AP47" s="106"/>
      <c r="AQ47" s="106"/>
    </row>
    <row r="48" spans="1:43" s="36" customFormat="1" ht="12" customHeight="1" thickBot="1">
      <c r="A48" s="1869" t="s">
        <v>366</v>
      </c>
      <c r="B48" s="205"/>
      <c r="C48" s="1876" t="s">
        <v>837</v>
      </c>
      <c r="D48" s="1877"/>
      <c r="E48" s="1877"/>
      <c r="F48" s="1859"/>
      <c r="G48" s="1880" t="s">
        <v>539</v>
      </c>
      <c r="H48" s="1881"/>
      <c r="I48" s="1881"/>
      <c r="J48" s="1881"/>
      <c r="K48" s="1881"/>
      <c r="L48" s="1881"/>
      <c r="M48" s="1881"/>
      <c r="N48" s="1863" t="s">
        <v>1040</v>
      </c>
      <c r="O48" s="1859" t="s">
        <v>1041</v>
      </c>
      <c r="P48" s="1859" t="s">
        <v>114</v>
      </c>
      <c r="Q48" s="108"/>
      <c r="R48" s="111"/>
      <c r="S48" s="112" t="s">
        <v>180</v>
      </c>
      <c r="T48" s="112" t="s">
        <v>788</v>
      </c>
      <c r="U48" s="111" t="s">
        <v>787</v>
      </c>
      <c r="V48" s="110"/>
      <c r="W48" s="112" t="s">
        <v>180</v>
      </c>
      <c r="X48" s="112" t="s">
        <v>788</v>
      </c>
      <c r="Y48" s="111" t="s">
        <v>787</v>
      </c>
      <c r="Z48" s="110"/>
      <c r="AA48" s="110">
        <v>217</v>
      </c>
      <c r="AB48" s="110"/>
      <c r="AC48" s="110"/>
      <c r="AD48" s="110"/>
      <c r="AE48" s="110"/>
      <c r="AF48" s="110"/>
      <c r="AG48" s="110"/>
      <c r="AH48" s="110"/>
      <c r="AI48" s="106"/>
      <c r="AJ48" s="106"/>
      <c r="AK48" s="106"/>
      <c r="AL48" s="106"/>
      <c r="AM48" s="106"/>
      <c r="AN48" s="106"/>
      <c r="AO48" s="106"/>
      <c r="AP48" s="106"/>
      <c r="AQ48" s="106"/>
    </row>
    <row r="49" spans="1:43" s="36" customFormat="1" ht="24" customHeight="1" thickBot="1">
      <c r="A49" s="1870"/>
      <c r="B49" s="206"/>
      <c r="C49" s="1878"/>
      <c r="D49" s="1879"/>
      <c r="E49" s="1879"/>
      <c r="F49" s="1861"/>
      <c r="G49" s="1810" t="s">
        <v>1065</v>
      </c>
      <c r="H49" s="1799"/>
      <c r="I49" s="1799"/>
      <c r="J49" s="1800"/>
      <c r="K49" s="1810" t="s">
        <v>1064</v>
      </c>
      <c r="L49" s="1799"/>
      <c r="M49" s="1800"/>
      <c r="N49" s="1864"/>
      <c r="O49" s="1860"/>
      <c r="P49" s="1860"/>
      <c r="Q49" s="108"/>
      <c r="R49" s="113"/>
      <c r="S49" s="114" t="s">
        <v>886</v>
      </c>
      <c r="T49" s="114" t="s">
        <v>886</v>
      </c>
      <c r="U49" s="114" t="s">
        <v>886</v>
      </c>
      <c r="V49" s="110"/>
      <c r="W49" s="114" t="s">
        <v>886</v>
      </c>
      <c r="X49" s="114" t="s">
        <v>886</v>
      </c>
      <c r="Y49" s="114" t="s">
        <v>886</v>
      </c>
      <c r="Z49" s="110"/>
      <c r="AA49" s="110">
        <v>354</v>
      </c>
      <c r="AB49" s="110"/>
      <c r="AC49" s="110"/>
      <c r="AD49" s="110"/>
      <c r="AE49" s="110"/>
      <c r="AF49" s="110"/>
      <c r="AG49" s="110"/>
      <c r="AH49" s="110"/>
      <c r="AI49" s="106"/>
      <c r="AJ49" s="106"/>
      <c r="AK49" s="106"/>
      <c r="AL49" s="106"/>
      <c r="AM49" s="106"/>
      <c r="AN49" s="106"/>
      <c r="AO49" s="106"/>
      <c r="AP49" s="106"/>
      <c r="AQ49" s="106"/>
    </row>
    <row r="50" spans="1:43" s="36" customFormat="1" ht="73.5" customHeight="1" thickBot="1">
      <c r="A50" s="1871"/>
      <c r="B50" s="207" t="s">
        <v>675</v>
      </c>
      <c r="C50" s="313" t="s">
        <v>956</v>
      </c>
      <c r="D50" s="313" t="s">
        <v>394</v>
      </c>
      <c r="E50" s="313" t="s">
        <v>958</v>
      </c>
      <c r="F50" s="313" t="s">
        <v>957</v>
      </c>
      <c r="G50" s="646" t="s">
        <v>1033</v>
      </c>
      <c r="H50" s="647" t="s">
        <v>1034</v>
      </c>
      <c r="I50" s="648" t="s">
        <v>1038</v>
      </c>
      <c r="J50" s="649" t="s">
        <v>1037</v>
      </c>
      <c r="K50" s="650" t="s">
        <v>1039</v>
      </c>
      <c r="L50" s="651" t="s">
        <v>1035</v>
      </c>
      <c r="M50" s="652" t="s">
        <v>1036</v>
      </c>
      <c r="N50" s="1865"/>
      <c r="O50" s="1861"/>
      <c r="P50" s="1861"/>
      <c r="Q50" s="108" t="s">
        <v>619</v>
      </c>
      <c r="R50" s="115" t="s">
        <v>377</v>
      </c>
      <c r="S50" s="116"/>
      <c r="T50" s="116"/>
      <c r="U50" s="116"/>
      <c r="V50" s="110"/>
      <c r="W50" s="116"/>
      <c r="X50" s="116"/>
      <c r="Y50" s="116"/>
      <c r="Z50" s="110"/>
      <c r="AA50" s="110">
        <v>162</v>
      </c>
      <c r="AB50" s="110"/>
      <c r="AC50" s="110"/>
      <c r="AD50" s="110"/>
      <c r="AE50" s="110"/>
      <c r="AF50" s="110"/>
      <c r="AG50" s="110"/>
      <c r="AH50" s="110"/>
      <c r="AI50" s="106"/>
      <c r="AJ50" s="106"/>
      <c r="AK50" s="106"/>
      <c r="AL50" s="106"/>
      <c r="AM50" s="106"/>
      <c r="AN50" s="106"/>
      <c r="AO50" s="106"/>
      <c r="AP50" s="106"/>
      <c r="AQ50" s="106"/>
    </row>
    <row r="51" spans="1:43" s="36" customFormat="1">
      <c r="A51" s="117">
        <f>+A45+1</f>
        <v>41</v>
      </c>
      <c r="B51" s="118" t="s">
        <v>248</v>
      </c>
      <c r="C51" s="673">
        <f>+D51+E51+F51</f>
        <v>38020</v>
      </c>
      <c r="D51" s="674">
        <v>36697</v>
      </c>
      <c r="E51" s="666">
        <v>1246</v>
      </c>
      <c r="F51" s="666">
        <v>77</v>
      </c>
      <c r="G51" s="629">
        <v>254</v>
      </c>
      <c r="H51" s="620">
        <v>15599</v>
      </c>
      <c r="I51" s="620">
        <v>7192</v>
      </c>
      <c r="J51" s="621">
        <v>8930</v>
      </c>
      <c r="K51" s="654">
        <v>0</v>
      </c>
      <c r="L51" s="620">
        <v>4</v>
      </c>
      <c r="M51" s="653">
        <v>14</v>
      </c>
      <c r="N51" s="670">
        <f>+G51+H51+I51+K51+L51</f>
        <v>23049</v>
      </c>
      <c r="O51" s="671">
        <f>+G51+H51+J51+K51+M51</f>
        <v>24797</v>
      </c>
      <c r="P51" s="672">
        <f t="shared" ref="P51:P92" si="7">((C51)*S51)+(G51*U51)+(H51*T51)+J51+K51+M51</f>
        <v>146112.79656734946</v>
      </c>
      <c r="Q51" s="52">
        <f t="shared" ref="Q51:Q92" si="8">+P51-C51-O51</f>
        <v>83295.796567349462</v>
      </c>
      <c r="R51" s="119" t="s">
        <v>845</v>
      </c>
      <c r="S51" s="120">
        <v>2.6577307827307801</v>
      </c>
      <c r="T51" s="120">
        <v>2.2692771643314464</v>
      </c>
      <c r="U51" s="120">
        <v>2.8481012658227849</v>
      </c>
      <c r="V51" s="110"/>
      <c r="W51" s="121">
        <f t="shared" ref="W51:Y58" si="9">+S51-1</f>
        <v>1.6577307827307801</v>
      </c>
      <c r="X51" s="121">
        <f t="shared" si="9"/>
        <v>1.2692771643314464</v>
      </c>
      <c r="Y51" s="121">
        <f t="shared" si="9"/>
        <v>1.8481012658227849</v>
      </c>
      <c r="Z51" s="122"/>
      <c r="AA51" s="110">
        <v>69</v>
      </c>
      <c r="AB51" s="123"/>
      <c r="AC51" s="123"/>
      <c r="AD51" s="110"/>
      <c r="AE51" s="110"/>
      <c r="AF51" s="110"/>
      <c r="AG51" s="110"/>
      <c r="AH51" s="110"/>
      <c r="AI51" s="106"/>
      <c r="AJ51" s="106"/>
      <c r="AK51" s="106"/>
      <c r="AL51" s="106"/>
      <c r="AM51" s="106"/>
      <c r="AN51" s="106"/>
      <c r="AO51" s="106"/>
      <c r="AP51" s="106"/>
      <c r="AQ51" s="106"/>
    </row>
    <row r="52" spans="1:43" s="36" customFormat="1">
      <c r="A52" s="124">
        <f t="shared" ref="A52:A59" si="10">+A51+1</f>
        <v>42</v>
      </c>
      <c r="B52" s="118" t="s">
        <v>781</v>
      </c>
      <c r="C52" s="678">
        <f>+D52+E52+F52</f>
        <v>62324</v>
      </c>
      <c r="D52" s="674">
        <v>59769</v>
      </c>
      <c r="E52" s="666">
        <v>2204</v>
      </c>
      <c r="F52" s="666">
        <v>351</v>
      </c>
      <c r="G52" s="630">
        <v>565</v>
      </c>
      <c r="H52" s="622">
        <v>43846</v>
      </c>
      <c r="I52" s="622">
        <v>20182</v>
      </c>
      <c r="J52" s="623">
        <v>24469</v>
      </c>
      <c r="K52" s="632">
        <v>6</v>
      </c>
      <c r="L52" s="622">
        <v>12</v>
      </c>
      <c r="M52" s="617">
        <v>30</v>
      </c>
      <c r="N52" s="670">
        <f t="shared" ref="N52:N92" si="11">+G52+H52+I52+K52+L52</f>
        <v>64611</v>
      </c>
      <c r="O52" s="671">
        <f t="shared" ref="O52:O92" si="12">+G52+H52+J52+K52+M52</f>
        <v>68916</v>
      </c>
      <c r="P52" s="672">
        <f t="shared" si="7"/>
        <v>423446.10044434096</v>
      </c>
      <c r="Q52" s="52">
        <f t="shared" si="8"/>
        <v>292206.10044434096</v>
      </c>
      <c r="R52" s="119" t="s">
        <v>467</v>
      </c>
      <c r="S52" s="120">
        <v>4.4541486128176935</v>
      </c>
      <c r="T52" s="120">
        <v>2.7194004745742348</v>
      </c>
      <c r="U52" s="120">
        <v>3.7272727272727271</v>
      </c>
      <c r="V52" s="110"/>
      <c r="W52" s="121">
        <f t="shared" si="9"/>
        <v>3.4541486128176935</v>
      </c>
      <c r="X52" s="121">
        <f t="shared" si="9"/>
        <v>1.7194004745742348</v>
      </c>
      <c r="Y52" s="121">
        <f t="shared" si="9"/>
        <v>2.7272727272727271</v>
      </c>
      <c r="Z52" s="122"/>
      <c r="AA52" s="110">
        <v>243</v>
      </c>
      <c r="AB52" s="123"/>
      <c r="AC52" s="123"/>
      <c r="AD52" s="110"/>
      <c r="AE52" s="110"/>
      <c r="AF52" s="110"/>
      <c r="AG52" s="110"/>
      <c r="AH52" s="110"/>
      <c r="AI52" s="106"/>
      <c r="AJ52" s="106"/>
      <c r="AK52" s="106"/>
      <c r="AL52" s="106"/>
      <c r="AM52" s="106"/>
      <c r="AN52" s="106"/>
      <c r="AO52" s="106"/>
      <c r="AP52" s="106"/>
      <c r="AQ52" s="106"/>
    </row>
    <row r="53" spans="1:43" s="36" customFormat="1">
      <c r="A53" s="124">
        <f t="shared" si="10"/>
        <v>43</v>
      </c>
      <c r="B53" s="118" t="s">
        <v>240</v>
      </c>
      <c r="C53" s="678">
        <f t="shared" ref="C53:C91" si="13">+D53+E53+F53</f>
        <v>12818</v>
      </c>
      <c r="D53" s="674">
        <v>12170</v>
      </c>
      <c r="E53" s="666">
        <v>475</v>
      </c>
      <c r="F53" s="666">
        <v>173</v>
      </c>
      <c r="G53" s="630">
        <v>106</v>
      </c>
      <c r="H53" s="622">
        <v>7090</v>
      </c>
      <c r="I53" s="622">
        <v>4636</v>
      </c>
      <c r="J53" s="623">
        <v>5198</v>
      </c>
      <c r="K53" s="632">
        <v>1</v>
      </c>
      <c r="L53" s="622">
        <v>3</v>
      </c>
      <c r="M53" s="617">
        <v>10</v>
      </c>
      <c r="N53" s="670">
        <f t="shared" si="11"/>
        <v>11836</v>
      </c>
      <c r="O53" s="671">
        <f t="shared" si="12"/>
        <v>12405</v>
      </c>
      <c r="P53" s="672">
        <f t="shared" si="7"/>
        <v>66937.195971728259</v>
      </c>
      <c r="Q53" s="52">
        <f t="shared" si="8"/>
        <v>41714.195971728259</v>
      </c>
      <c r="R53" s="119" t="s">
        <v>468</v>
      </c>
      <c r="S53" s="120">
        <v>3.6733889310083399</v>
      </c>
      <c r="T53" s="120">
        <v>2.0218376596621344</v>
      </c>
      <c r="U53" s="120">
        <v>2.9044117647058822</v>
      </c>
      <c r="V53" s="110"/>
      <c r="W53" s="121">
        <f t="shared" si="9"/>
        <v>2.6733889310083399</v>
      </c>
      <c r="X53" s="121">
        <f t="shared" si="9"/>
        <v>1.0218376596621344</v>
      </c>
      <c r="Y53" s="121">
        <f t="shared" si="9"/>
        <v>1.9044117647058822</v>
      </c>
      <c r="Z53" s="122"/>
      <c r="AA53" s="110">
        <v>33</v>
      </c>
      <c r="AB53" s="123"/>
      <c r="AC53" s="123"/>
      <c r="AD53" s="110"/>
      <c r="AE53" s="110"/>
      <c r="AF53" s="110"/>
      <c r="AG53" s="110"/>
      <c r="AH53" s="110"/>
      <c r="AI53" s="106"/>
      <c r="AJ53" s="106"/>
      <c r="AK53" s="106"/>
      <c r="AL53" s="106"/>
      <c r="AM53" s="106"/>
      <c r="AN53" s="106"/>
      <c r="AO53" s="106"/>
      <c r="AP53" s="106"/>
      <c r="AQ53" s="106"/>
    </row>
    <row r="54" spans="1:43" s="36" customFormat="1">
      <c r="A54" s="124">
        <f t="shared" si="10"/>
        <v>44</v>
      </c>
      <c r="B54" s="118" t="s">
        <v>241</v>
      </c>
      <c r="C54" s="678">
        <f t="shared" si="13"/>
        <v>15890</v>
      </c>
      <c r="D54" s="674">
        <v>15274</v>
      </c>
      <c r="E54" s="666">
        <v>335</v>
      </c>
      <c r="F54" s="666">
        <v>281</v>
      </c>
      <c r="G54" s="630">
        <v>209</v>
      </c>
      <c r="H54" s="622">
        <v>9836</v>
      </c>
      <c r="I54" s="622">
        <v>5539</v>
      </c>
      <c r="J54" s="623">
        <v>7079</v>
      </c>
      <c r="K54" s="632">
        <v>2</v>
      </c>
      <c r="L54" s="622">
        <v>1</v>
      </c>
      <c r="M54" s="617">
        <v>3</v>
      </c>
      <c r="N54" s="670">
        <f t="shared" si="11"/>
        <v>15587</v>
      </c>
      <c r="O54" s="671">
        <f t="shared" si="12"/>
        <v>17129</v>
      </c>
      <c r="P54" s="672">
        <f t="shared" si="7"/>
        <v>86706.413209777675</v>
      </c>
      <c r="Q54" s="52">
        <f t="shared" si="8"/>
        <v>53687.413209777675</v>
      </c>
      <c r="R54" s="119" t="s">
        <v>469</v>
      </c>
      <c r="S54" s="120">
        <v>3.25779461678112</v>
      </c>
      <c r="T54" s="120">
        <v>2.7641012463060517</v>
      </c>
      <c r="U54" s="120">
        <v>3.1978798586572439</v>
      </c>
      <c r="V54" s="110"/>
      <c r="W54" s="121">
        <f t="shared" si="9"/>
        <v>2.25779461678112</v>
      </c>
      <c r="X54" s="121">
        <f t="shared" si="9"/>
        <v>1.7641012463060517</v>
      </c>
      <c r="Y54" s="121">
        <f t="shared" si="9"/>
        <v>2.1978798586572439</v>
      </c>
      <c r="Z54" s="122"/>
      <c r="AA54" s="110">
        <v>111</v>
      </c>
      <c r="AB54" s="123"/>
      <c r="AC54" s="123"/>
      <c r="AD54" s="110"/>
      <c r="AE54" s="110"/>
      <c r="AF54" s="110"/>
      <c r="AG54" s="110"/>
      <c r="AH54" s="110"/>
      <c r="AI54" s="106"/>
      <c r="AJ54" s="106"/>
      <c r="AK54" s="106"/>
      <c r="AL54" s="106"/>
      <c r="AM54" s="106"/>
      <c r="AN54" s="106"/>
      <c r="AO54" s="106"/>
      <c r="AP54" s="106"/>
      <c r="AQ54" s="106"/>
    </row>
    <row r="55" spans="1:43" s="36" customFormat="1">
      <c r="A55" s="124">
        <f t="shared" si="10"/>
        <v>45</v>
      </c>
      <c r="B55" s="125" t="s">
        <v>242</v>
      </c>
      <c r="C55" s="678">
        <f t="shared" si="13"/>
        <v>39510</v>
      </c>
      <c r="D55" s="674">
        <v>38183</v>
      </c>
      <c r="E55" s="666">
        <v>904</v>
      </c>
      <c r="F55" s="666">
        <v>423</v>
      </c>
      <c r="G55" s="630">
        <v>354</v>
      </c>
      <c r="H55" s="622">
        <v>27065</v>
      </c>
      <c r="I55" s="622">
        <v>13365</v>
      </c>
      <c r="J55" s="623">
        <v>15306</v>
      </c>
      <c r="K55" s="632">
        <v>3</v>
      </c>
      <c r="L55" s="622">
        <v>3</v>
      </c>
      <c r="M55" s="617">
        <v>8</v>
      </c>
      <c r="N55" s="670">
        <f t="shared" si="11"/>
        <v>40790</v>
      </c>
      <c r="O55" s="671">
        <f t="shared" si="12"/>
        <v>42736</v>
      </c>
      <c r="P55" s="672">
        <f t="shared" si="7"/>
        <v>179832.29888925946</v>
      </c>
      <c r="Q55" s="52">
        <f t="shared" si="8"/>
        <v>97586.298889259459</v>
      </c>
      <c r="R55" s="119" t="s">
        <v>470</v>
      </c>
      <c r="S55" s="120">
        <v>2.5915826438585801</v>
      </c>
      <c r="T55" s="120">
        <v>2.2569558101472995</v>
      </c>
      <c r="U55" s="120">
        <v>2.9303944315545243</v>
      </c>
      <c r="V55" s="110"/>
      <c r="W55" s="121">
        <f t="shared" si="9"/>
        <v>1.5915826438585801</v>
      </c>
      <c r="X55" s="121">
        <f t="shared" si="9"/>
        <v>1.2569558101472995</v>
      </c>
      <c r="Y55" s="121">
        <f t="shared" si="9"/>
        <v>1.9303944315545243</v>
      </c>
      <c r="Z55" s="122"/>
      <c r="AA55" s="110">
        <v>90</v>
      </c>
      <c r="AB55" s="123"/>
      <c r="AC55" s="123"/>
      <c r="AD55" s="110"/>
      <c r="AE55" s="110"/>
      <c r="AF55" s="110"/>
      <c r="AG55" s="110"/>
      <c r="AH55" s="110"/>
      <c r="AI55" s="106"/>
      <c r="AJ55" s="106"/>
      <c r="AK55" s="106"/>
      <c r="AL55" s="106"/>
      <c r="AM55" s="106"/>
      <c r="AN55" s="106"/>
      <c r="AO55" s="106"/>
      <c r="AP55" s="106"/>
      <c r="AQ55" s="106"/>
    </row>
    <row r="56" spans="1:43" s="36" customFormat="1">
      <c r="A56" s="124">
        <f t="shared" si="10"/>
        <v>46</v>
      </c>
      <c r="B56" s="125" t="s">
        <v>243</v>
      </c>
      <c r="C56" s="678">
        <f t="shared" si="13"/>
        <v>23402</v>
      </c>
      <c r="D56" s="674">
        <v>22613</v>
      </c>
      <c r="E56" s="666">
        <v>573</v>
      </c>
      <c r="F56" s="666">
        <v>216</v>
      </c>
      <c r="G56" s="630">
        <v>165</v>
      </c>
      <c r="H56" s="622">
        <v>13256</v>
      </c>
      <c r="I56" s="622">
        <v>5880</v>
      </c>
      <c r="J56" s="623">
        <v>7522</v>
      </c>
      <c r="K56" s="632">
        <v>2</v>
      </c>
      <c r="L56" s="622">
        <v>0</v>
      </c>
      <c r="M56" s="617">
        <v>0</v>
      </c>
      <c r="N56" s="670">
        <f t="shared" si="11"/>
        <v>19303</v>
      </c>
      <c r="O56" s="671">
        <f t="shared" si="12"/>
        <v>20945</v>
      </c>
      <c r="P56" s="672">
        <f t="shared" si="7"/>
        <v>160972.78321345919</v>
      </c>
      <c r="Q56" s="52">
        <f t="shared" si="8"/>
        <v>116625.78321345919</v>
      </c>
      <c r="R56" s="119" t="s">
        <v>471</v>
      </c>
      <c r="S56" s="120">
        <v>4.9202217203859604</v>
      </c>
      <c r="T56" s="120">
        <v>2.8290545544310048</v>
      </c>
      <c r="U56" s="120">
        <v>4.8715596330275233</v>
      </c>
      <c r="V56" s="110"/>
      <c r="W56" s="121">
        <f t="shared" si="9"/>
        <v>3.9202217203859604</v>
      </c>
      <c r="X56" s="121">
        <f t="shared" si="9"/>
        <v>1.8290545544310048</v>
      </c>
      <c r="Y56" s="121">
        <f t="shared" si="9"/>
        <v>3.8715596330275233</v>
      </c>
      <c r="Z56" s="122"/>
      <c r="AA56" s="110">
        <v>170</v>
      </c>
      <c r="AB56" s="123"/>
      <c r="AC56" s="123"/>
      <c r="AD56" s="110"/>
      <c r="AE56" s="110"/>
      <c r="AF56" s="110"/>
      <c r="AG56" s="110"/>
      <c r="AH56" s="110"/>
      <c r="AI56" s="106"/>
      <c r="AJ56" s="106"/>
      <c r="AK56" s="106"/>
      <c r="AL56" s="106"/>
      <c r="AM56" s="106"/>
      <c r="AN56" s="106"/>
      <c r="AO56" s="106"/>
      <c r="AP56" s="106"/>
      <c r="AQ56" s="106"/>
    </row>
    <row r="57" spans="1:43" s="36" customFormat="1">
      <c r="A57" s="124">
        <f t="shared" si="10"/>
        <v>47</v>
      </c>
      <c r="B57" s="125" t="s">
        <v>244</v>
      </c>
      <c r="C57" s="678">
        <f t="shared" si="13"/>
        <v>10380</v>
      </c>
      <c r="D57" s="674">
        <v>9957</v>
      </c>
      <c r="E57" s="666">
        <v>87</v>
      </c>
      <c r="F57" s="666">
        <v>336</v>
      </c>
      <c r="G57" s="630">
        <v>70</v>
      </c>
      <c r="H57" s="622">
        <v>5940</v>
      </c>
      <c r="I57" s="622">
        <v>3260</v>
      </c>
      <c r="J57" s="623">
        <v>5687</v>
      </c>
      <c r="K57" s="632">
        <v>0</v>
      </c>
      <c r="L57" s="622">
        <v>0</v>
      </c>
      <c r="M57" s="617">
        <v>0</v>
      </c>
      <c r="N57" s="670">
        <f t="shared" si="11"/>
        <v>9270</v>
      </c>
      <c r="O57" s="671">
        <f t="shared" si="12"/>
        <v>11697</v>
      </c>
      <c r="P57" s="672">
        <f t="shared" si="7"/>
        <v>115156.39480709237</v>
      </c>
      <c r="Q57" s="52">
        <f t="shared" si="8"/>
        <v>93079.394807092365</v>
      </c>
      <c r="R57" s="119" t="s">
        <v>472</v>
      </c>
      <c r="S57" s="120">
        <v>7.8442714126807598</v>
      </c>
      <c r="T57" s="120">
        <v>4.642736960179473</v>
      </c>
      <c r="U57" s="120">
        <v>6.6857142857143002</v>
      </c>
      <c r="V57" s="110"/>
      <c r="W57" s="121">
        <f t="shared" si="9"/>
        <v>6.8442714126807598</v>
      </c>
      <c r="X57" s="121">
        <f t="shared" si="9"/>
        <v>3.642736960179473</v>
      </c>
      <c r="Y57" s="121">
        <f t="shared" si="9"/>
        <v>5.6857142857143002</v>
      </c>
      <c r="Z57" s="122"/>
      <c r="AA57" s="110">
        <v>52</v>
      </c>
      <c r="AB57" s="123"/>
      <c r="AC57" s="123"/>
      <c r="AD57" s="110"/>
      <c r="AE57" s="110"/>
      <c r="AF57" s="110"/>
      <c r="AG57" s="110"/>
      <c r="AH57" s="110"/>
      <c r="AI57" s="106"/>
      <c r="AJ57" s="106"/>
      <c r="AK57" s="106"/>
      <c r="AL57" s="106"/>
      <c r="AM57" s="106"/>
      <c r="AN57" s="106"/>
      <c r="AO57" s="106"/>
      <c r="AP57" s="106"/>
      <c r="AQ57" s="106"/>
    </row>
    <row r="58" spans="1:43" s="36" customFormat="1">
      <c r="A58" s="124">
        <f t="shared" si="10"/>
        <v>48</v>
      </c>
      <c r="B58" s="125" t="s">
        <v>491</v>
      </c>
      <c r="C58" s="678">
        <f t="shared" si="13"/>
        <v>36954</v>
      </c>
      <c r="D58" s="674">
        <v>36143</v>
      </c>
      <c r="E58" s="666">
        <v>740</v>
      </c>
      <c r="F58" s="666">
        <v>71</v>
      </c>
      <c r="G58" s="630">
        <v>246</v>
      </c>
      <c r="H58" s="622">
        <v>20783</v>
      </c>
      <c r="I58" s="622">
        <v>6884</v>
      </c>
      <c r="J58" s="623">
        <v>7957</v>
      </c>
      <c r="K58" s="632">
        <v>3</v>
      </c>
      <c r="L58" s="622">
        <v>4</v>
      </c>
      <c r="M58" s="617">
        <v>11</v>
      </c>
      <c r="N58" s="670">
        <f t="shared" si="11"/>
        <v>27920</v>
      </c>
      <c r="O58" s="671">
        <f t="shared" si="12"/>
        <v>29000</v>
      </c>
      <c r="P58" s="672">
        <f t="shared" si="7"/>
        <v>136199.2549303766</v>
      </c>
      <c r="Q58" s="52">
        <f t="shared" si="8"/>
        <v>70245.254930376599</v>
      </c>
      <c r="R58" s="119" t="s">
        <v>473</v>
      </c>
      <c r="S58" s="120">
        <v>2.21604221635884</v>
      </c>
      <c r="T58" s="120">
        <v>2.1969942196531793</v>
      </c>
      <c r="U58" s="120">
        <v>2.75</v>
      </c>
      <c r="V58" s="110"/>
      <c r="W58" s="121">
        <f t="shared" si="9"/>
        <v>1.21604221635884</v>
      </c>
      <c r="X58" s="121">
        <f t="shared" si="9"/>
        <v>1.1969942196531793</v>
      </c>
      <c r="Y58" s="121">
        <f t="shared" si="9"/>
        <v>1.75</v>
      </c>
      <c r="Z58" s="122"/>
      <c r="AA58" s="110">
        <v>243</v>
      </c>
      <c r="AB58" s="123"/>
      <c r="AC58" s="123"/>
      <c r="AD58" s="110"/>
      <c r="AE58" s="110"/>
      <c r="AF58" s="110"/>
      <c r="AG58" s="110"/>
      <c r="AH58" s="110"/>
      <c r="AI58" s="106"/>
      <c r="AJ58" s="106"/>
      <c r="AK58" s="106"/>
      <c r="AL58" s="106"/>
      <c r="AM58" s="106"/>
      <c r="AN58" s="106"/>
      <c r="AO58" s="106"/>
      <c r="AP58" s="106"/>
      <c r="AQ58" s="106"/>
    </row>
    <row r="59" spans="1:43" s="36" customFormat="1">
      <c r="A59" s="126">
        <f t="shared" si="10"/>
        <v>49</v>
      </c>
      <c r="B59" s="127" t="s">
        <v>492</v>
      </c>
      <c r="C59" s="678">
        <f t="shared" si="13"/>
        <v>4452</v>
      </c>
      <c r="D59" s="674">
        <v>4063</v>
      </c>
      <c r="E59" s="666">
        <v>63</v>
      </c>
      <c r="F59" s="666">
        <v>326</v>
      </c>
      <c r="G59" s="630">
        <v>32</v>
      </c>
      <c r="H59" s="622">
        <v>2743</v>
      </c>
      <c r="I59" s="622">
        <v>1403</v>
      </c>
      <c r="J59" s="623">
        <v>2271</v>
      </c>
      <c r="K59" s="632">
        <v>1</v>
      </c>
      <c r="L59" s="622">
        <v>0</v>
      </c>
      <c r="M59" s="617">
        <v>0</v>
      </c>
      <c r="N59" s="670">
        <f t="shared" si="11"/>
        <v>4179</v>
      </c>
      <c r="O59" s="671">
        <f t="shared" si="12"/>
        <v>5047</v>
      </c>
      <c r="P59" s="672">
        <f t="shared" si="7"/>
        <v>40306.440339688488</v>
      </c>
      <c r="Q59" s="52">
        <f t="shared" si="8"/>
        <v>30807.440339688488</v>
      </c>
      <c r="R59" s="119" t="s">
        <v>474</v>
      </c>
      <c r="S59" s="120">
        <v>5.9702349869451696</v>
      </c>
      <c r="T59" s="120">
        <v>4.0949126803340929</v>
      </c>
      <c r="U59" s="120">
        <v>6.9565217391304346</v>
      </c>
      <c r="V59" s="110"/>
      <c r="W59" s="121">
        <f t="shared" si="4"/>
        <v>4.9702349869451696</v>
      </c>
      <c r="X59" s="121">
        <f t="shared" si="4"/>
        <v>3.0949126803340929</v>
      </c>
      <c r="Y59" s="121">
        <f t="shared" si="4"/>
        <v>5.9565217391304346</v>
      </c>
      <c r="Z59" s="122"/>
      <c r="AA59" s="110">
        <v>327</v>
      </c>
      <c r="AB59" s="123"/>
      <c r="AC59" s="123"/>
      <c r="AD59" s="110"/>
      <c r="AE59" s="110"/>
      <c r="AF59" s="110"/>
      <c r="AG59" s="110"/>
      <c r="AH59" s="110"/>
      <c r="AI59" s="106"/>
      <c r="AJ59" s="106"/>
      <c r="AK59" s="106"/>
      <c r="AL59" s="106"/>
      <c r="AM59" s="106"/>
      <c r="AN59" s="106"/>
      <c r="AO59" s="106"/>
      <c r="AP59" s="106"/>
      <c r="AQ59" s="106"/>
    </row>
    <row r="60" spans="1:43" s="36" customFormat="1">
      <c r="A60" s="124">
        <f t="shared" si="6"/>
        <v>50</v>
      </c>
      <c r="B60" s="125" t="s">
        <v>493</v>
      </c>
      <c r="C60" s="678">
        <f t="shared" si="13"/>
        <v>9544</v>
      </c>
      <c r="D60" s="674">
        <v>9131</v>
      </c>
      <c r="E60" s="666">
        <v>358</v>
      </c>
      <c r="F60" s="666">
        <v>55</v>
      </c>
      <c r="G60" s="630">
        <v>112</v>
      </c>
      <c r="H60" s="622">
        <v>8829</v>
      </c>
      <c r="I60" s="622">
        <v>4298</v>
      </c>
      <c r="J60" s="623">
        <v>5050</v>
      </c>
      <c r="K60" s="632">
        <v>0</v>
      </c>
      <c r="L60" s="622">
        <v>3</v>
      </c>
      <c r="M60" s="617">
        <v>7</v>
      </c>
      <c r="N60" s="670">
        <f t="shared" si="11"/>
        <v>13242</v>
      </c>
      <c r="O60" s="671">
        <f t="shared" si="12"/>
        <v>13998</v>
      </c>
      <c r="P60" s="672">
        <f t="shared" si="7"/>
        <v>50482.2112871258</v>
      </c>
      <c r="Q60" s="52">
        <f t="shared" si="8"/>
        <v>26940.2112871258</v>
      </c>
      <c r="R60" s="119" t="s">
        <v>475</v>
      </c>
      <c r="S60" s="120">
        <v>2.56409959467284</v>
      </c>
      <c r="T60" s="120">
        <v>2.331557449831291</v>
      </c>
      <c r="U60" s="120">
        <v>3.2868217054263567</v>
      </c>
      <c r="V60" s="110"/>
      <c r="W60" s="121">
        <f t="shared" si="4"/>
        <v>1.56409959467284</v>
      </c>
      <c r="X60" s="121">
        <f t="shared" si="4"/>
        <v>1.331557449831291</v>
      </c>
      <c r="Y60" s="121">
        <f t="shared" si="4"/>
        <v>2.2868217054263567</v>
      </c>
      <c r="Z60" s="122"/>
      <c r="AA60" s="110">
        <v>35</v>
      </c>
      <c r="AB60" s="123"/>
      <c r="AC60" s="123"/>
      <c r="AD60" s="110"/>
      <c r="AE60" s="110"/>
      <c r="AF60" s="110"/>
      <c r="AG60" s="110"/>
      <c r="AH60" s="110"/>
      <c r="AI60" s="106"/>
      <c r="AJ60" s="106"/>
      <c r="AK60" s="106"/>
      <c r="AL60" s="106"/>
      <c r="AM60" s="106"/>
      <c r="AN60" s="106"/>
      <c r="AO60" s="106"/>
      <c r="AP60" s="106"/>
      <c r="AQ60" s="106"/>
    </row>
    <row r="61" spans="1:43" s="36" customFormat="1">
      <c r="A61" s="124">
        <f t="shared" si="6"/>
        <v>51</v>
      </c>
      <c r="B61" s="125" t="s">
        <v>494</v>
      </c>
      <c r="C61" s="678">
        <f t="shared" si="13"/>
        <v>9026</v>
      </c>
      <c r="D61" s="674">
        <v>8556</v>
      </c>
      <c r="E61" s="666">
        <v>372</v>
      </c>
      <c r="F61" s="666">
        <v>98</v>
      </c>
      <c r="G61" s="630">
        <v>84</v>
      </c>
      <c r="H61" s="622">
        <v>6444</v>
      </c>
      <c r="I61" s="622">
        <v>3732</v>
      </c>
      <c r="J61" s="623">
        <v>4486</v>
      </c>
      <c r="K61" s="632">
        <v>0</v>
      </c>
      <c r="L61" s="622">
        <v>2</v>
      </c>
      <c r="M61" s="617">
        <v>4</v>
      </c>
      <c r="N61" s="670">
        <f t="shared" si="11"/>
        <v>10262</v>
      </c>
      <c r="O61" s="671">
        <f t="shared" si="12"/>
        <v>11018</v>
      </c>
      <c r="P61" s="672">
        <f t="shared" si="7"/>
        <v>60074.606785855649</v>
      </c>
      <c r="Q61" s="52">
        <f t="shared" si="8"/>
        <v>40030.606785855649</v>
      </c>
      <c r="R61" s="119" t="s">
        <v>851</v>
      </c>
      <c r="S61" s="120">
        <v>4.2990563755141542</v>
      </c>
      <c r="T61" s="120">
        <v>2.5609191307445673</v>
      </c>
      <c r="U61" s="120">
        <v>3.3185840707964602</v>
      </c>
      <c r="V61" s="110"/>
      <c r="W61" s="121">
        <f t="shared" si="4"/>
        <v>3.2990563755141542</v>
      </c>
      <c r="X61" s="121">
        <f t="shared" si="4"/>
        <v>1.5609191307445673</v>
      </c>
      <c r="Y61" s="121">
        <f t="shared" si="4"/>
        <v>2.3185840707964602</v>
      </c>
      <c r="Z61" s="122"/>
      <c r="AA61" s="110">
        <v>61</v>
      </c>
      <c r="AB61" s="123"/>
      <c r="AC61" s="123"/>
      <c r="AD61" s="110"/>
      <c r="AE61" s="110"/>
      <c r="AF61" s="110"/>
      <c r="AG61" s="110"/>
      <c r="AH61" s="110"/>
      <c r="AI61" s="106"/>
      <c r="AJ61" s="106"/>
      <c r="AK61" s="106"/>
      <c r="AL61" s="106"/>
      <c r="AM61" s="106"/>
      <c r="AN61" s="106"/>
      <c r="AO61" s="106"/>
      <c r="AP61" s="106"/>
      <c r="AQ61" s="106"/>
    </row>
    <row r="62" spans="1:43" s="36" customFormat="1">
      <c r="A62" s="124">
        <f t="shared" si="6"/>
        <v>52</v>
      </c>
      <c r="B62" s="125" t="s">
        <v>495</v>
      </c>
      <c r="C62" s="678">
        <f t="shared" si="13"/>
        <v>15813</v>
      </c>
      <c r="D62" s="674">
        <v>15256</v>
      </c>
      <c r="E62" s="666">
        <v>422</v>
      </c>
      <c r="F62" s="666">
        <v>135</v>
      </c>
      <c r="G62" s="630">
        <v>162</v>
      </c>
      <c r="H62" s="622">
        <v>13307</v>
      </c>
      <c r="I62" s="622">
        <v>6735</v>
      </c>
      <c r="J62" s="623">
        <v>7893</v>
      </c>
      <c r="K62" s="632">
        <v>3</v>
      </c>
      <c r="L62" s="622">
        <v>3</v>
      </c>
      <c r="M62" s="617">
        <v>9</v>
      </c>
      <c r="N62" s="670">
        <f t="shared" si="11"/>
        <v>20210</v>
      </c>
      <c r="O62" s="671">
        <f t="shared" si="12"/>
        <v>21374</v>
      </c>
      <c r="P62" s="672">
        <f t="shared" si="7"/>
        <v>104812.65874570554</v>
      </c>
      <c r="Q62" s="52">
        <f t="shared" si="8"/>
        <v>67625.658745705543</v>
      </c>
      <c r="R62" s="119" t="s">
        <v>852</v>
      </c>
      <c r="S62" s="120">
        <v>4.0627685410050436</v>
      </c>
      <c r="T62" s="120">
        <v>2.409197751660705</v>
      </c>
      <c r="U62" s="120">
        <v>3.7278106508875739</v>
      </c>
      <c r="V62" s="110"/>
      <c r="W62" s="121">
        <f t="shared" si="4"/>
        <v>3.0627685410050436</v>
      </c>
      <c r="X62" s="121">
        <f t="shared" si="4"/>
        <v>1.409197751660705</v>
      </c>
      <c r="Y62" s="121">
        <f t="shared" si="4"/>
        <v>2.7278106508875739</v>
      </c>
      <c r="Z62" s="122"/>
      <c r="AA62" s="110">
        <v>176</v>
      </c>
      <c r="AB62" s="123"/>
      <c r="AC62" s="123"/>
      <c r="AD62" s="110"/>
      <c r="AE62" s="110"/>
      <c r="AF62" s="110"/>
      <c r="AG62" s="110"/>
      <c r="AH62" s="110"/>
      <c r="AI62" s="106"/>
      <c r="AJ62" s="106"/>
      <c r="AK62" s="106"/>
      <c r="AL62" s="106"/>
      <c r="AM62" s="106"/>
      <c r="AN62" s="106"/>
      <c r="AO62" s="106"/>
      <c r="AP62" s="106"/>
      <c r="AQ62" s="106"/>
    </row>
    <row r="63" spans="1:43" s="36" customFormat="1">
      <c r="A63" s="124">
        <f t="shared" si="6"/>
        <v>53</v>
      </c>
      <c r="B63" s="125" t="s">
        <v>496</v>
      </c>
      <c r="C63" s="678">
        <f t="shared" si="13"/>
        <v>7704</v>
      </c>
      <c r="D63" s="674">
        <v>7350</v>
      </c>
      <c r="E63" s="666">
        <v>286</v>
      </c>
      <c r="F63" s="666">
        <v>68</v>
      </c>
      <c r="G63" s="630">
        <v>55</v>
      </c>
      <c r="H63" s="622">
        <v>4551</v>
      </c>
      <c r="I63" s="622">
        <v>2997</v>
      </c>
      <c r="J63" s="623">
        <v>3786</v>
      </c>
      <c r="K63" s="632">
        <v>1</v>
      </c>
      <c r="L63" s="622">
        <v>0</v>
      </c>
      <c r="M63" s="617">
        <v>0</v>
      </c>
      <c r="N63" s="670">
        <f t="shared" si="11"/>
        <v>7604</v>
      </c>
      <c r="O63" s="671">
        <f t="shared" si="12"/>
        <v>8393</v>
      </c>
      <c r="P63" s="672">
        <f t="shared" si="7"/>
        <v>29935.882870859321</v>
      </c>
      <c r="Q63" s="52">
        <f t="shared" si="8"/>
        <v>13838.882870859321</v>
      </c>
      <c r="R63" s="119" t="s">
        <v>673</v>
      </c>
      <c r="S63" s="120">
        <v>2.06</v>
      </c>
      <c r="T63" s="120">
        <v>2.2271243398943801</v>
      </c>
      <c r="U63" s="120">
        <v>2.6</v>
      </c>
      <c r="V63" s="110"/>
      <c r="W63" s="121">
        <f t="shared" si="4"/>
        <v>1.06</v>
      </c>
      <c r="X63" s="121">
        <f t="shared" si="4"/>
        <v>1.2271243398943801</v>
      </c>
      <c r="Y63" s="121">
        <f t="shared" si="4"/>
        <v>1.6</v>
      </c>
      <c r="Z63" s="122"/>
      <c r="AA63" s="110">
        <v>149</v>
      </c>
      <c r="AB63" s="123"/>
      <c r="AC63" s="123"/>
      <c r="AD63" s="110"/>
      <c r="AE63" s="110"/>
      <c r="AF63" s="110"/>
      <c r="AG63" s="110"/>
      <c r="AH63" s="110"/>
      <c r="AI63" s="106"/>
      <c r="AJ63" s="106"/>
      <c r="AK63" s="106"/>
      <c r="AL63" s="106"/>
      <c r="AM63" s="106"/>
      <c r="AN63" s="106"/>
      <c r="AO63" s="106"/>
      <c r="AP63" s="106"/>
      <c r="AQ63" s="106"/>
    </row>
    <row r="64" spans="1:43" s="36" customFormat="1">
      <c r="A64" s="128">
        <f t="shared" si="6"/>
        <v>54</v>
      </c>
      <c r="B64" s="118" t="s">
        <v>901</v>
      </c>
      <c r="C64" s="678">
        <f t="shared" si="13"/>
        <v>27036</v>
      </c>
      <c r="D64" s="674">
        <v>25938</v>
      </c>
      <c r="E64" s="666">
        <v>977</v>
      </c>
      <c r="F64" s="666">
        <v>121</v>
      </c>
      <c r="G64" s="630">
        <v>243</v>
      </c>
      <c r="H64" s="622">
        <v>17528</v>
      </c>
      <c r="I64" s="622">
        <v>9649</v>
      </c>
      <c r="J64" s="623">
        <v>11669</v>
      </c>
      <c r="K64" s="632">
        <v>2</v>
      </c>
      <c r="L64" s="622">
        <v>0</v>
      </c>
      <c r="M64" s="617">
        <v>0</v>
      </c>
      <c r="N64" s="670">
        <f t="shared" si="11"/>
        <v>27422</v>
      </c>
      <c r="O64" s="671">
        <f t="shared" si="12"/>
        <v>29442</v>
      </c>
      <c r="P64" s="672">
        <f t="shared" si="7"/>
        <v>128578.18461186776</v>
      </c>
      <c r="Q64" s="52">
        <f t="shared" si="8"/>
        <v>72100.184611867764</v>
      </c>
      <c r="R64" s="119" t="s">
        <v>674</v>
      </c>
      <c r="S64" s="120">
        <v>2.7871588366890401</v>
      </c>
      <c r="T64" s="120">
        <v>2.3367324641270302</v>
      </c>
      <c r="U64" s="120">
        <v>2.4498422712933801</v>
      </c>
      <c r="V64" s="110"/>
      <c r="W64" s="121">
        <f t="shared" si="4"/>
        <v>1.7871588366890401</v>
      </c>
      <c r="X64" s="121">
        <f t="shared" si="4"/>
        <v>1.3367324641270302</v>
      </c>
      <c r="Y64" s="121">
        <f t="shared" si="4"/>
        <v>1.4498422712933801</v>
      </c>
      <c r="Z64" s="122"/>
      <c r="AA64" s="110">
        <v>153</v>
      </c>
      <c r="AB64" s="123"/>
      <c r="AC64" s="123"/>
      <c r="AD64" s="110"/>
      <c r="AE64" s="110"/>
      <c r="AF64" s="110"/>
      <c r="AG64" s="110"/>
      <c r="AH64" s="110"/>
      <c r="AI64" s="106"/>
      <c r="AJ64" s="106"/>
      <c r="AK64" s="106"/>
      <c r="AL64" s="106"/>
      <c r="AM64" s="106"/>
      <c r="AN64" s="106"/>
      <c r="AO64" s="106"/>
      <c r="AP64" s="106"/>
      <c r="AQ64" s="106"/>
    </row>
    <row r="65" spans="1:43" s="36" customFormat="1">
      <c r="A65" s="128">
        <f t="shared" si="6"/>
        <v>55</v>
      </c>
      <c r="B65" s="118" t="s">
        <v>902</v>
      </c>
      <c r="C65" s="678">
        <f t="shared" si="13"/>
        <v>31727</v>
      </c>
      <c r="D65" s="674">
        <v>29423</v>
      </c>
      <c r="E65" s="666">
        <v>2051</v>
      </c>
      <c r="F65" s="666">
        <v>253</v>
      </c>
      <c r="G65" s="630">
        <v>334</v>
      </c>
      <c r="H65" s="622">
        <v>22181</v>
      </c>
      <c r="I65" s="622">
        <v>11305</v>
      </c>
      <c r="J65" s="623">
        <v>13597</v>
      </c>
      <c r="K65" s="632">
        <v>5</v>
      </c>
      <c r="L65" s="622">
        <v>4</v>
      </c>
      <c r="M65" s="617">
        <v>10</v>
      </c>
      <c r="N65" s="670">
        <f t="shared" si="11"/>
        <v>33829</v>
      </c>
      <c r="O65" s="671">
        <f t="shared" si="12"/>
        <v>36127</v>
      </c>
      <c r="P65" s="672">
        <f t="shared" si="7"/>
        <v>172216.76654346462</v>
      </c>
      <c r="Q65" s="52">
        <f t="shared" si="8"/>
        <v>104362.76654346462</v>
      </c>
      <c r="R65" s="119" t="s">
        <v>525</v>
      </c>
      <c r="S65" s="120">
        <v>3.3778261461025698</v>
      </c>
      <c r="T65" s="120">
        <v>2.27513818323935</v>
      </c>
      <c r="U65" s="120">
        <v>2.9090909090909092</v>
      </c>
      <c r="V65" s="110"/>
      <c r="W65" s="121">
        <f t="shared" si="4"/>
        <v>2.3778261461025698</v>
      </c>
      <c r="X65" s="121">
        <f t="shared" si="4"/>
        <v>1.27513818323935</v>
      </c>
      <c r="Y65" s="121">
        <f t="shared" si="4"/>
        <v>1.9090909090909092</v>
      </c>
      <c r="Z65" s="122"/>
      <c r="AA65" s="110">
        <v>164</v>
      </c>
      <c r="AB65" s="123"/>
      <c r="AC65" s="123"/>
      <c r="AD65" s="110"/>
      <c r="AE65" s="110"/>
      <c r="AF65" s="110"/>
      <c r="AG65" s="110"/>
      <c r="AH65" s="110"/>
      <c r="AI65" s="106"/>
      <c r="AJ65" s="106"/>
      <c r="AK65" s="106"/>
      <c r="AL65" s="106"/>
      <c r="AM65" s="106"/>
      <c r="AN65" s="106"/>
      <c r="AO65" s="106"/>
      <c r="AP65" s="106"/>
      <c r="AQ65" s="106"/>
    </row>
    <row r="66" spans="1:43" s="36" customFormat="1">
      <c r="A66" s="128">
        <f t="shared" si="6"/>
        <v>56</v>
      </c>
      <c r="B66" s="118" t="s">
        <v>642</v>
      </c>
      <c r="C66" s="678">
        <f t="shared" si="13"/>
        <v>3517</v>
      </c>
      <c r="D66" s="674">
        <v>3271</v>
      </c>
      <c r="E66" s="666">
        <v>81</v>
      </c>
      <c r="F66" s="666">
        <v>165</v>
      </c>
      <c r="G66" s="630">
        <v>33</v>
      </c>
      <c r="H66" s="622">
        <v>1609</v>
      </c>
      <c r="I66" s="622">
        <v>1139</v>
      </c>
      <c r="J66" s="623">
        <v>1802</v>
      </c>
      <c r="K66" s="632">
        <v>0</v>
      </c>
      <c r="L66" s="622">
        <v>3</v>
      </c>
      <c r="M66" s="617">
        <v>12</v>
      </c>
      <c r="N66" s="670">
        <f t="shared" si="11"/>
        <v>2784</v>
      </c>
      <c r="O66" s="671">
        <f t="shared" si="12"/>
        <v>3456</v>
      </c>
      <c r="P66" s="672">
        <f t="shared" si="7"/>
        <v>32113.509325020332</v>
      </c>
      <c r="Q66" s="52">
        <f t="shared" si="8"/>
        <v>25140.509325020332</v>
      </c>
      <c r="R66" s="119" t="s">
        <v>526</v>
      </c>
      <c r="S66" s="120">
        <v>6.7</v>
      </c>
      <c r="T66" s="120">
        <v>4.0605042016806721</v>
      </c>
      <c r="U66" s="120">
        <v>6.129032258064516</v>
      </c>
      <c r="V66" s="110"/>
      <c r="W66" s="121">
        <f t="shared" si="4"/>
        <v>5.7</v>
      </c>
      <c r="X66" s="121">
        <f t="shared" si="4"/>
        <v>3.0605042016806721</v>
      </c>
      <c r="Y66" s="121">
        <f t="shared" si="4"/>
        <v>5.129032258064516</v>
      </c>
      <c r="Z66" s="122"/>
      <c r="AA66" s="110">
        <v>21</v>
      </c>
      <c r="AB66" s="123"/>
      <c r="AC66" s="123"/>
      <c r="AD66" s="110"/>
      <c r="AE66" s="110"/>
      <c r="AF66" s="110"/>
      <c r="AG66" s="110"/>
      <c r="AH66" s="110"/>
      <c r="AI66" s="106"/>
      <c r="AJ66" s="106"/>
      <c r="AK66" s="106"/>
      <c r="AL66" s="106"/>
      <c r="AM66" s="106"/>
      <c r="AN66" s="106"/>
      <c r="AO66" s="106"/>
      <c r="AP66" s="106"/>
      <c r="AQ66" s="106"/>
    </row>
    <row r="67" spans="1:43" s="36" customFormat="1">
      <c r="A67" s="128">
        <f t="shared" si="6"/>
        <v>57</v>
      </c>
      <c r="B67" s="118" t="s">
        <v>109</v>
      </c>
      <c r="C67" s="678">
        <f t="shared" si="13"/>
        <v>5066</v>
      </c>
      <c r="D67" s="674">
        <v>4466</v>
      </c>
      <c r="E67" s="666">
        <v>487</v>
      </c>
      <c r="F67" s="666">
        <v>113</v>
      </c>
      <c r="G67" s="630">
        <v>65</v>
      </c>
      <c r="H67" s="622">
        <v>5017</v>
      </c>
      <c r="I67" s="622">
        <v>2544</v>
      </c>
      <c r="J67" s="623">
        <v>2892</v>
      </c>
      <c r="K67" s="632">
        <v>1</v>
      </c>
      <c r="L67" s="622">
        <v>1</v>
      </c>
      <c r="M67" s="617">
        <v>3</v>
      </c>
      <c r="N67" s="670">
        <f t="shared" si="11"/>
        <v>7628</v>
      </c>
      <c r="O67" s="671">
        <f t="shared" si="12"/>
        <v>7978</v>
      </c>
      <c r="P67" s="672">
        <f t="shared" si="7"/>
        <v>24922.095146998261</v>
      </c>
      <c r="Q67" s="52">
        <f t="shared" si="8"/>
        <v>11878.095146998261</v>
      </c>
      <c r="R67" s="119" t="s">
        <v>527</v>
      </c>
      <c r="S67" s="120">
        <v>2.1615611192930801</v>
      </c>
      <c r="T67" s="120">
        <v>2.1714220601640801</v>
      </c>
      <c r="U67" s="120">
        <v>2.7938775510204099</v>
      </c>
      <c r="V67" s="110"/>
      <c r="W67" s="121">
        <f t="shared" si="4"/>
        <v>1.1615611192930801</v>
      </c>
      <c r="X67" s="121">
        <f t="shared" si="4"/>
        <v>1.1714220601640801</v>
      </c>
      <c r="Y67" s="121">
        <f t="shared" si="4"/>
        <v>1.7938775510204099</v>
      </c>
      <c r="Z67" s="122"/>
      <c r="AA67" s="110">
        <v>150</v>
      </c>
      <c r="AB67" s="123"/>
      <c r="AC67" s="123"/>
      <c r="AD67" s="110"/>
      <c r="AE67" s="110"/>
      <c r="AF67" s="110"/>
      <c r="AG67" s="110"/>
      <c r="AH67" s="110"/>
      <c r="AI67" s="106"/>
      <c r="AJ67" s="106"/>
      <c r="AK67" s="106"/>
      <c r="AL67" s="106"/>
      <c r="AM67" s="106"/>
      <c r="AN67" s="106"/>
      <c r="AO67" s="106"/>
      <c r="AP67" s="106"/>
      <c r="AQ67" s="106"/>
    </row>
    <row r="68" spans="1:43" s="36" customFormat="1">
      <c r="A68" s="128">
        <f>+A67+1</f>
        <v>58</v>
      </c>
      <c r="B68" s="118" t="s">
        <v>110</v>
      </c>
      <c r="C68" s="678">
        <f t="shared" si="13"/>
        <v>13030</v>
      </c>
      <c r="D68" s="674">
        <v>11512</v>
      </c>
      <c r="E68" s="666">
        <v>950</v>
      </c>
      <c r="F68" s="666">
        <v>568</v>
      </c>
      <c r="G68" s="630">
        <v>174</v>
      </c>
      <c r="H68" s="622">
        <v>10603</v>
      </c>
      <c r="I68" s="622">
        <v>6436</v>
      </c>
      <c r="J68" s="623">
        <v>7724</v>
      </c>
      <c r="K68" s="632">
        <v>2</v>
      </c>
      <c r="L68" s="622">
        <v>4</v>
      </c>
      <c r="M68" s="617">
        <v>10</v>
      </c>
      <c r="N68" s="670">
        <f t="shared" si="11"/>
        <v>17219</v>
      </c>
      <c r="O68" s="671">
        <f t="shared" si="12"/>
        <v>18513</v>
      </c>
      <c r="P68" s="672">
        <f t="shared" si="7"/>
        <v>76612.572699698212</v>
      </c>
      <c r="Q68" s="52">
        <f t="shared" si="8"/>
        <v>45069.572699698212</v>
      </c>
      <c r="R68" s="119" t="s">
        <v>724</v>
      </c>
      <c r="S68" s="120">
        <v>3.2379745189807601</v>
      </c>
      <c r="T68" s="120">
        <v>2.4668478903202931</v>
      </c>
      <c r="U68" s="120">
        <v>3.0446927374301702</v>
      </c>
      <c r="V68" s="110"/>
      <c r="W68" s="121">
        <f t="shared" si="4"/>
        <v>2.2379745189807601</v>
      </c>
      <c r="X68" s="121">
        <f t="shared" si="4"/>
        <v>1.4668478903202931</v>
      </c>
      <c r="Y68" s="121">
        <f t="shared" si="4"/>
        <v>2.0446927374301702</v>
      </c>
      <c r="Z68" s="122"/>
      <c r="AA68" s="110">
        <v>139</v>
      </c>
      <c r="AB68" s="123"/>
      <c r="AC68" s="123"/>
      <c r="AD68" s="110"/>
      <c r="AE68" s="110"/>
      <c r="AF68" s="110"/>
      <c r="AG68" s="110"/>
      <c r="AH68" s="110"/>
      <c r="AI68" s="106"/>
      <c r="AJ68" s="106"/>
      <c r="AK68" s="106"/>
      <c r="AL68" s="106"/>
      <c r="AM68" s="106"/>
      <c r="AN68" s="106"/>
      <c r="AO68" s="106"/>
      <c r="AP68" s="106"/>
      <c r="AQ68" s="106"/>
    </row>
    <row r="69" spans="1:43" s="36" customFormat="1">
      <c r="A69" s="128">
        <f>+A68+1</f>
        <v>59</v>
      </c>
      <c r="B69" s="118" t="s">
        <v>111</v>
      </c>
      <c r="C69" s="678">
        <f t="shared" si="13"/>
        <v>25152</v>
      </c>
      <c r="D69" s="674">
        <v>24143</v>
      </c>
      <c r="E69" s="666">
        <v>921</v>
      </c>
      <c r="F69" s="666">
        <v>88</v>
      </c>
      <c r="G69" s="630">
        <v>143</v>
      </c>
      <c r="H69" s="622">
        <v>14349</v>
      </c>
      <c r="I69" s="622">
        <v>6587</v>
      </c>
      <c r="J69" s="623">
        <v>7602</v>
      </c>
      <c r="K69" s="632">
        <v>0</v>
      </c>
      <c r="L69" s="622">
        <v>1</v>
      </c>
      <c r="M69" s="617">
        <v>2</v>
      </c>
      <c r="N69" s="670">
        <f t="shared" si="11"/>
        <v>21080</v>
      </c>
      <c r="O69" s="671">
        <f t="shared" si="12"/>
        <v>22096</v>
      </c>
      <c r="P69" s="672">
        <f t="shared" si="7"/>
        <v>100573.10787061718</v>
      </c>
      <c r="Q69" s="52">
        <f t="shared" si="8"/>
        <v>53325.107870617183</v>
      </c>
      <c r="R69" s="119" t="s">
        <v>725</v>
      </c>
      <c r="S69" s="120">
        <v>2.3696237363163202</v>
      </c>
      <c r="T69" s="120">
        <v>2.2981485208291406</v>
      </c>
      <c r="U69" s="120">
        <v>2.7426470588235294</v>
      </c>
      <c r="V69" s="110"/>
      <c r="W69" s="121">
        <f t="shared" si="4"/>
        <v>1.3696237363163202</v>
      </c>
      <c r="X69" s="121">
        <f t="shared" si="4"/>
        <v>1.2981485208291406</v>
      </c>
      <c r="Y69" s="121">
        <f t="shared" si="4"/>
        <v>1.7426470588235294</v>
      </c>
      <c r="Z69" s="122"/>
      <c r="AA69" s="110">
        <v>78</v>
      </c>
      <c r="AB69" s="123"/>
      <c r="AC69" s="123"/>
      <c r="AD69" s="110"/>
      <c r="AE69" s="110"/>
      <c r="AF69" s="110"/>
      <c r="AG69" s="110"/>
      <c r="AH69" s="110"/>
      <c r="AI69" s="106"/>
      <c r="AJ69" s="106"/>
      <c r="AK69" s="106"/>
      <c r="AL69" s="106"/>
      <c r="AM69" s="106"/>
      <c r="AN69" s="106"/>
      <c r="AO69" s="106"/>
      <c r="AP69" s="106"/>
      <c r="AQ69" s="106"/>
    </row>
    <row r="70" spans="1:43" s="36" customFormat="1">
      <c r="A70" s="128">
        <f t="shared" ref="A70:A91" si="14">+A69+1</f>
        <v>60</v>
      </c>
      <c r="B70" s="118" t="s">
        <v>528</v>
      </c>
      <c r="C70" s="678">
        <f t="shared" si="13"/>
        <v>13229</v>
      </c>
      <c r="D70" s="674">
        <v>12150</v>
      </c>
      <c r="E70" s="666">
        <v>731</v>
      </c>
      <c r="F70" s="666">
        <v>348</v>
      </c>
      <c r="G70" s="630">
        <v>162</v>
      </c>
      <c r="H70" s="622">
        <v>9446</v>
      </c>
      <c r="I70" s="622">
        <v>6012</v>
      </c>
      <c r="J70" s="623">
        <v>6903</v>
      </c>
      <c r="K70" s="632">
        <v>2</v>
      </c>
      <c r="L70" s="622">
        <v>3</v>
      </c>
      <c r="M70" s="617">
        <v>10</v>
      </c>
      <c r="N70" s="670">
        <f t="shared" si="11"/>
        <v>15625</v>
      </c>
      <c r="O70" s="671">
        <f t="shared" si="12"/>
        <v>16523</v>
      </c>
      <c r="P70" s="672">
        <f t="shared" si="7"/>
        <v>97270.414593077527</v>
      </c>
      <c r="Q70" s="52">
        <f t="shared" si="8"/>
        <v>67518.414593077527</v>
      </c>
      <c r="R70" s="119" t="s">
        <v>862</v>
      </c>
      <c r="S70" s="120">
        <v>5.1214775582263901</v>
      </c>
      <c r="T70" s="120">
        <v>2.3370165745856353</v>
      </c>
      <c r="U70" s="120">
        <v>3.2588235294117647</v>
      </c>
      <c r="V70" s="110"/>
      <c r="W70" s="121">
        <f t="shared" si="4"/>
        <v>4.1214775582263901</v>
      </c>
      <c r="X70" s="121">
        <f t="shared" si="4"/>
        <v>1.3370165745856353</v>
      </c>
      <c r="Y70" s="121">
        <f t="shared" si="4"/>
        <v>2.2588235294117647</v>
      </c>
      <c r="Z70" s="122"/>
      <c r="AA70" s="110">
        <v>175</v>
      </c>
      <c r="AB70" s="123"/>
      <c r="AC70" s="123"/>
      <c r="AD70" s="110"/>
      <c r="AE70" s="110"/>
      <c r="AF70" s="110"/>
      <c r="AG70" s="110"/>
      <c r="AH70" s="110"/>
      <c r="AI70" s="106"/>
      <c r="AJ70" s="106"/>
      <c r="AK70" s="106"/>
      <c r="AL70" s="106"/>
      <c r="AM70" s="106"/>
      <c r="AN70" s="106"/>
      <c r="AO70" s="106"/>
      <c r="AP70" s="106"/>
      <c r="AQ70" s="106"/>
    </row>
    <row r="71" spans="1:43" s="36" customFormat="1">
      <c r="A71" s="128">
        <f t="shared" si="14"/>
        <v>61</v>
      </c>
      <c r="B71" s="118" t="s">
        <v>529</v>
      </c>
      <c r="C71" s="678">
        <f t="shared" si="13"/>
        <v>18667</v>
      </c>
      <c r="D71" s="674">
        <v>17925</v>
      </c>
      <c r="E71" s="666">
        <v>665</v>
      </c>
      <c r="F71" s="666">
        <v>77</v>
      </c>
      <c r="G71" s="630">
        <v>165</v>
      </c>
      <c r="H71" s="622">
        <v>14778</v>
      </c>
      <c r="I71" s="622">
        <v>7519</v>
      </c>
      <c r="J71" s="623">
        <v>9057</v>
      </c>
      <c r="K71" s="632">
        <v>0</v>
      </c>
      <c r="L71" s="622">
        <v>1</v>
      </c>
      <c r="M71" s="617">
        <v>3</v>
      </c>
      <c r="N71" s="670">
        <f t="shared" si="11"/>
        <v>22463</v>
      </c>
      <c r="O71" s="671">
        <f t="shared" si="12"/>
        <v>24003</v>
      </c>
      <c r="P71" s="672">
        <f t="shared" si="7"/>
        <v>108153.80748383011</v>
      </c>
      <c r="Q71" s="52">
        <f t="shared" si="8"/>
        <v>65483.807483830111</v>
      </c>
      <c r="R71" s="119" t="s">
        <v>598</v>
      </c>
      <c r="S71" s="120">
        <v>3.3484186064831198</v>
      </c>
      <c r="T71" s="120">
        <v>2.4448615281948616</v>
      </c>
      <c r="U71" s="120">
        <v>2.7800829875518671</v>
      </c>
      <c r="V71" s="110"/>
      <c r="W71" s="121">
        <f t="shared" si="4"/>
        <v>2.3484186064831198</v>
      </c>
      <c r="X71" s="121">
        <f t="shared" si="4"/>
        <v>1.4448615281948616</v>
      </c>
      <c r="Y71" s="121">
        <f t="shared" si="4"/>
        <v>1.7800829875518671</v>
      </c>
      <c r="Z71" s="122"/>
      <c r="AA71" s="110">
        <v>122</v>
      </c>
      <c r="AB71" s="123"/>
      <c r="AC71" s="123"/>
      <c r="AD71" s="110"/>
      <c r="AE71" s="110"/>
      <c r="AF71" s="110"/>
      <c r="AG71" s="110"/>
      <c r="AH71" s="110"/>
      <c r="AI71" s="106"/>
      <c r="AJ71" s="106"/>
      <c r="AK71" s="106"/>
      <c r="AL71" s="106"/>
      <c r="AM71" s="106"/>
      <c r="AN71" s="106"/>
      <c r="AO71" s="106"/>
      <c r="AP71" s="106"/>
      <c r="AQ71" s="106"/>
    </row>
    <row r="72" spans="1:43" s="139" customFormat="1">
      <c r="A72" s="128">
        <f t="shared" si="14"/>
        <v>62</v>
      </c>
      <c r="B72" s="118" t="s">
        <v>530</v>
      </c>
      <c r="C72" s="678">
        <f t="shared" si="13"/>
        <v>1937</v>
      </c>
      <c r="D72" s="674">
        <v>1744</v>
      </c>
      <c r="E72" s="666">
        <v>16</v>
      </c>
      <c r="F72" s="666">
        <v>177</v>
      </c>
      <c r="G72" s="630">
        <v>22</v>
      </c>
      <c r="H72" s="622">
        <v>1182</v>
      </c>
      <c r="I72" s="622">
        <v>776</v>
      </c>
      <c r="J72" s="623">
        <v>973</v>
      </c>
      <c r="K72" s="632">
        <v>0</v>
      </c>
      <c r="L72" s="622">
        <v>0</v>
      </c>
      <c r="M72" s="617">
        <v>0</v>
      </c>
      <c r="N72" s="670">
        <f t="shared" si="11"/>
        <v>1980</v>
      </c>
      <c r="O72" s="671">
        <f t="shared" si="12"/>
        <v>2177</v>
      </c>
      <c r="P72" s="672">
        <f t="shared" si="7"/>
        <v>7291.3846153846152</v>
      </c>
      <c r="Q72" s="67">
        <f t="shared" si="8"/>
        <v>3177.3846153846152</v>
      </c>
      <c r="R72" s="189" t="s">
        <v>599</v>
      </c>
      <c r="S72" s="140">
        <v>2</v>
      </c>
      <c r="T72" s="140">
        <v>2</v>
      </c>
      <c r="U72" s="140">
        <v>3.6538461538461537</v>
      </c>
      <c r="W72" s="141">
        <f t="shared" si="4"/>
        <v>1</v>
      </c>
      <c r="X72" s="141">
        <f t="shared" si="4"/>
        <v>1</v>
      </c>
      <c r="Y72" s="141">
        <f t="shared" si="4"/>
        <v>2.6538461538461537</v>
      </c>
      <c r="Z72" s="190"/>
      <c r="AA72" s="139">
        <v>97</v>
      </c>
      <c r="AB72" s="191"/>
      <c r="AC72" s="191"/>
      <c r="AI72" s="192"/>
      <c r="AJ72" s="192"/>
      <c r="AK72" s="192"/>
      <c r="AL72" s="192"/>
      <c r="AM72" s="192"/>
      <c r="AN72" s="192"/>
      <c r="AO72" s="192"/>
      <c r="AP72" s="192"/>
      <c r="AQ72" s="192"/>
    </row>
    <row r="73" spans="1:43" s="139" customFormat="1">
      <c r="A73" s="128">
        <f t="shared" si="14"/>
        <v>63</v>
      </c>
      <c r="B73" s="118" t="s">
        <v>510</v>
      </c>
      <c r="C73" s="678">
        <f t="shared" si="13"/>
        <v>31244</v>
      </c>
      <c r="D73" s="674">
        <v>30283</v>
      </c>
      <c r="E73" s="666">
        <v>267</v>
      </c>
      <c r="F73" s="666">
        <v>694</v>
      </c>
      <c r="G73" s="630">
        <v>150</v>
      </c>
      <c r="H73" s="622">
        <v>9398</v>
      </c>
      <c r="I73" s="622">
        <v>5975</v>
      </c>
      <c r="J73" s="623">
        <v>9741</v>
      </c>
      <c r="K73" s="632">
        <v>2</v>
      </c>
      <c r="L73" s="622">
        <v>5</v>
      </c>
      <c r="M73" s="617">
        <v>25</v>
      </c>
      <c r="N73" s="670">
        <f t="shared" si="11"/>
        <v>15530</v>
      </c>
      <c r="O73" s="671">
        <f t="shared" si="12"/>
        <v>19316</v>
      </c>
      <c r="P73" s="672">
        <f t="shared" si="7"/>
        <v>295130.45749409398</v>
      </c>
      <c r="Q73" s="67">
        <f t="shared" si="8"/>
        <v>244570.45749409398</v>
      </c>
      <c r="R73" s="189" t="s">
        <v>600</v>
      </c>
      <c r="S73" s="140">
        <v>7.3309452993663502</v>
      </c>
      <c r="T73" s="140">
        <v>5.8578317259727299</v>
      </c>
      <c r="U73" s="140">
        <v>8.4166666666666661</v>
      </c>
      <c r="W73" s="141">
        <f t="shared" si="4"/>
        <v>6.3309452993663502</v>
      </c>
      <c r="X73" s="141">
        <f t="shared" si="4"/>
        <v>4.8578317259727299</v>
      </c>
      <c r="Y73" s="141">
        <f t="shared" si="4"/>
        <v>7.4166666666666661</v>
      </c>
      <c r="Z73" s="190"/>
      <c r="AA73" s="139">
        <v>24</v>
      </c>
      <c r="AB73" s="191"/>
      <c r="AC73" s="191"/>
      <c r="AI73" s="192"/>
      <c r="AJ73" s="192"/>
      <c r="AK73" s="192"/>
      <c r="AL73" s="192"/>
      <c r="AM73" s="192"/>
      <c r="AN73" s="192"/>
      <c r="AO73" s="192"/>
      <c r="AP73" s="192"/>
      <c r="AQ73" s="192"/>
    </row>
    <row r="74" spans="1:43" s="36" customFormat="1">
      <c r="A74" s="128">
        <f t="shared" si="14"/>
        <v>64</v>
      </c>
      <c r="B74" s="118" t="s">
        <v>511</v>
      </c>
      <c r="C74" s="678">
        <f t="shared" si="13"/>
        <v>12156</v>
      </c>
      <c r="D74" s="674">
        <v>11106</v>
      </c>
      <c r="E74" s="666">
        <v>959</v>
      </c>
      <c r="F74" s="666">
        <v>91</v>
      </c>
      <c r="G74" s="630">
        <v>153</v>
      </c>
      <c r="H74" s="622">
        <v>9308</v>
      </c>
      <c r="I74" s="622">
        <v>3995</v>
      </c>
      <c r="J74" s="623">
        <v>4548</v>
      </c>
      <c r="K74" s="632">
        <v>2</v>
      </c>
      <c r="L74" s="622">
        <v>2</v>
      </c>
      <c r="M74" s="617">
        <v>2</v>
      </c>
      <c r="N74" s="670">
        <f t="shared" si="11"/>
        <v>13460</v>
      </c>
      <c r="O74" s="671">
        <f t="shared" si="12"/>
        <v>14013</v>
      </c>
      <c r="P74" s="672">
        <f t="shared" si="7"/>
        <v>49801.988206980335</v>
      </c>
      <c r="Q74" s="52">
        <f t="shared" si="8"/>
        <v>23632.988206980335</v>
      </c>
      <c r="R74" s="119" t="s">
        <v>373</v>
      </c>
      <c r="S74" s="120">
        <v>2.0610407876230701</v>
      </c>
      <c r="T74" s="120">
        <v>2.1259434660352228</v>
      </c>
      <c r="U74" s="120">
        <v>2.6646706586826348</v>
      </c>
      <c r="V74" s="110"/>
      <c r="W74" s="121">
        <f t="shared" si="4"/>
        <v>1.0610407876230701</v>
      </c>
      <c r="X74" s="121">
        <f t="shared" si="4"/>
        <v>1.1259434660352228</v>
      </c>
      <c r="Y74" s="121">
        <f t="shared" si="4"/>
        <v>1.6646706586826348</v>
      </c>
      <c r="Z74" s="122"/>
      <c r="AA74" s="110">
        <v>93</v>
      </c>
      <c r="AB74" s="123"/>
      <c r="AC74" s="123"/>
      <c r="AD74" s="110"/>
      <c r="AE74" s="110"/>
      <c r="AF74" s="110"/>
      <c r="AG74" s="110"/>
      <c r="AH74" s="110"/>
      <c r="AI74" s="106"/>
      <c r="AJ74" s="106"/>
      <c r="AK74" s="106"/>
      <c r="AL74" s="106"/>
      <c r="AM74" s="106"/>
      <c r="AN74" s="106"/>
      <c r="AO74" s="106"/>
      <c r="AP74" s="106"/>
      <c r="AQ74" s="106"/>
    </row>
    <row r="75" spans="1:43" s="36" customFormat="1">
      <c r="A75" s="128">
        <f t="shared" si="14"/>
        <v>65</v>
      </c>
      <c r="B75" s="118" t="s">
        <v>512</v>
      </c>
      <c r="C75" s="678">
        <f t="shared" si="13"/>
        <v>13841</v>
      </c>
      <c r="D75" s="674">
        <v>13211</v>
      </c>
      <c r="E75" s="666">
        <v>262</v>
      </c>
      <c r="F75" s="666">
        <v>368</v>
      </c>
      <c r="G75" s="630">
        <v>76</v>
      </c>
      <c r="H75" s="622">
        <v>5166</v>
      </c>
      <c r="I75" s="622">
        <v>2955</v>
      </c>
      <c r="J75" s="623">
        <v>4813</v>
      </c>
      <c r="K75" s="632">
        <v>0</v>
      </c>
      <c r="L75" s="622">
        <v>3</v>
      </c>
      <c r="M75" s="617">
        <v>12</v>
      </c>
      <c r="N75" s="670">
        <f t="shared" si="11"/>
        <v>8200</v>
      </c>
      <c r="O75" s="671">
        <f t="shared" si="12"/>
        <v>10067</v>
      </c>
      <c r="P75" s="672">
        <f t="shared" si="7"/>
        <v>128807.18331214187</v>
      </c>
      <c r="Q75" s="52">
        <f t="shared" si="8"/>
        <v>104899.18331214187</v>
      </c>
      <c r="R75" s="119" t="s">
        <v>374</v>
      </c>
      <c r="S75" s="120">
        <v>7.3350747613042699</v>
      </c>
      <c r="T75" s="120">
        <v>4.2362754018804978</v>
      </c>
      <c r="U75" s="120">
        <v>7.5370370370370372</v>
      </c>
      <c r="V75" s="110"/>
      <c r="W75" s="121">
        <f t="shared" si="4"/>
        <v>6.3350747613042699</v>
      </c>
      <c r="X75" s="121">
        <f t="shared" si="4"/>
        <v>3.2362754018804978</v>
      </c>
      <c r="Y75" s="121">
        <f t="shared" si="4"/>
        <v>6.5370370370370372</v>
      </c>
      <c r="Z75" s="122"/>
      <c r="AA75" s="110">
        <v>72</v>
      </c>
      <c r="AB75" s="123"/>
      <c r="AC75" s="123"/>
      <c r="AD75" s="110"/>
      <c r="AE75" s="110"/>
      <c r="AF75" s="110"/>
      <c r="AG75" s="110"/>
      <c r="AH75" s="110"/>
      <c r="AI75" s="106"/>
      <c r="AJ75" s="106"/>
      <c r="AK75" s="106"/>
      <c r="AL75" s="106"/>
      <c r="AM75" s="106"/>
      <c r="AN75" s="106"/>
      <c r="AO75" s="106"/>
      <c r="AP75" s="106"/>
      <c r="AQ75" s="106"/>
    </row>
    <row r="76" spans="1:43" s="36" customFormat="1">
      <c r="A76" s="128">
        <f t="shared" si="14"/>
        <v>66</v>
      </c>
      <c r="B76" s="118" t="s">
        <v>427</v>
      </c>
      <c r="C76" s="678">
        <f t="shared" si="13"/>
        <v>10502</v>
      </c>
      <c r="D76" s="674">
        <v>9779</v>
      </c>
      <c r="E76" s="666">
        <v>413</v>
      </c>
      <c r="F76" s="666">
        <v>310</v>
      </c>
      <c r="G76" s="630">
        <v>161</v>
      </c>
      <c r="H76" s="622">
        <v>11802</v>
      </c>
      <c r="I76" s="622">
        <v>5659</v>
      </c>
      <c r="J76" s="623">
        <v>6725</v>
      </c>
      <c r="K76" s="632">
        <v>2</v>
      </c>
      <c r="L76" s="622">
        <v>3</v>
      </c>
      <c r="M76" s="617">
        <v>7</v>
      </c>
      <c r="N76" s="670">
        <f t="shared" si="11"/>
        <v>17627</v>
      </c>
      <c r="O76" s="671">
        <f t="shared" si="12"/>
        <v>18697</v>
      </c>
      <c r="P76" s="672">
        <f t="shared" si="7"/>
        <v>85294.084711664997</v>
      </c>
      <c r="Q76" s="52">
        <f t="shared" si="8"/>
        <v>56095.084711664997</v>
      </c>
      <c r="R76" s="119" t="s">
        <v>375</v>
      </c>
      <c r="S76" s="120">
        <v>4.371964123752897</v>
      </c>
      <c r="T76" s="120">
        <v>2.7022823084750689</v>
      </c>
      <c r="U76" s="120">
        <v>4.6793893129770989</v>
      </c>
      <c r="V76" s="110"/>
      <c r="W76" s="121">
        <f t="shared" ref="W76:Y92" si="15">+S76-1</f>
        <v>3.371964123752897</v>
      </c>
      <c r="X76" s="121">
        <f t="shared" si="15"/>
        <v>1.7022823084750689</v>
      </c>
      <c r="Y76" s="121">
        <f t="shared" si="15"/>
        <v>3.6793893129770989</v>
      </c>
      <c r="Z76" s="122"/>
      <c r="AA76" s="110">
        <v>52</v>
      </c>
      <c r="AB76" s="123"/>
      <c r="AC76" s="123"/>
      <c r="AD76" s="110"/>
      <c r="AE76" s="110"/>
      <c r="AF76" s="110"/>
      <c r="AG76" s="110"/>
      <c r="AH76" s="110"/>
      <c r="AI76" s="106"/>
      <c r="AJ76" s="106"/>
      <c r="AK76" s="106"/>
      <c r="AL76" s="106"/>
      <c r="AM76" s="106"/>
      <c r="AN76" s="106"/>
      <c r="AO76" s="106"/>
      <c r="AP76" s="106"/>
      <c r="AQ76" s="106"/>
    </row>
    <row r="77" spans="1:43" s="36" customFormat="1">
      <c r="A77" s="128">
        <f t="shared" si="14"/>
        <v>67</v>
      </c>
      <c r="B77" s="118" t="s">
        <v>428</v>
      </c>
      <c r="C77" s="678">
        <f t="shared" si="13"/>
        <v>11300</v>
      </c>
      <c r="D77" s="674">
        <v>10631</v>
      </c>
      <c r="E77" s="666">
        <v>642</v>
      </c>
      <c r="F77" s="666">
        <v>27</v>
      </c>
      <c r="G77" s="630">
        <v>125</v>
      </c>
      <c r="H77" s="622">
        <v>9081</v>
      </c>
      <c r="I77" s="622">
        <v>3118</v>
      </c>
      <c r="J77" s="623">
        <v>3705</v>
      </c>
      <c r="K77" s="632">
        <v>0</v>
      </c>
      <c r="L77" s="622">
        <v>3</v>
      </c>
      <c r="M77" s="617">
        <v>7</v>
      </c>
      <c r="N77" s="670">
        <f t="shared" si="11"/>
        <v>12327</v>
      </c>
      <c r="O77" s="671">
        <f t="shared" si="12"/>
        <v>12918</v>
      </c>
      <c r="P77" s="672">
        <f t="shared" si="7"/>
        <v>44693.291223188004</v>
      </c>
      <c r="Q77" s="52">
        <f t="shared" si="8"/>
        <v>20475.291223188004</v>
      </c>
      <c r="R77" s="119" t="s">
        <v>815</v>
      </c>
      <c r="S77" s="120">
        <v>1.87788208787082</v>
      </c>
      <c r="T77" s="120">
        <v>2.1449058800698602</v>
      </c>
      <c r="U77" s="120">
        <v>2.2666666666666702</v>
      </c>
      <c r="V77" s="110"/>
      <c r="W77" s="121">
        <f t="shared" si="15"/>
        <v>0.87788208787082</v>
      </c>
      <c r="X77" s="121">
        <f t="shared" si="15"/>
        <v>1.1449058800698602</v>
      </c>
      <c r="Y77" s="121">
        <f t="shared" si="15"/>
        <v>1.2666666666666702</v>
      </c>
      <c r="Z77" s="122"/>
      <c r="AA77" s="110">
        <v>22</v>
      </c>
      <c r="AB77" s="123"/>
      <c r="AC77" s="123"/>
      <c r="AD77" s="110"/>
      <c r="AE77" s="110"/>
      <c r="AF77" s="110"/>
      <c r="AG77" s="110"/>
      <c r="AH77" s="110"/>
      <c r="AI77" s="106"/>
      <c r="AJ77" s="106"/>
      <c r="AK77" s="106"/>
      <c r="AL77" s="106"/>
      <c r="AM77" s="106"/>
      <c r="AN77" s="106"/>
      <c r="AO77" s="106"/>
      <c r="AP77" s="106"/>
      <c r="AQ77" s="106"/>
    </row>
    <row r="78" spans="1:43" s="36" customFormat="1">
      <c r="A78" s="124">
        <f t="shared" si="14"/>
        <v>68</v>
      </c>
      <c r="B78" s="118" t="s">
        <v>429</v>
      </c>
      <c r="C78" s="678">
        <f t="shared" si="13"/>
        <v>11119</v>
      </c>
      <c r="D78" s="674">
        <v>10587</v>
      </c>
      <c r="E78" s="666">
        <v>405</v>
      </c>
      <c r="F78" s="666">
        <v>127</v>
      </c>
      <c r="G78" s="630">
        <v>95</v>
      </c>
      <c r="H78" s="622">
        <v>8221</v>
      </c>
      <c r="I78" s="622">
        <v>3409</v>
      </c>
      <c r="J78" s="623">
        <v>4221</v>
      </c>
      <c r="K78" s="632">
        <v>0</v>
      </c>
      <c r="L78" s="622">
        <v>1</v>
      </c>
      <c r="M78" s="617">
        <v>3</v>
      </c>
      <c r="N78" s="670">
        <f t="shared" si="11"/>
        <v>11726</v>
      </c>
      <c r="O78" s="671">
        <f t="shared" si="12"/>
        <v>12540</v>
      </c>
      <c r="P78" s="672">
        <f t="shared" si="7"/>
        <v>89801.9271399563</v>
      </c>
      <c r="Q78" s="52">
        <f t="shared" si="8"/>
        <v>66142.9271399563</v>
      </c>
      <c r="R78" s="119" t="s">
        <v>816</v>
      </c>
      <c r="S78" s="120">
        <v>5.4304888977397203</v>
      </c>
      <c r="T78" s="120">
        <v>2.9976019184652278</v>
      </c>
      <c r="U78" s="120">
        <v>5.8214285714285712</v>
      </c>
      <c r="V78" s="110"/>
      <c r="W78" s="121">
        <f t="shared" si="15"/>
        <v>4.4304888977397203</v>
      </c>
      <c r="X78" s="121">
        <f t="shared" si="15"/>
        <v>1.9976019184652278</v>
      </c>
      <c r="Y78" s="121">
        <f t="shared" si="15"/>
        <v>4.8214285714285712</v>
      </c>
      <c r="Z78" s="122"/>
      <c r="AA78" s="110">
        <v>39</v>
      </c>
      <c r="AB78" s="123"/>
      <c r="AC78" s="123"/>
      <c r="AD78" s="110"/>
      <c r="AE78" s="110"/>
      <c r="AF78" s="110"/>
      <c r="AG78" s="110"/>
      <c r="AH78" s="110"/>
      <c r="AI78" s="106"/>
      <c r="AJ78" s="106"/>
      <c r="AK78" s="106"/>
      <c r="AL78" s="106"/>
      <c r="AM78" s="106"/>
      <c r="AN78" s="106"/>
      <c r="AO78" s="106"/>
      <c r="AP78" s="106"/>
      <c r="AQ78" s="106"/>
    </row>
    <row r="79" spans="1:43" s="36" customFormat="1">
      <c r="A79" s="124">
        <f t="shared" si="14"/>
        <v>69</v>
      </c>
      <c r="B79" s="118" t="s">
        <v>705</v>
      </c>
      <c r="C79" s="678">
        <f t="shared" si="13"/>
        <v>1651</v>
      </c>
      <c r="D79" s="674">
        <v>1528</v>
      </c>
      <c r="E79" s="666">
        <v>61</v>
      </c>
      <c r="F79" s="666">
        <v>62</v>
      </c>
      <c r="G79" s="630">
        <v>21</v>
      </c>
      <c r="H79" s="622">
        <v>1646</v>
      </c>
      <c r="I79" s="622">
        <v>1020</v>
      </c>
      <c r="J79" s="623">
        <v>1240</v>
      </c>
      <c r="K79" s="632">
        <v>0</v>
      </c>
      <c r="L79" s="622">
        <v>0</v>
      </c>
      <c r="M79" s="617">
        <v>0</v>
      </c>
      <c r="N79" s="670">
        <f t="shared" si="11"/>
        <v>2687</v>
      </c>
      <c r="O79" s="671">
        <f t="shared" si="12"/>
        <v>2907</v>
      </c>
      <c r="P79" s="672">
        <f t="shared" si="7"/>
        <v>9682.8956506230661</v>
      </c>
      <c r="Q79" s="52">
        <f t="shared" si="8"/>
        <v>5124.8956506230661</v>
      </c>
      <c r="R79" s="119" t="s">
        <v>85</v>
      </c>
      <c r="S79" s="120">
        <v>2.3944206008583699</v>
      </c>
      <c r="T79" s="120">
        <v>2.6890080428954422</v>
      </c>
      <c r="U79" s="120">
        <v>3.0285714285714285</v>
      </c>
      <c r="V79" s="110"/>
      <c r="W79" s="121">
        <f t="shared" si="15"/>
        <v>1.3944206008583699</v>
      </c>
      <c r="X79" s="121">
        <f t="shared" si="15"/>
        <v>1.6890080428954422</v>
      </c>
      <c r="Y79" s="121">
        <f t="shared" si="15"/>
        <v>2.0285714285714285</v>
      </c>
      <c r="Z79" s="122"/>
      <c r="AA79" s="110">
        <v>20</v>
      </c>
      <c r="AB79" s="123"/>
      <c r="AC79" s="123"/>
      <c r="AD79" s="110"/>
      <c r="AE79" s="110"/>
      <c r="AF79" s="110"/>
      <c r="AG79" s="110"/>
      <c r="AH79" s="110"/>
      <c r="AI79" s="106"/>
      <c r="AJ79" s="106"/>
      <c r="AK79" s="106"/>
      <c r="AL79" s="106"/>
      <c r="AM79" s="106"/>
      <c r="AN79" s="106"/>
      <c r="AO79" s="106"/>
      <c r="AP79" s="106"/>
      <c r="AQ79" s="106"/>
    </row>
    <row r="80" spans="1:43" s="36" customFormat="1">
      <c r="A80" s="124">
        <f t="shared" si="14"/>
        <v>70</v>
      </c>
      <c r="B80" s="118" t="s">
        <v>706</v>
      </c>
      <c r="C80" s="678">
        <f t="shared" si="13"/>
        <v>6794</v>
      </c>
      <c r="D80" s="674">
        <v>6551</v>
      </c>
      <c r="E80" s="666">
        <v>155</v>
      </c>
      <c r="F80" s="666">
        <v>88</v>
      </c>
      <c r="G80" s="630">
        <v>87</v>
      </c>
      <c r="H80" s="622">
        <v>5939</v>
      </c>
      <c r="I80" s="622">
        <v>2440</v>
      </c>
      <c r="J80" s="623">
        <v>2998</v>
      </c>
      <c r="K80" s="632">
        <v>3</v>
      </c>
      <c r="L80" s="622">
        <v>3</v>
      </c>
      <c r="M80" s="617">
        <v>5</v>
      </c>
      <c r="N80" s="670">
        <f t="shared" si="11"/>
        <v>8472</v>
      </c>
      <c r="O80" s="671">
        <f t="shared" si="12"/>
        <v>9032</v>
      </c>
      <c r="P80" s="672">
        <f t="shared" si="7"/>
        <v>40104.537796978286</v>
      </c>
      <c r="Q80" s="52">
        <f t="shared" si="8"/>
        <v>24278.537796978286</v>
      </c>
      <c r="R80" s="119" t="s">
        <v>432</v>
      </c>
      <c r="S80" s="120">
        <v>3.0589407744874699</v>
      </c>
      <c r="T80" s="120">
        <v>2.6892699402442193</v>
      </c>
      <c r="U80" s="120">
        <v>3.96</v>
      </c>
      <c r="V80" s="110"/>
      <c r="W80" s="121">
        <f t="shared" si="15"/>
        <v>2.0589407744874699</v>
      </c>
      <c r="X80" s="121">
        <f t="shared" si="15"/>
        <v>1.6892699402442193</v>
      </c>
      <c r="Y80" s="121">
        <f t="shared" si="15"/>
        <v>2.96</v>
      </c>
      <c r="Z80" s="122"/>
      <c r="AA80" s="110">
        <v>16</v>
      </c>
      <c r="AB80" s="123"/>
      <c r="AC80" s="123"/>
      <c r="AD80" s="110"/>
      <c r="AE80" s="110"/>
      <c r="AF80" s="110"/>
      <c r="AG80" s="110"/>
      <c r="AH80" s="110"/>
      <c r="AI80" s="106"/>
      <c r="AJ80" s="106"/>
      <c r="AK80" s="106"/>
      <c r="AL80" s="106"/>
      <c r="AM80" s="106"/>
      <c r="AN80" s="106"/>
      <c r="AO80" s="106"/>
      <c r="AP80" s="106"/>
      <c r="AQ80" s="106"/>
    </row>
    <row r="81" spans="1:43" s="36" customFormat="1">
      <c r="A81" s="124">
        <f t="shared" si="14"/>
        <v>71</v>
      </c>
      <c r="B81" s="118" t="s">
        <v>707</v>
      </c>
      <c r="C81" s="678">
        <f t="shared" si="13"/>
        <v>5809</v>
      </c>
      <c r="D81" s="674">
        <v>5446</v>
      </c>
      <c r="E81" s="666">
        <v>272</v>
      </c>
      <c r="F81" s="666">
        <v>91</v>
      </c>
      <c r="G81" s="630">
        <v>71</v>
      </c>
      <c r="H81" s="622">
        <v>4066</v>
      </c>
      <c r="I81" s="622">
        <v>2223</v>
      </c>
      <c r="J81" s="623">
        <v>2736</v>
      </c>
      <c r="K81" s="632">
        <v>2</v>
      </c>
      <c r="L81" s="622">
        <v>0</v>
      </c>
      <c r="M81" s="617">
        <v>0</v>
      </c>
      <c r="N81" s="670">
        <f t="shared" si="11"/>
        <v>6362</v>
      </c>
      <c r="O81" s="671">
        <f t="shared" si="12"/>
        <v>6875</v>
      </c>
      <c r="P81" s="672">
        <f t="shared" si="7"/>
        <v>29946.94018543416</v>
      </c>
      <c r="Q81" s="52">
        <f t="shared" si="8"/>
        <v>17262.94018543416</v>
      </c>
      <c r="R81" s="119" t="s">
        <v>433</v>
      </c>
      <c r="S81" s="120">
        <v>2.94929669610729</v>
      </c>
      <c r="T81" s="120">
        <v>2.4215442092154422</v>
      </c>
      <c r="U81" s="120">
        <v>3.2461538461538462</v>
      </c>
      <c r="V81" s="110"/>
      <c r="W81" s="121">
        <f t="shared" si="15"/>
        <v>1.94929669610729</v>
      </c>
      <c r="X81" s="121">
        <f t="shared" si="15"/>
        <v>1.4215442092154422</v>
      </c>
      <c r="Y81" s="121">
        <f t="shared" si="15"/>
        <v>2.2461538461538462</v>
      </c>
      <c r="Z81" s="122"/>
      <c r="AA81" s="110">
        <v>61</v>
      </c>
      <c r="AB81" s="123"/>
      <c r="AC81" s="123"/>
      <c r="AD81" s="110"/>
      <c r="AE81" s="110"/>
      <c r="AF81" s="110"/>
      <c r="AG81" s="110"/>
      <c r="AH81" s="110"/>
      <c r="AI81" s="106"/>
      <c r="AJ81" s="106"/>
      <c r="AK81" s="106"/>
      <c r="AL81" s="106"/>
      <c r="AM81" s="106"/>
      <c r="AN81" s="106"/>
      <c r="AO81" s="106"/>
      <c r="AP81" s="106"/>
      <c r="AQ81" s="106"/>
    </row>
    <row r="82" spans="1:43" s="36" customFormat="1">
      <c r="A82" s="124">
        <f t="shared" si="14"/>
        <v>72</v>
      </c>
      <c r="B82" s="118" t="s">
        <v>708</v>
      </c>
      <c r="C82" s="678">
        <f t="shared" si="13"/>
        <v>6041</v>
      </c>
      <c r="D82" s="674">
        <v>5803</v>
      </c>
      <c r="E82" s="666">
        <v>34</v>
      </c>
      <c r="F82" s="666">
        <v>204</v>
      </c>
      <c r="G82" s="630">
        <v>55</v>
      </c>
      <c r="H82" s="622">
        <v>2159</v>
      </c>
      <c r="I82" s="622">
        <v>1264</v>
      </c>
      <c r="J82" s="623">
        <v>2385</v>
      </c>
      <c r="K82" s="632">
        <v>0</v>
      </c>
      <c r="L82" s="622">
        <v>5</v>
      </c>
      <c r="M82" s="617">
        <v>25</v>
      </c>
      <c r="N82" s="670">
        <f t="shared" si="11"/>
        <v>3483</v>
      </c>
      <c r="O82" s="671">
        <f t="shared" si="12"/>
        <v>4624</v>
      </c>
      <c r="P82" s="672">
        <f t="shared" si="7"/>
        <v>55583.707108509057</v>
      </c>
      <c r="Q82" s="52">
        <f t="shared" si="8"/>
        <v>44918.707108509057</v>
      </c>
      <c r="R82" s="119" t="s">
        <v>434</v>
      </c>
      <c r="S82" s="120">
        <v>6.8097913322632424</v>
      </c>
      <c r="T82" s="120">
        <v>5.1458658346333852</v>
      </c>
      <c r="U82" s="120">
        <v>16.833333333333332</v>
      </c>
      <c r="V82" s="110"/>
      <c r="W82" s="121">
        <f t="shared" si="15"/>
        <v>5.8097913322632424</v>
      </c>
      <c r="X82" s="121">
        <f t="shared" si="15"/>
        <v>4.1458658346333852</v>
      </c>
      <c r="Y82" s="121">
        <f t="shared" si="15"/>
        <v>15.833333333333332</v>
      </c>
      <c r="Z82" s="122"/>
      <c r="AA82" s="110">
        <v>48</v>
      </c>
      <c r="AB82" s="123"/>
      <c r="AC82" s="123"/>
      <c r="AD82" s="110"/>
      <c r="AE82" s="110"/>
      <c r="AF82" s="110"/>
      <c r="AG82" s="110"/>
      <c r="AH82" s="110"/>
      <c r="AI82" s="106"/>
      <c r="AJ82" s="106"/>
      <c r="AK82" s="106"/>
      <c r="AL82" s="106"/>
      <c r="AM82" s="106"/>
      <c r="AN82" s="106"/>
      <c r="AO82" s="106"/>
      <c r="AP82" s="106"/>
      <c r="AQ82" s="106"/>
    </row>
    <row r="83" spans="1:43" s="36" customFormat="1">
      <c r="A83" s="124">
        <f t="shared" si="14"/>
        <v>73</v>
      </c>
      <c r="B83" s="118" t="s">
        <v>709</v>
      </c>
      <c r="C83" s="678">
        <f t="shared" si="13"/>
        <v>4702</v>
      </c>
      <c r="D83" s="674">
        <v>4527</v>
      </c>
      <c r="E83" s="666">
        <v>18</v>
      </c>
      <c r="F83" s="666">
        <v>157</v>
      </c>
      <c r="G83" s="630">
        <v>22</v>
      </c>
      <c r="H83" s="622">
        <v>1183</v>
      </c>
      <c r="I83" s="622">
        <v>782</v>
      </c>
      <c r="J83" s="623">
        <v>1794</v>
      </c>
      <c r="K83" s="632">
        <v>0</v>
      </c>
      <c r="L83" s="622">
        <v>6</v>
      </c>
      <c r="M83" s="617">
        <v>35</v>
      </c>
      <c r="N83" s="670">
        <f t="shared" si="11"/>
        <v>1993</v>
      </c>
      <c r="O83" s="671">
        <f t="shared" si="12"/>
        <v>3034</v>
      </c>
      <c r="P83" s="672">
        <f t="shared" si="7"/>
        <v>50371.401626138853</v>
      </c>
      <c r="Q83" s="52">
        <f t="shared" si="8"/>
        <v>42635.401626138853</v>
      </c>
      <c r="R83" s="119" t="s">
        <v>435</v>
      </c>
      <c r="S83" s="120">
        <v>8.8833229231730204</v>
      </c>
      <c r="T83" s="120">
        <v>5.4137931034482758</v>
      </c>
      <c r="U83" s="120">
        <v>16.75</v>
      </c>
      <c r="V83" s="110"/>
      <c r="W83" s="121">
        <f t="shared" si="15"/>
        <v>7.8833229231730204</v>
      </c>
      <c r="X83" s="121">
        <f t="shared" si="15"/>
        <v>4.4137931034482758</v>
      </c>
      <c r="Y83" s="121">
        <f t="shared" si="15"/>
        <v>15.75</v>
      </c>
      <c r="Z83" s="122"/>
      <c r="AA83" s="110">
        <v>33</v>
      </c>
      <c r="AB83" s="123"/>
      <c r="AC83" s="123"/>
      <c r="AD83" s="110"/>
      <c r="AE83" s="110"/>
      <c r="AF83" s="110"/>
      <c r="AG83" s="110"/>
      <c r="AH83" s="110"/>
      <c r="AI83" s="106"/>
      <c r="AJ83" s="106"/>
      <c r="AK83" s="106"/>
      <c r="AL83" s="106"/>
      <c r="AM83" s="106"/>
      <c r="AN83" s="106"/>
      <c r="AO83" s="106"/>
      <c r="AP83" s="106"/>
      <c r="AQ83" s="106"/>
    </row>
    <row r="84" spans="1:43" s="36" customFormat="1">
      <c r="A84" s="124">
        <f t="shared" si="14"/>
        <v>74</v>
      </c>
      <c r="B84" s="118" t="s">
        <v>710</v>
      </c>
      <c r="C84" s="678">
        <f t="shared" si="13"/>
        <v>4310</v>
      </c>
      <c r="D84" s="674">
        <v>4051</v>
      </c>
      <c r="E84" s="666">
        <v>241</v>
      </c>
      <c r="F84" s="666">
        <v>18</v>
      </c>
      <c r="G84" s="630">
        <v>39</v>
      </c>
      <c r="H84" s="622">
        <v>2987</v>
      </c>
      <c r="I84" s="622">
        <v>1276</v>
      </c>
      <c r="J84" s="623">
        <v>1477</v>
      </c>
      <c r="K84" s="632">
        <v>1</v>
      </c>
      <c r="L84" s="622">
        <v>1</v>
      </c>
      <c r="M84" s="617">
        <v>2</v>
      </c>
      <c r="N84" s="670">
        <f t="shared" si="11"/>
        <v>4304</v>
      </c>
      <c r="O84" s="671">
        <f t="shared" si="12"/>
        <v>4506</v>
      </c>
      <c r="P84" s="672">
        <f t="shared" si="7"/>
        <v>16107.664223370895</v>
      </c>
      <c r="Q84" s="52">
        <f t="shared" si="8"/>
        <v>7291.6642233708953</v>
      </c>
      <c r="R84" s="119" t="s">
        <v>257</v>
      </c>
      <c r="S84" s="120">
        <v>1.97</v>
      </c>
      <c r="T84" s="120">
        <v>2.0101654581087698</v>
      </c>
      <c r="U84" s="120">
        <v>3.4</v>
      </c>
      <c r="V84" s="110"/>
      <c r="W84" s="121">
        <f t="shared" si="15"/>
        <v>0.97</v>
      </c>
      <c r="X84" s="121">
        <f t="shared" si="15"/>
        <v>1.0101654581087698</v>
      </c>
      <c r="Y84" s="121">
        <f t="shared" si="15"/>
        <v>2.4</v>
      </c>
      <c r="Z84" s="122"/>
      <c r="AA84" s="110">
        <v>120</v>
      </c>
      <c r="AB84" s="123"/>
      <c r="AC84" s="123"/>
      <c r="AD84" s="110"/>
      <c r="AE84" s="110"/>
      <c r="AF84" s="110"/>
      <c r="AG84" s="110"/>
      <c r="AH84" s="110"/>
      <c r="AI84" s="106"/>
      <c r="AJ84" s="106"/>
      <c r="AK84" s="106"/>
      <c r="AL84" s="106"/>
      <c r="AM84" s="106"/>
      <c r="AN84" s="106"/>
      <c r="AO84" s="106"/>
      <c r="AP84" s="106"/>
      <c r="AQ84" s="106"/>
    </row>
    <row r="85" spans="1:43" s="36" customFormat="1">
      <c r="A85" s="124">
        <f t="shared" si="14"/>
        <v>75</v>
      </c>
      <c r="B85" s="118" t="s">
        <v>711</v>
      </c>
      <c r="C85" s="678">
        <f t="shared" si="13"/>
        <v>2028</v>
      </c>
      <c r="D85" s="674">
        <v>1850</v>
      </c>
      <c r="E85" s="666">
        <v>39</v>
      </c>
      <c r="F85" s="666">
        <v>139</v>
      </c>
      <c r="G85" s="630">
        <v>18</v>
      </c>
      <c r="H85" s="622">
        <v>1655</v>
      </c>
      <c r="I85" s="622">
        <v>1084</v>
      </c>
      <c r="J85" s="623">
        <v>1305</v>
      </c>
      <c r="K85" s="632">
        <v>0</v>
      </c>
      <c r="L85" s="622">
        <v>0</v>
      </c>
      <c r="M85" s="617">
        <v>0</v>
      </c>
      <c r="N85" s="670">
        <f t="shared" si="11"/>
        <v>2757</v>
      </c>
      <c r="O85" s="671">
        <f t="shared" si="12"/>
        <v>2978</v>
      </c>
      <c r="P85" s="672">
        <f t="shared" si="7"/>
        <v>16950.557552151517</v>
      </c>
      <c r="Q85" s="52">
        <f t="shared" si="8"/>
        <v>11944.557552151517</v>
      </c>
      <c r="R85" s="119" t="s">
        <v>258</v>
      </c>
      <c r="S85" s="120">
        <v>5.2653399668325003</v>
      </c>
      <c r="T85" s="120">
        <v>2.9532163742690059</v>
      </c>
      <c r="U85" s="120">
        <v>4.4375</v>
      </c>
      <c r="V85" s="110"/>
      <c r="W85" s="121">
        <f t="shared" si="15"/>
        <v>4.2653399668325003</v>
      </c>
      <c r="X85" s="121">
        <f t="shared" si="15"/>
        <v>1.9532163742690059</v>
      </c>
      <c r="Y85" s="121">
        <f t="shared" si="15"/>
        <v>3.4375</v>
      </c>
      <c r="Z85" s="122"/>
      <c r="AA85" s="110">
        <v>124</v>
      </c>
      <c r="AB85" s="123"/>
      <c r="AC85" s="123"/>
      <c r="AD85" s="110"/>
      <c r="AE85" s="110"/>
      <c r="AF85" s="110"/>
      <c r="AG85" s="110"/>
      <c r="AH85" s="110"/>
      <c r="AI85" s="106"/>
      <c r="AJ85" s="106"/>
      <c r="AK85" s="106"/>
      <c r="AL85" s="106"/>
      <c r="AM85" s="106"/>
      <c r="AN85" s="106"/>
      <c r="AO85" s="106"/>
      <c r="AP85" s="106"/>
      <c r="AQ85" s="106"/>
    </row>
    <row r="86" spans="1:43" s="36" customFormat="1">
      <c r="A86" s="124">
        <f t="shared" si="14"/>
        <v>76</v>
      </c>
      <c r="B86" s="125" t="s">
        <v>712</v>
      </c>
      <c r="C86" s="678">
        <f t="shared" si="13"/>
        <v>3604</v>
      </c>
      <c r="D86" s="674">
        <v>3457</v>
      </c>
      <c r="E86" s="666">
        <v>46</v>
      </c>
      <c r="F86" s="666">
        <v>101</v>
      </c>
      <c r="G86" s="630">
        <v>17</v>
      </c>
      <c r="H86" s="622">
        <v>2072</v>
      </c>
      <c r="I86" s="622">
        <v>1126</v>
      </c>
      <c r="J86" s="623">
        <v>1543</v>
      </c>
      <c r="K86" s="632">
        <v>2</v>
      </c>
      <c r="L86" s="622">
        <v>0</v>
      </c>
      <c r="M86" s="617">
        <v>0</v>
      </c>
      <c r="N86" s="670">
        <f t="shared" si="11"/>
        <v>3217</v>
      </c>
      <c r="O86" s="671">
        <f t="shared" si="12"/>
        <v>3634</v>
      </c>
      <c r="P86" s="672">
        <f t="shared" si="7"/>
        <v>31213.097398698388</v>
      </c>
      <c r="Q86" s="52">
        <f t="shared" si="8"/>
        <v>23975.097398698388</v>
      </c>
      <c r="R86" s="119" t="s">
        <v>259</v>
      </c>
      <c r="S86" s="120">
        <v>6.16459494213459</v>
      </c>
      <c r="T86" s="120">
        <v>3.5485232067510548</v>
      </c>
      <c r="U86" s="120">
        <v>5.7857142857142856</v>
      </c>
      <c r="V86" s="110"/>
      <c r="W86" s="121">
        <f t="shared" si="15"/>
        <v>5.16459494213459</v>
      </c>
      <c r="X86" s="121">
        <f t="shared" si="15"/>
        <v>2.5485232067510548</v>
      </c>
      <c r="Y86" s="121">
        <f t="shared" si="15"/>
        <v>4.7857142857142856</v>
      </c>
      <c r="Z86" s="122"/>
      <c r="AA86" s="110"/>
      <c r="AB86" s="123"/>
      <c r="AC86" s="123"/>
      <c r="AD86" s="110"/>
      <c r="AE86" s="110"/>
      <c r="AF86" s="110"/>
      <c r="AG86" s="110"/>
      <c r="AH86" s="110"/>
      <c r="AI86" s="106"/>
      <c r="AJ86" s="106"/>
      <c r="AK86" s="106"/>
      <c r="AL86" s="106"/>
      <c r="AM86" s="106"/>
      <c r="AN86" s="106"/>
      <c r="AO86" s="106"/>
      <c r="AP86" s="106"/>
      <c r="AQ86" s="106"/>
    </row>
    <row r="87" spans="1:43" s="36" customFormat="1">
      <c r="A87" s="124">
        <f t="shared" si="14"/>
        <v>77</v>
      </c>
      <c r="B87" s="125" t="s">
        <v>713</v>
      </c>
      <c r="C87" s="678">
        <f t="shared" si="13"/>
        <v>7399</v>
      </c>
      <c r="D87" s="674">
        <v>6983</v>
      </c>
      <c r="E87" s="666">
        <v>399</v>
      </c>
      <c r="F87" s="666">
        <v>17</v>
      </c>
      <c r="G87" s="630">
        <v>64</v>
      </c>
      <c r="H87" s="622">
        <v>4128</v>
      </c>
      <c r="I87" s="622">
        <v>1772</v>
      </c>
      <c r="J87" s="623">
        <v>2142</v>
      </c>
      <c r="K87" s="632">
        <v>0</v>
      </c>
      <c r="L87" s="622">
        <v>3</v>
      </c>
      <c r="M87" s="617">
        <v>5</v>
      </c>
      <c r="N87" s="670">
        <f t="shared" si="11"/>
        <v>5967</v>
      </c>
      <c r="O87" s="671">
        <f t="shared" si="12"/>
        <v>6339</v>
      </c>
      <c r="P87" s="672">
        <f t="shared" si="7"/>
        <v>29374.357384397561</v>
      </c>
      <c r="Q87" s="52">
        <f t="shared" si="8"/>
        <v>15636.357384397561</v>
      </c>
      <c r="R87" s="129" t="s">
        <v>482</v>
      </c>
      <c r="S87" s="120">
        <v>2.3741893644617398</v>
      </c>
      <c r="T87" s="120">
        <v>2.2774163568773234</v>
      </c>
      <c r="U87" s="120">
        <v>4.0555555555555554</v>
      </c>
      <c r="V87" s="110"/>
      <c r="W87" s="121">
        <f t="shared" si="15"/>
        <v>1.3741893644617398</v>
      </c>
      <c r="X87" s="121">
        <f t="shared" si="15"/>
        <v>1.2774163568773234</v>
      </c>
      <c r="Y87" s="121">
        <f t="shared" si="15"/>
        <v>3.0555555555555554</v>
      </c>
      <c r="Z87" s="122"/>
      <c r="AA87" s="110"/>
      <c r="AB87" s="123"/>
      <c r="AC87" s="123"/>
      <c r="AD87" s="110"/>
      <c r="AE87" s="110"/>
      <c r="AF87" s="110"/>
      <c r="AG87" s="110"/>
      <c r="AH87" s="110"/>
      <c r="AI87" s="106"/>
      <c r="AJ87" s="106"/>
      <c r="AK87" s="106"/>
      <c r="AL87" s="106"/>
      <c r="AM87" s="106"/>
      <c r="AN87" s="106"/>
      <c r="AO87" s="106"/>
      <c r="AP87" s="106"/>
      <c r="AQ87" s="106"/>
    </row>
    <row r="88" spans="1:43" s="36" customFormat="1">
      <c r="A88" s="124">
        <f t="shared" si="14"/>
        <v>78</v>
      </c>
      <c r="B88" s="125" t="s">
        <v>714</v>
      </c>
      <c r="C88" s="678">
        <f t="shared" si="13"/>
        <v>4975</v>
      </c>
      <c r="D88" s="674">
        <v>4720</v>
      </c>
      <c r="E88" s="666">
        <v>225</v>
      </c>
      <c r="F88" s="666">
        <v>30</v>
      </c>
      <c r="G88" s="630">
        <v>51</v>
      </c>
      <c r="H88" s="622">
        <v>3488</v>
      </c>
      <c r="I88" s="622">
        <v>1611</v>
      </c>
      <c r="J88" s="623">
        <v>1883</v>
      </c>
      <c r="K88" s="632">
        <v>0</v>
      </c>
      <c r="L88" s="622">
        <v>0</v>
      </c>
      <c r="M88" s="617">
        <v>0</v>
      </c>
      <c r="N88" s="670">
        <f t="shared" si="11"/>
        <v>5150</v>
      </c>
      <c r="O88" s="671">
        <f t="shared" si="12"/>
        <v>5422</v>
      </c>
      <c r="P88" s="672">
        <f t="shared" si="7"/>
        <v>28050.884370613778</v>
      </c>
      <c r="Q88" s="52">
        <f t="shared" si="8"/>
        <v>17653.884370613778</v>
      </c>
      <c r="R88" s="129" t="s">
        <v>563</v>
      </c>
      <c r="S88" s="120">
        <v>3.6069903948772679</v>
      </c>
      <c r="T88" s="120">
        <v>2.3091397849462365</v>
      </c>
      <c r="U88" s="120">
        <v>3.3103448275862069</v>
      </c>
      <c r="V88" s="110"/>
      <c r="W88" s="121">
        <f t="shared" si="15"/>
        <v>2.6069903948772679</v>
      </c>
      <c r="X88" s="121">
        <f t="shared" si="15"/>
        <v>1.3091397849462365</v>
      </c>
      <c r="Y88" s="121">
        <f t="shared" si="15"/>
        <v>2.3103448275862069</v>
      </c>
      <c r="Z88" s="122"/>
      <c r="AA88" s="110"/>
      <c r="AB88" s="123"/>
      <c r="AC88" s="123"/>
      <c r="AD88" s="110"/>
      <c r="AE88" s="110"/>
      <c r="AF88" s="110"/>
      <c r="AG88" s="110"/>
      <c r="AH88" s="110"/>
      <c r="AI88" s="106"/>
      <c r="AJ88" s="106"/>
      <c r="AK88" s="106"/>
      <c r="AL88" s="106"/>
      <c r="AM88" s="106"/>
      <c r="AN88" s="106"/>
      <c r="AO88" s="106"/>
      <c r="AP88" s="106"/>
      <c r="AQ88" s="106"/>
    </row>
    <row r="89" spans="1:43" s="36" customFormat="1">
      <c r="A89" s="124">
        <f t="shared" si="14"/>
        <v>79</v>
      </c>
      <c r="B89" s="125" t="s">
        <v>715</v>
      </c>
      <c r="C89" s="678">
        <f t="shared" si="13"/>
        <v>3580</v>
      </c>
      <c r="D89" s="674">
        <v>3405</v>
      </c>
      <c r="E89" s="666">
        <v>98</v>
      </c>
      <c r="F89" s="666">
        <v>77</v>
      </c>
      <c r="G89" s="630">
        <v>35</v>
      </c>
      <c r="H89" s="622">
        <v>2621</v>
      </c>
      <c r="I89" s="622">
        <v>1592</v>
      </c>
      <c r="J89" s="623">
        <v>1999</v>
      </c>
      <c r="K89" s="632">
        <v>1</v>
      </c>
      <c r="L89" s="622">
        <v>0</v>
      </c>
      <c r="M89" s="617">
        <v>0</v>
      </c>
      <c r="N89" s="670">
        <f t="shared" si="11"/>
        <v>4249</v>
      </c>
      <c r="O89" s="671">
        <f t="shared" si="12"/>
        <v>4656</v>
      </c>
      <c r="P89" s="672">
        <f t="shared" si="7"/>
        <v>27034.939012910167</v>
      </c>
      <c r="Q89" s="52">
        <f t="shared" si="8"/>
        <v>18798.939012910167</v>
      </c>
      <c r="R89" s="129" t="s">
        <v>564</v>
      </c>
      <c r="S89" s="120">
        <v>4.8492424242424246</v>
      </c>
      <c r="T89" s="120">
        <v>2.8229783037475347</v>
      </c>
      <c r="U89" s="120">
        <v>7.875</v>
      </c>
      <c r="V89" s="110"/>
      <c r="W89" s="121">
        <f t="shared" si="15"/>
        <v>3.8492424242424246</v>
      </c>
      <c r="X89" s="121">
        <f t="shared" si="15"/>
        <v>1.8229783037475347</v>
      </c>
      <c r="Y89" s="121">
        <f t="shared" si="15"/>
        <v>6.875</v>
      </c>
      <c r="Z89" s="122"/>
      <c r="AA89" s="110"/>
      <c r="AB89" s="123"/>
      <c r="AC89" s="123"/>
      <c r="AD89" s="110"/>
      <c r="AE89" s="110"/>
      <c r="AF89" s="110"/>
      <c r="AG89" s="110"/>
      <c r="AH89" s="110"/>
      <c r="AI89" s="106"/>
      <c r="AJ89" s="106"/>
      <c r="AK89" s="106"/>
      <c r="AL89" s="106"/>
      <c r="AM89" s="106"/>
      <c r="AN89" s="106"/>
      <c r="AO89" s="106"/>
      <c r="AP89" s="106"/>
      <c r="AQ89" s="106"/>
    </row>
    <row r="90" spans="1:43" s="36" customFormat="1" ht="11.25" customHeight="1">
      <c r="A90" s="124">
        <f t="shared" si="14"/>
        <v>80</v>
      </c>
      <c r="B90" s="185" t="s">
        <v>227</v>
      </c>
      <c r="C90" s="678">
        <f t="shared" si="13"/>
        <v>11480</v>
      </c>
      <c r="D90" s="674">
        <v>10949</v>
      </c>
      <c r="E90" s="666">
        <v>428</v>
      </c>
      <c r="F90" s="666">
        <v>103</v>
      </c>
      <c r="G90" s="630">
        <v>122</v>
      </c>
      <c r="H90" s="622">
        <v>7163</v>
      </c>
      <c r="I90" s="622">
        <v>3555</v>
      </c>
      <c r="J90" s="623">
        <v>4639</v>
      </c>
      <c r="K90" s="632">
        <v>0</v>
      </c>
      <c r="L90" s="622">
        <v>0</v>
      </c>
      <c r="M90" s="617">
        <v>0</v>
      </c>
      <c r="N90" s="670">
        <f t="shared" si="11"/>
        <v>10840</v>
      </c>
      <c r="O90" s="671">
        <f t="shared" si="12"/>
        <v>11924</v>
      </c>
      <c r="P90" s="672">
        <f t="shared" si="7"/>
        <v>65697.302090747326</v>
      </c>
      <c r="Q90" s="52">
        <f t="shared" si="8"/>
        <v>42293.302090747326</v>
      </c>
      <c r="R90" s="129" t="s">
        <v>565</v>
      </c>
      <c r="S90" s="120">
        <v>3.4</v>
      </c>
      <c r="T90" s="120">
        <v>2.9966637010676158</v>
      </c>
      <c r="U90" s="120">
        <v>4.5999999999999996</v>
      </c>
      <c r="V90" s="110"/>
      <c r="W90" s="121">
        <f t="shared" si="15"/>
        <v>2.4</v>
      </c>
      <c r="X90" s="121">
        <f t="shared" si="15"/>
        <v>1.9966637010676158</v>
      </c>
      <c r="Y90" s="121">
        <f t="shared" si="15"/>
        <v>3.5999999999999996</v>
      </c>
      <c r="Z90" s="122"/>
      <c r="AA90" s="110"/>
      <c r="AB90" s="123"/>
      <c r="AC90" s="123"/>
      <c r="AD90" s="110"/>
      <c r="AE90" s="110"/>
      <c r="AF90" s="110"/>
      <c r="AG90" s="110"/>
      <c r="AH90" s="110"/>
      <c r="AI90" s="106"/>
      <c r="AJ90" s="106"/>
      <c r="AK90" s="106"/>
      <c r="AL90" s="106"/>
      <c r="AM90" s="106"/>
      <c r="AN90" s="106"/>
      <c r="AO90" s="106"/>
      <c r="AP90" s="106"/>
      <c r="AQ90" s="106"/>
    </row>
    <row r="91" spans="1:43" s="36" customFormat="1">
      <c r="A91" s="124">
        <f t="shared" si="14"/>
        <v>81</v>
      </c>
      <c r="B91" s="125" t="s">
        <v>883</v>
      </c>
      <c r="C91" s="678">
        <f t="shared" si="13"/>
        <v>9487</v>
      </c>
      <c r="D91" s="674">
        <v>9137</v>
      </c>
      <c r="E91" s="666">
        <v>260</v>
      </c>
      <c r="F91" s="666">
        <v>90</v>
      </c>
      <c r="G91" s="630">
        <v>138</v>
      </c>
      <c r="H91" s="622">
        <v>6801</v>
      </c>
      <c r="I91" s="622">
        <v>3842</v>
      </c>
      <c r="J91" s="623">
        <v>4582</v>
      </c>
      <c r="K91" s="632">
        <v>0</v>
      </c>
      <c r="L91" s="622">
        <v>1</v>
      </c>
      <c r="M91" s="617">
        <v>1</v>
      </c>
      <c r="N91" s="670">
        <f t="shared" si="11"/>
        <v>10782</v>
      </c>
      <c r="O91" s="671">
        <f t="shared" si="12"/>
        <v>11522</v>
      </c>
      <c r="P91" s="672">
        <f t="shared" si="7"/>
        <v>46237.125147033163</v>
      </c>
      <c r="Q91" s="52">
        <f t="shared" si="8"/>
        <v>25228.125147033163</v>
      </c>
      <c r="R91" s="130" t="s">
        <v>580</v>
      </c>
      <c r="S91" s="120">
        <v>2.7198067632850198</v>
      </c>
      <c r="T91" s="120">
        <v>2.2551326412918109</v>
      </c>
      <c r="U91" s="120">
        <v>3.725806451612903</v>
      </c>
      <c r="V91" s="110"/>
      <c r="W91" s="121">
        <f t="shared" si="15"/>
        <v>1.7198067632850198</v>
      </c>
      <c r="X91" s="121">
        <f t="shared" si="15"/>
        <v>1.2551326412918109</v>
      </c>
      <c r="Y91" s="121">
        <f t="shared" si="15"/>
        <v>2.725806451612903</v>
      </c>
      <c r="Z91" s="122"/>
      <c r="AA91" s="110"/>
      <c r="AB91" s="123"/>
      <c r="AC91" s="123"/>
      <c r="AD91" s="110"/>
      <c r="AE91" s="110"/>
      <c r="AF91" s="110"/>
      <c r="AG91" s="110"/>
      <c r="AH91" s="110"/>
      <c r="AI91" s="106"/>
      <c r="AJ91" s="106"/>
      <c r="AK91" s="106"/>
      <c r="AL91" s="106"/>
      <c r="AM91" s="106"/>
      <c r="AN91" s="106"/>
      <c r="AO91" s="106"/>
      <c r="AP91" s="106"/>
      <c r="AQ91" s="106"/>
    </row>
    <row r="92" spans="1:43" s="36" customFormat="1">
      <c r="A92" s="124"/>
      <c r="B92" s="125" t="s">
        <v>181</v>
      </c>
      <c r="C92" s="664">
        <v>0</v>
      </c>
      <c r="D92" s="665">
        <v>0</v>
      </c>
      <c r="E92" s="665">
        <v>0</v>
      </c>
      <c r="F92" s="665">
        <v>0</v>
      </c>
      <c r="G92" s="630">
        <v>0</v>
      </c>
      <c r="H92" s="667">
        <v>0</v>
      </c>
      <c r="I92" s="667">
        <v>0</v>
      </c>
      <c r="J92" s="668">
        <v>0</v>
      </c>
      <c r="K92" s="669">
        <v>0</v>
      </c>
      <c r="L92" s="667">
        <v>0</v>
      </c>
      <c r="M92" s="689">
        <v>0</v>
      </c>
      <c r="N92" s="670">
        <f t="shared" si="11"/>
        <v>0</v>
      </c>
      <c r="O92" s="671">
        <f t="shared" si="12"/>
        <v>0</v>
      </c>
      <c r="P92" s="672">
        <f t="shared" si="7"/>
        <v>0</v>
      </c>
      <c r="Q92" s="52">
        <f t="shared" si="8"/>
        <v>0</v>
      </c>
      <c r="R92" s="131" t="s">
        <v>368</v>
      </c>
      <c r="S92" s="120">
        <v>2.7198067632850198</v>
      </c>
      <c r="T92" s="120">
        <v>2.2551326412918109</v>
      </c>
      <c r="U92" s="120">
        <v>3.725806451612903</v>
      </c>
      <c r="V92" s="110"/>
      <c r="W92" s="121">
        <f t="shared" si="15"/>
        <v>1.7198067632850198</v>
      </c>
      <c r="X92" s="121">
        <f t="shared" si="15"/>
        <v>1.2551326412918109</v>
      </c>
      <c r="Y92" s="121">
        <f t="shared" si="15"/>
        <v>2.725806451612903</v>
      </c>
      <c r="Z92" s="110"/>
      <c r="AA92" s="110"/>
      <c r="AB92" s="123"/>
      <c r="AC92" s="123"/>
      <c r="AD92" s="110"/>
      <c r="AE92" s="110"/>
      <c r="AF92" s="110"/>
      <c r="AG92" s="110"/>
      <c r="AH92" s="110"/>
      <c r="AI92" s="106"/>
      <c r="AJ92" s="106"/>
      <c r="AK92" s="106"/>
      <c r="AL92" s="106"/>
      <c r="AM92" s="106"/>
      <c r="AN92" s="106"/>
      <c r="AO92" s="106"/>
      <c r="AP92" s="106"/>
      <c r="AQ92" s="106"/>
    </row>
    <row r="93" spans="1:43" s="36" customFormat="1" ht="17.25" customHeight="1" thickBot="1">
      <c r="A93" s="871"/>
      <c r="B93" s="1713" t="s">
        <v>885</v>
      </c>
      <c r="C93" s="872">
        <f>SUM(C6:C92)</f>
        <v>2120714</v>
      </c>
      <c r="D93" s="864">
        <f>SUM(D6:D92)</f>
        <v>2015579</v>
      </c>
      <c r="E93" s="864">
        <f>SUM(E6:E92)</f>
        <v>89543</v>
      </c>
      <c r="F93" s="864">
        <f>SUM(F6:F92)</f>
        <v>15592</v>
      </c>
      <c r="G93" s="863">
        <f t="shared" ref="G93:M93" si="16">SUM(G6:G92)</f>
        <v>15731</v>
      </c>
      <c r="H93" s="864">
        <f t="shared" si="16"/>
        <v>1188283</v>
      </c>
      <c r="I93" s="864">
        <f t="shared" si="16"/>
        <v>567212</v>
      </c>
      <c r="J93" s="865">
        <f t="shared" si="16"/>
        <v>692183</v>
      </c>
      <c r="K93" s="866">
        <f t="shared" si="16"/>
        <v>124</v>
      </c>
      <c r="L93" s="864">
        <f t="shared" si="16"/>
        <v>187</v>
      </c>
      <c r="M93" s="867">
        <f t="shared" si="16"/>
        <v>539</v>
      </c>
      <c r="N93" s="868">
        <f>SUM(N6:N92)</f>
        <v>1771537</v>
      </c>
      <c r="O93" s="869">
        <f>SUM(O6:O92)</f>
        <v>1896860</v>
      </c>
      <c r="P93" s="870">
        <f>SUM(P6:P92)</f>
        <v>11222811.738501158</v>
      </c>
      <c r="Q93" s="132">
        <f>SUM(Q6:Q92)</f>
        <v>7205237.7385011604</v>
      </c>
      <c r="R93" s="133" t="s">
        <v>692</v>
      </c>
      <c r="S93" s="120">
        <v>2.7198067632850198</v>
      </c>
      <c r="T93" s="120">
        <v>2.2551326412918109</v>
      </c>
      <c r="U93" s="120">
        <v>3.725806451612903</v>
      </c>
      <c r="V93" s="110"/>
      <c r="W93" s="110"/>
      <c r="X93" s="110"/>
      <c r="Y93" s="110"/>
      <c r="Z93" s="134"/>
      <c r="AA93" s="110"/>
      <c r="AB93" s="110"/>
      <c r="AC93" s="110"/>
      <c r="AD93" s="110"/>
      <c r="AE93" s="110"/>
      <c r="AF93" s="110"/>
      <c r="AG93" s="110"/>
      <c r="AH93" s="110"/>
      <c r="AI93" s="106"/>
      <c r="AJ93" s="106"/>
      <c r="AK93" s="106"/>
      <c r="AL93" s="106"/>
      <c r="AM93" s="106"/>
      <c r="AN93" s="106"/>
      <c r="AO93" s="106"/>
      <c r="AP93" s="106"/>
      <c r="AQ93" s="106"/>
    </row>
    <row r="94" spans="1:43">
      <c r="B94" s="13"/>
      <c r="C94" s="315"/>
      <c r="D94" s="742"/>
      <c r="E94" s="742"/>
      <c r="F94" s="742"/>
      <c r="G94" s="743"/>
      <c r="H94" s="743"/>
      <c r="I94" s="743"/>
      <c r="J94" s="743"/>
      <c r="K94" s="743"/>
      <c r="L94" s="743"/>
      <c r="M94" s="743"/>
      <c r="N94" s="34"/>
      <c r="O94" s="34"/>
      <c r="P94" s="34"/>
    </row>
    <row r="95" spans="1:43">
      <c r="B95" s="13"/>
      <c r="C95" s="315"/>
      <c r="G95" s="618"/>
      <c r="H95" s="618"/>
      <c r="I95" s="618"/>
      <c r="J95" s="618"/>
      <c r="K95" s="618"/>
      <c r="L95" s="618"/>
      <c r="M95" s="618"/>
    </row>
    <row r="96" spans="1:43">
      <c r="B96" s="13"/>
      <c r="C96" s="315" t="s">
        <v>729</v>
      </c>
      <c r="G96" s="618"/>
      <c r="H96" s="618"/>
      <c r="I96" s="618"/>
      <c r="J96" s="618"/>
      <c r="K96" s="618"/>
      <c r="L96" s="618"/>
      <c r="M96" s="618"/>
    </row>
    <row r="97" spans="2:13">
      <c r="B97" s="13"/>
      <c r="C97" s="315"/>
      <c r="G97" s="618"/>
      <c r="H97" s="618"/>
      <c r="I97" s="618"/>
      <c r="J97" s="618"/>
      <c r="K97" s="618"/>
      <c r="L97" s="618"/>
      <c r="M97" s="618"/>
    </row>
    <row r="98" spans="2:13">
      <c r="B98" s="13"/>
      <c r="C98" s="315"/>
      <c r="G98" s="618"/>
      <c r="H98" s="618"/>
      <c r="I98" s="618"/>
      <c r="J98" s="618"/>
      <c r="K98" s="618"/>
      <c r="L98" s="618"/>
      <c r="M98" s="618"/>
    </row>
    <row r="99" spans="2:13">
      <c r="B99" s="13"/>
      <c r="C99" s="315"/>
      <c r="G99" s="618"/>
      <c r="H99" s="618"/>
      <c r="I99" s="618"/>
      <c r="J99" s="618"/>
      <c r="K99" s="618"/>
      <c r="L99" s="618"/>
      <c r="M99" s="618"/>
    </row>
    <row r="100" spans="2:13">
      <c r="B100" s="13"/>
      <c r="C100" s="315"/>
      <c r="G100" s="618"/>
      <c r="H100" s="618"/>
      <c r="I100" s="618"/>
      <c r="J100" s="618"/>
      <c r="K100" s="618"/>
      <c r="L100" s="618"/>
      <c r="M100" s="618"/>
    </row>
    <row r="101" spans="2:13">
      <c r="B101" s="13"/>
      <c r="C101" s="315"/>
      <c r="G101" s="618"/>
      <c r="H101" s="618"/>
      <c r="I101" s="618"/>
      <c r="J101" s="618"/>
      <c r="K101" s="618"/>
      <c r="L101" s="618"/>
      <c r="M101" s="618"/>
    </row>
    <row r="102" spans="2:13">
      <c r="B102" s="13"/>
      <c r="C102" s="315"/>
      <c r="G102" s="618"/>
      <c r="H102" s="618"/>
      <c r="I102" s="618"/>
      <c r="J102" s="618"/>
      <c r="K102" s="618"/>
      <c r="L102" s="618"/>
      <c r="M102" s="618"/>
    </row>
    <row r="103" spans="2:13">
      <c r="B103" s="13"/>
      <c r="C103" s="315"/>
      <c r="G103" s="618"/>
      <c r="H103" s="618"/>
      <c r="I103" s="618"/>
      <c r="J103" s="618"/>
      <c r="K103" s="618"/>
      <c r="L103" s="618"/>
      <c r="M103" s="618"/>
    </row>
    <row r="104" spans="2:13">
      <c r="B104" s="13"/>
      <c r="C104" s="315"/>
      <c r="G104" s="618"/>
      <c r="H104" s="618"/>
      <c r="I104" s="618"/>
      <c r="J104" s="618"/>
      <c r="K104" s="618"/>
      <c r="L104" s="618"/>
      <c r="M104" s="618"/>
    </row>
    <row r="105" spans="2:13">
      <c r="B105" s="13"/>
      <c r="C105" s="315"/>
      <c r="G105" s="618"/>
      <c r="H105" s="618"/>
      <c r="I105" s="618"/>
      <c r="J105" s="618"/>
      <c r="K105" s="618"/>
      <c r="L105" s="618"/>
      <c r="M105" s="618"/>
    </row>
    <row r="106" spans="2:13">
      <c r="B106" s="13"/>
      <c r="C106" s="315"/>
      <c r="G106" s="618"/>
      <c r="H106" s="618"/>
      <c r="I106" s="618"/>
      <c r="J106" s="618"/>
      <c r="K106" s="618"/>
      <c r="L106" s="618"/>
      <c r="M106" s="618"/>
    </row>
    <row r="107" spans="2:13">
      <c r="B107" s="13"/>
      <c r="C107" s="315"/>
      <c r="G107" s="618"/>
      <c r="H107" s="618"/>
      <c r="I107" s="618"/>
      <c r="J107" s="618"/>
      <c r="K107" s="618"/>
      <c r="L107" s="618"/>
      <c r="M107" s="618"/>
    </row>
  </sheetData>
  <mergeCells count="18">
    <mergeCell ref="A3:A5"/>
    <mergeCell ref="A48:A50"/>
    <mergeCell ref="C3:F4"/>
    <mergeCell ref="C48:F49"/>
    <mergeCell ref="G48:M48"/>
    <mergeCell ref="G49:J49"/>
    <mergeCell ref="K49:M49"/>
    <mergeCell ref="G3:M3"/>
    <mergeCell ref="G4:J4"/>
    <mergeCell ref="K4:M4"/>
    <mergeCell ref="O2:P2"/>
    <mergeCell ref="N3:N5"/>
    <mergeCell ref="P3:P5"/>
    <mergeCell ref="P48:P50"/>
    <mergeCell ref="O47:P47"/>
    <mergeCell ref="O48:O50"/>
    <mergeCell ref="N48:N50"/>
    <mergeCell ref="O3:O5"/>
  </mergeCells>
  <phoneticPr fontId="7" type="noConversion"/>
  <printOptions horizontalCentered="1" verticalCentered="1"/>
  <pageMargins left="0.38" right="0.21" top="0.33" bottom="0.196850393700787" header="0.3" footer="0.196850393700787"/>
  <pageSetup paperSize="9" scale="64" orientation="landscape" r:id="rId1"/>
  <headerFooter alignWithMargins="0"/>
  <rowBreaks count="1" manualBreakCount="1">
    <brk id="45" max="15" man="1"/>
  </rowBreaks>
  <colBreaks count="1" manualBreakCount="1">
    <brk id="16" max="93"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ayfa16">
    <tabColor theme="3" tint="0.59999389629810485"/>
    <pageSetUpPr fitToPage="1"/>
  </sheetPr>
  <dimension ref="A1:Y350"/>
  <sheetViews>
    <sheetView showGridLines="0" zoomScaleNormal="100" workbookViewId="0">
      <selection activeCell="A3" sqref="A3:A5"/>
    </sheetView>
  </sheetViews>
  <sheetFormatPr defaultRowHeight="14.25"/>
  <cols>
    <col min="1" max="1" width="6.28515625" style="4" customWidth="1"/>
    <col min="2" max="2" width="21.140625" style="4" customWidth="1"/>
    <col min="3" max="3" width="13" style="227" customWidth="1"/>
    <col min="4" max="4" width="14.42578125" style="227" customWidth="1"/>
    <col min="5" max="5" width="12" style="227" customWidth="1"/>
    <col min="6" max="6" width="10.5703125" customWidth="1"/>
    <col min="7" max="7" width="11.42578125" customWidth="1"/>
    <col min="8" max="8" width="14" bestFit="1" customWidth="1"/>
    <col min="9" max="9" width="12.28515625" customWidth="1"/>
    <col min="10" max="10" width="16.140625" customWidth="1"/>
    <col min="11" max="11" width="16" customWidth="1"/>
    <col min="12" max="12" width="14.28515625" customWidth="1"/>
    <col min="13" max="13" width="12.5703125" style="4" customWidth="1"/>
    <col min="14" max="14" width="13" style="4" customWidth="1"/>
    <col min="15" max="15" width="15" style="4" customWidth="1"/>
    <col min="16" max="16" width="13.5703125" style="4" hidden="1" customWidth="1"/>
    <col min="17" max="17" width="19.5703125" style="4" hidden="1" customWidth="1"/>
    <col min="18" max="18" width="7" style="739" customWidth="1"/>
    <col min="19" max="19" width="8.28515625" style="739" customWidth="1"/>
    <col min="20" max="21" width="7" style="739" customWidth="1"/>
    <col min="22" max="22" width="9" style="739" customWidth="1"/>
    <col min="23" max="24" width="8.28515625" style="739" customWidth="1"/>
    <col min="25" max="25" width="9" style="739" customWidth="1"/>
    <col min="26" max="26" width="7" style="4" customWidth="1"/>
    <col min="27" max="16384" width="9.140625" style="4"/>
  </cols>
  <sheetData>
    <row r="1" spans="1:25" ht="15">
      <c r="A1" s="1885" t="s">
        <v>296</v>
      </c>
      <c r="B1" s="1885"/>
      <c r="C1" s="1885"/>
      <c r="D1" s="1885"/>
      <c r="E1" s="1885"/>
      <c r="F1" s="1885"/>
      <c r="G1" s="1885"/>
      <c r="H1" s="1885"/>
      <c r="I1" s="1885"/>
      <c r="J1" s="1885"/>
      <c r="K1" s="1885"/>
      <c r="L1" s="1885"/>
      <c r="M1" s="1885"/>
      <c r="N1" s="1885"/>
      <c r="O1" s="1885"/>
    </row>
    <row r="2" spans="1:25" ht="17.25" customHeight="1" thickBot="1">
      <c r="A2" s="1886" t="s">
        <v>297</v>
      </c>
      <c r="B2" s="1886"/>
      <c r="C2" s="1886"/>
      <c r="D2" s="1886"/>
      <c r="E2" s="1886"/>
      <c r="F2" s="1886"/>
      <c r="G2" s="1886"/>
      <c r="H2" s="1886"/>
      <c r="I2" s="1886"/>
      <c r="J2" s="1886"/>
      <c r="K2" s="1886"/>
      <c r="L2" s="1886"/>
      <c r="M2" s="1886"/>
      <c r="N2" s="1899" t="str">
        <f>+'11.4-b-İL-ESNAF'!O2</f>
        <v>2017 Nisan (April)</v>
      </c>
      <c r="O2" s="1899"/>
      <c r="P2" s="389"/>
      <c r="Q2" s="389"/>
      <c r="R2" s="750"/>
      <c r="S2" s="750"/>
      <c r="T2" s="750"/>
      <c r="U2" s="750"/>
      <c r="V2" s="750"/>
      <c r="W2" s="750"/>
      <c r="X2" s="750"/>
      <c r="Y2" s="750"/>
    </row>
    <row r="3" spans="1:25" ht="17.25" customHeight="1" thickBot="1">
      <c r="A3" s="1896" t="s">
        <v>978</v>
      </c>
      <c r="B3" s="643"/>
      <c r="C3" s="1893" t="s">
        <v>1043</v>
      </c>
      <c r="D3" s="1893" t="s">
        <v>394</v>
      </c>
      <c r="E3" s="1893" t="s">
        <v>515</v>
      </c>
      <c r="F3" s="1880" t="s">
        <v>1218</v>
      </c>
      <c r="G3" s="1881"/>
      <c r="H3" s="1881"/>
      <c r="I3" s="1881"/>
      <c r="J3" s="1881"/>
      <c r="K3" s="1881"/>
      <c r="L3" s="1881"/>
      <c r="M3" s="1887" t="s">
        <v>1047</v>
      </c>
      <c r="N3" s="1891" t="s">
        <v>1048</v>
      </c>
      <c r="O3" s="1889" t="s">
        <v>979</v>
      </c>
      <c r="P3" s="390"/>
      <c r="Q3" s="390"/>
    </row>
    <row r="4" spans="1:25" ht="45" customHeight="1" thickBot="1">
      <c r="A4" s="1897"/>
      <c r="B4" s="644"/>
      <c r="C4" s="1894"/>
      <c r="D4" s="1894"/>
      <c r="E4" s="1894"/>
      <c r="F4" s="1882" t="s">
        <v>1066</v>
      </c>
      <c r="G4" s="1883"/>
      <c r="H4" s="1883"/>
      <c r="I4" s="1884"/>
      <c r="J4" s="1882" t="s">
        <v>1067</v>
      </c>
      <c r="K4" s="1883"/>
      <c r="L4" s="1884"/>
      <c r="M4" s="1888"/>
      <c r="N4" s="1892"/>
      <c r="O4" s="1890"/>
      <c r="P4" s="390"/>
      <c r="Q4" s="390"/>
    </row>
    <row r="5" spans="1:25" s="227" customFormat="1" ht="89.25" customHeight="1" thickBot="1">
      <c r="A5" s="1898"/>
      <c r="B5" s="645" t="s">
        <v>980</v>
      </c>
      <c r="C5" s="1895"/>
      <c r="D5" s="1895"/>
      <c r="E5" s="1895"/>
      <c r="F5" s="646" t="s">
        <v>1042</v>
      </c>
      <c r="G5" s="647" t="s">
        <v>1044</v>
      </c>
      <c r="H5" s="648" t="s">
        <v>1045</v>
      </c>
      <c r="I5" s="649" t="s">
        <v>1046</v>
      </c>
      <c r="J5" s="650" t="s">
        <v>1052</v>
      </c>
      <c r="K5" s="651" t="s">
        <v>1053</v>
      </c>
      <c r="L5" s="652" t="s">
        <v>1054</v>
      </c>
      <c r="M5" s="1888"/>
      <c r="N5" s="1892"/>
      <c r="O5" s="1890"/>
      <c r="P5" s="391" t="s">
        <v>31</v>
      </c>
      <c r="Q5" s="390" t="s">
        <v>802</v>
      </c>
      <c r="R5" s="739"/>
      <c r="S5" s="739"/>
      <c r="T5" s="739"/>
      <c r="U5" s="739"/>
      <c r="V5" s="739"/>
      <c r="W5" s="739"/>
      <c r="X5" s="739"/>
      <c r="Y5" s="739"/>
    </row>
    <row r="6" spans="1:25" ht="15.75" customHeight="1">
      <c r="A6" s="392" t="s">
        <v>195</v>
      </c>
      <c r="B6" s="393" t="s">
        <v>196</v>
      </c>
      <c r="C6" s="394">
        <f>+D6+E6</f>
        <v>16448</v>
      </c>
      <c r="D6" s="395">
        <v>16437</v>
      </c>
      <c r="E6" s="396">
        <v>11</v>
      </c>
      <c r="F6" s="633">
        <v>116</v>
      </c>
      <c r="G6" s="634">
        <v>6892</v>
      </c>
      <c r="H6" s="634">
        <v>2488</v>
      </c>
      <c r="I6" s="635">
        <v>3339</v>
      </c>
      <c r="J6" s="636">
        <v>1</v>
      </c>
      <c r="K6" s="634">
        <v>0</v>
      </c>
      <c r="L6" s="635">
        <v>0</v>
      </c>
      <c r="M6" s="636">
        <f>+F6+G6+H6+J6+K6</f>
        <v>9497</v>
      </c>
      <c r="N6" s="634">
        <f>+F6+G6+I6+J6+L6</f>
        <v>10348</v>
      </c>
      <c r="O6" s="635">
        <f>(C6*3)+(F6*2.5)+(G6*2.1)+I6+J6+L6</f>
        <v>67447.199999999997</v>
      </c>
      <c r="P6" s="397">
        <f>+O6-C6-F6-G6-J6-I6-L6</f>
        <v>40651.199999999997</v>
      </c>
      <c r="Q6" s="398">
        <f t="shared" ref="Q6:Q69" si="0">(C6*2.8)+(F6*1.9)+(G6*1.4)+I6+J6+L6</f>
        <v>59263.599999999991</v>
      </c>
      <c r="R6" s="740" t="s">
        <v>729</v>
      </c>
      <c r="S6" s="740"/>
      <c r="Y6" s="751"/>
    </row>
    <row r="7" spans="1:25" ht="15">
      <c r="A7" s="400" t="s">
        <v>197</v>
      </c>
      <c r="B7" s="401" t="s">
        <v>198</v>
      </c>
      <c r="C7" s="402">
        <f>+D7+E7</f>
        <v>4959</v>
      </c>
      <c r="D7" s="403">
        <v>4959</v>
      </c>
      <c r="E7" s="404">
        <v>0</v>
      </c>
      <c r="F7" s="637">
        <v>29</v>
      </c>
      <c r="G7" s="638">
        <v>7153</v>
      </c>
      <c r="H7" s="638">
        <v>1966</v>
      </c>
      <c r="I7" s="639">
        <v>2826</v>
      </c>
      <c r="J7" s="637">
        <v>1</v>
      </c>
      <c r="K7" s="638">
        <v>0</v>
      </c>
      <c r="L7" s="639">
        <v>0</v>
      </c>
      <c r="M7" s="637">
        <f>+F7+G7+H7+J7+K7</f>
        <v>9149</v>
      </c>
      <c r="N7" s="638">
        <f>+F7+G7+I7+J7+L7</f>
        <v>10009</v>
      </c>
      <c r="O7" s="639">
        <f>(C7*3)+(F7*2.5)+(G7*2.1)+I7+J7+L7</f>
        <v>32797.800000000003</v>
      </c>
      <c r="P7" s="397">
        <f t="shared" ref="P7:P70" si="1">+O7-C7-F7-G7-J7-I7-L7</f>
        <v>17829.800000000003</v>
      </c>
      <c r="Q7" s="398">
        <f t="shared" si="0"/>
        <v>26781.5</v>
      </c>
      <c r="S7" s="740"/>
      <c r="Y7" s="751"/>
    </row>
    <row r="8" spans="1:25" ht="15">
      <c r="A8" s="400" t="s">
        <v>199</v>
      </c>
      <c r="B8" s="401" t="s">
        <v>200</v>
      </c>
      <c r="C8" s="402">
        <f t="shared" ref="C8:C71" si="2">+D8+E8</f>
        <v>17641</v>
      </c>
      <c r="D8" s="403">
        <v>17640</v>
      </c>
      <c r="E8" s="404">
        <v>1</v>
      </c>
      <c r="F8" s="637">
        <v>133</v>
      </c>
      <c r="G8" s="638">
        <v>11255</v>
      </c>
      <c r="H8" s="638">
        <v>4373</v>
      </c>
      <c r="I8" s="639">
        <v>4941</v>
      </c>
      <c r="J8" s="637">
        <v>0</v>
      </c>
      <c r="K8" s="638">
        <v>0</v>
      </c>
      <c r="L8" s="639">
        <v>0</v>
      </c>
      <c r="M8" s="637">
        <f t="shared" ref="M8:M71" si="3">+F8+G8+H8+J8+K8</f>
        <v>15761</v>
      </c>
      <c r="N8" s="638">
        <f t="shared" ref="N8:N71" si="4">+F8+G8+I8+J8+L8</f>
        <v>16329</v>
      </c>
      <c r="O8" s="639">
        <f t="shared" ref="O8:O71" si="5">(C8*3)+(F8*2.5)+(G8*2.1)+I8+J8+L8</f>
        <v>81832</v>
      </c>
      <c r="P8" s="397">
        <f t="shared" si="1"/>
        <v>47862</v>
      </c>
      <c r="Q8" s="398">
        <f t="shared" si="0"/>
        <v>70345.5</v>
      </c>
      <c r="Y8" s="751"/>
    </row>
    <row r="9" spans="1:25" ht="15">
      <c r="A9" s="400" t="s">
        <v>201</v>
      </c>
      <c r="B9" s="401" t="s">
        <v>202</v>
      </c>
      <c r="C9" s="402">
        <f t="shared" si="2"/>
        <v>3378</v>
      </c>
      <c r="D9" s="403">
        <v>3378</v>
      </c>
      <c r="E9" s="404">
        <v>0</v>
      </c>
      <c r="F9" s="637">
        <v>24</v>
      </c>
      <c r="G9" s="638">
        <v>1211</v>
      </c>
      <c r="H9" s="638">
        <v>329</v>
      </c>
      <c r="I9" s="639">
        <v>592</v>
      </c>
      <c r="J9" s="637">
        <v>0</v>
      </c>
      <c r="K9" s="638">
        <v>0</v>
      </c>
      <c r="L9" s="639">
        <v>0</v>
      </c>
      <c r="M9" s="637">
        <f t="shared" si="3"/>
        <v>1564</v>
      </c>
      <c r="N9" s="638">
        <f t="shared" si="4"/>
        <v>1827</v>
      </c>
      <c r="O9" s="639">
        <f t="shared" si="5"/>
        <v>13329.1</v>
      </c>
      <c r="P9" s="397">
        <f t="shared" si="1"/>
        <v>8124.1</v>
      </c>
      <c r="Q9" s="398">
        <f t="shared" si="0"/>
        <v>11791.4</v>
      </c>
      <c r="Y9" s="751"/>
    </row>
    <row r="10" spans="1:25" ht="15">
      <c r="A10" s="400" t="s">
        <v>185</v>
      </c>
      <c r="B10" s="401" t="s">
        <v>186</v>
      </c>
      <c r="C10" s="402">
        <f t="shared" si="2"/>
        <v>5254</v>
      </c>
      <c r="D10" s="403">
        <v>5249</v>
      </c>
      <c r="E10" s="404">
        <v>5</v>
      </c>
      <c r="F10" s="637">
        <v>60</v>
      </c>
      <c r="G10" s="638">
        <v>7599</v>
      </c>
      <c r="H10" s="638">
        <v>2969</v>
      </c>
      <c r="I10" s="639">
        <v>3269</v>
      </c>
      <c r="J10" s="637">
        <v>1</v>
      </c>
      <c r="K10" s="638">
        <v>4</v>
      </c>
      <c r="L10" s="639">
        <v>8</v>
      </c>
      <c r="M10" s="637">
        <f t="shared" si="3"/>
        <v>10633</v>
      </c>
      <c r="N10" s="638">
        <f t="shared" si="4"/>
        <v>10937</v>
      </c>
      <c r="O10" s="639">
        <f t="shared" si="5"/>
        <v>35147.9</v>
      </c>
      <c r="P10" s="397">
        <f t="shared" si="1"/>
        <v>18956.900000000001</v>
      </c>
      <c r="Q10" s="398">
        <f t="shared" si="0"/>
        <v>28741.799999999996</v>
      </c>
      <c r="Y10" s="751"/>
    </row>
    <row r="11" spans="1:25" ht="15">
      <c r="A11" s="400" t="s">
        <v>187</v>
      </c>
      <c r="B11" s="401" t="s">
        <v>188</v>
      </c>
      <c r="C11" s="402">
        <f t="shared" si="2"/>
        <v>15633</v>
      </c>
      <c r="D11" s="403">
        <v>15630</v>
      </c>
      <c r="E11" s="404">
        <v>3</v>
      </c>
      <c r="F11" s="637">
        <v>110</v>
      </c>
      <c r="G11" s="638">
        <v>11211</v>
      </c>
      <c r="H11" s="638">
        <v>5780</v>
      </c>
      <c r="I11" s="639">
        <v>6652</v>
      </c>
      <c r="J11" s="637">
        <v>0</v>
      </c>
      <c r="K11" s="638">
        <v>0</v>
      </c>
      <c r="L11" s="639">
        <v>0</v>
      </c>
      <c r="M11" s="637">
        <f t="shared" si="3"/>
        <v>17101</v>
      </c>
      <c r="N11" s="638">
        <f t="shared" si="4"/>
        <v>17973</v>
      </c>
      <c r="O11" s="639">
        <f t="shared" si="5"/>
        <v>77369.100000000006</v>
      </c>
      <c r="P11" s="397">
        <f t="shared" si="1"/>
        <v>43763.100000000006</v>
      </c>
      <c r="Q11" s="398">
        <f t="shared" si="0"/>
        <v>66328.799999999988</v>
      </c>
      <c r="Y11" s="751"/>
    </row>
    <row r="12" spans="1:25" ht="14.25" customHeight="1">
      <c r="A12" s="400" t="s">
        <v>189</v>
      </c>
      <c r="B12" s="401" t="s">
        <v>190</v>
      </c>
      <c r="C12" s="402">
        <f t="shared" si="2"/>
        <v>37898</v>
      </c>
      <c r="D12" s="403">
        <v>37895</v>
      </c>
      <c r="E12" s="404">
        <v>3</v>
      </c>
      <c r="F12" s="637">
        <v>203</v>
      </c>
      <c r="G12" s="638">
        <v>14671</v>
      </c>
      <c r="H12" s="638">
        <v>3619</v>
      </c>
      <c r="I12" s="639">
        <v>4519</v>
      </c>
      <c r="J12" s="637">
        <v>0</v>
      </c>
      <c r="K12" s="638">
        <v>2</v>
      </c>
      <c r="L12" s="639">
        <v>3</v>
      </c>
      <c r="M12" s="637">
        <f t="shared" si="3"/>
        <v>18495</v>
      </c>
      <c r="N12" s="638">
        <f t="shared" si="4"/>
        <v>19396</v>
      </c>
      <c r="O12" s="639">
        <f t="shared" si="5"/>
        <v>149532.6</v>
      </c>
      <c r="P12" s="397">
        <f t="shared" si="1"/>
        <v>92238.6</v>
      </c>
      <c r="Q12" s="398">
        <f t="shared" si="0"/>
        <v>131561.5</v>
      </c>
      <c r="Y12" s="751"/>
    </row>
    <row r="13" spans="1:25" ht="15">
      <c r="A13" s="400" t="s">
        <v>643</v>
      </c>
      <c r="B13" s="401" t="s">
        <v>644</v>
      </c>
      <c r="C13" s="402">
        <f t="shared" si="2"/>
        <v>1288</v>
      </c>
      <c r="D13" s="403">
        <v>1286</v>
      </c>
      <c r="E13" s="404">
        <v>2</v>
      </c>
      <c r="F13" s="637">
        <v>16</v>
      </c>
      <c r="G13" s="638">
        <v>994</v>
      </c>
      <c r="H13" s="638">
        <v>438</v>
      </c>
      <c r="I13" s="639">
        <v>524</v>
      </c>
      <c r="J13" s="637">
        <v>0</v>
      </c>
      <c r="K13" s="638">
        <v>1</v>
      </c>
      <c r="L13" s="639">
        <v>4</v>
      </c>
      <c r="M13" s="637">
        <f t="shared" si="3"/>
        <v>1449</v>
      </c>
      <c r="N13" s="638">
        <f t="shared" si="4"/>
        <v>1538</v>
      </c>
      <c r="O13" s="639">
        <f t="shared" si="5"/>
        <v>6519.4</v>
      </c>
      <c r="P13" s="397">
        <f t="shared" si="1"/>
        <v>3693.3999999999996</v>
      </c>
      <c r="Q13" s="398">
        <f>(C13*2.1)+(F13*1.9)+(G13*1.4)+I13+J13+L13</f>
        <v>4654.8</v>
      </c>
      <c r="Y13" s="751"/>
    </row>
    <row r="14" spans="1:25" ht="15">
      <c r="A14" s="400" t="s">
        <v>645</v>
      </c>
      <c r="B14" s="401" t="s">
        <v>476</v>
      </c>
      <c r="C14" s="402">
        <f t="shared" si="2"/>
        <v>21254</v>
      </c>
      <c r="D14" s="403">
        <v>21242</v>
      </c>
      <c r="E14" s="404">
        <v>12</v>
      </c>
      <c r="F14" s="637">
        <v>172</v>
      </c>
      <c r="G14" s="638">
        <v>13844</v>
      </c>
      <c r="H14" s="638">
        <v>5202</v>
      </c>
      <c r="I14" s="639">
        <v>5833</v>
      </c>
      <c r="J14" s="637">
        <v>3</v>
      </c>
      <c r="K14" s="638">
        <v>2</v>
      </c>
      <c r="L14" s="639">
        <v>6</v>
      </c>
      <c r="M14" s="637">
        <f t="shared" si="3"/>
        <v>19223</v>
      </c>
      <c r="N14" s="638">
        <f t="shared" si="4"/>
        <v>19858</v>
      </c>
      <c r="O14" s="639">
        <f t="shared" si="5"/>
        <v>99106.4</v>
      </c>
      <c r="P14" s="397">
        <f t="shared" si="1"/>
        <v>57994.399999999994</v>
      </c>
      <c r="Q14" s="398">
        <f t="shared" si="0"/>
        <v>85061.6</v>
      </c>
      <c r="Y14" s="751"/>
    </row>
    <row r="15" spans="1:25" ht="14.25" customHeight="1">
      <c r="A15" s="400">
        <f t="shared" ref="A15:A62" si="6">+A14+1</f>
        <v>10</v>
      </c>
      <c r="B15" s="401" t="s">
        <v>405</v>
      </c>
      <c r="C15" s="402">
        <f t="shared" si="2"/>
        <v>23623</v>
      </c>
      <c r="D15" s="403">
        <v>23604</v>
      </c>
      <c r="E15" s="404">
        <v>19</v>
      </c>
      <c r="F15" s="637">
        <v>235</v>
      </c>
      <c r="G15" s="638">
        <v>18037</v>
      </c>
      <c r="H15">
        <v>5844</v>
      </c>
      <c r="I15" s="639">
        <v>6596</v>
      </c>
      <c r="J15" s="637">
        <v>3</v>
      </c>
      <c r="K15" s="638">
        <v>1</v>
      </c>
      <c r="L15" s="639">
        <v>4</v>
      </c>
      <c r="M15" s="637">
        <f t="shared" si="3"/>
        <v>24120</v>
      </c>
      <c r="N15" s="638">
        <f t="shared" si="4"/>
        <v>24875</v>
      </c>
      <c r="O15" s="639">
        <f t="shared" si="5"/>
        <v>115937.20000000001</v>
      </c>
      <c r="P15" s="397">
        <f t="shared" si="1"/>
        <v>67439.200000000012</v>
      </c>
      <c r="Q15" s="398">
        <f t="shared" si="0"/>
        <v>98445.7</v>
      </c>
      <c r="Y15" s="751"/>
    </row>
    <row r="16" spans="1:25" ht="15">
      <c r="A16" s="405">
        <f t="shared" si="6"/>
        <v>11</v>
      </c>
      <c r="B16" s="401" t="s">
        <v>406</v>
      </c>
      <c r="C16" s="402">
        <f t="shared" si="2"/>
        <v>2100</v>
      </c>
      <c r="D16" s="403">
        <v>2096</v>
      </c>
      <c r="E16" s="404">
        <v>4</v>
      </c>
      <c r="F16" s="637">
        <v>26</v>
      </c>
      <c r="G16" s="638">
        <v>2242</v>
      </c>
      <c r="H16" s="638">
        <v>882</v>
      </c>
      <c r="I16" s="639">
        <v>969</v>
      </c>
      <c r="J16" s="637">
        <v>1</v>
      </c>
      <c r="K16" s="638">
        <v>1</v>
      </c>
      <c r="L16" s="639">
        <v>1</v>
      </c>
      <c r="M16" s="637">
        <f t="shared" si="3"/>
        <v>3152</v>
      </c>
      <c r="N16" s="638">
        <f t="shared" si="4"/>
        <v>3239</v>
      </c>
      <c r="O16" s="639">
        <f t="shared" si="5"/>
        <v>12044.2</v>
      </c>
      <c r="P16" s="397">
        <f t="shared" si="1"/>
        <v>6705.2000000000007</v>
      </c>
      <c r="Q16" s="398">
        <f t="shared" si="0"/>
        <v>10039.199999999999</v>
      </c>
      <c r="Y16" s="751"/>
    </row>
    <row r="17" spans="1:25" ht="12" customHeight="1">
      <c r="A17" s="405">
        <f t="shared" si="6"/>
        <v>12</v>
      </c>
      <c r="B17" s="401" t="s">
        <v>407</v>
      </c>
      <c r="C17" s="402">
        <f t="shared" si="2"/>
        <v>819</v>
      </c>
      <c r="D17" s="403">
        <v>819</v>
      </c>
      <c r="E17" s="404">
        <v>0</v>
      </c>
      <c r="F17" s="637">
        <v>7</v>
      </c>
      <c r="G17" s="638">
        <v>122</v>
      </c>
      <c r="H17" s="638">
        <v>44</v>
      </c>
      <c r="I17" s="639">
        <v>79</v>
      </c>
      <c r="J17" s="637">
        <v>0</v>
      </c>
      <c r="K17" s="638">
        <v>0</v>
      </c>
      <c r="L17" s="639">
        <v>0</v>
      </c>
      <c r="M17" s="637">
        <f t="shared" si="3"/>
        <v>173</v>
      </c>
      <c r="N17" s="638">
        <f t="shared" si="4"/>
        <v>208</v>
      </c>
      <c r="O17" s="639">
        <f t="shared" si="5"/>
        <v>2809.7</v>
      </c>
      <c r="P17" s="397">
        <f t="shared" si="1"/>
        <v>1782.6999999999998</v>
      </c>
      <c r="Q17" s="398">
        <f t="shared" si="0"/>
        <v>2556.3000000000002</v>
      </c>
      <c r="Y17" s="751"/>
    </row>
    <row r="18" spans="1:25" ht="15">
      <c r="A18" s="405">
        <f t="shared" si="6"/>
        <v>13</v>
      </c>
      <c r="B18" s="401" t="s">
        <v>408</v>
      </c>
      <c r="C18" s="402">
        <f t="shared" si="2"/>
        <v>2792</v>
      </c>
      <c r="D18" s="403">
        <v>2792</v>
      </c>
      <c r="E18" s="404">
        <v>0</v>
      </c>
      <c r="F18" s="637">
        <v>18</v>
      </c>
      <c r="G18" s="638">
        <v>1088</v>
      </c>
      <c r="H18" s="638">
        <v>384</v>
      </c>
      <c r="I18" s="639">
        <v>856</v>
      </c>
      <c r="J18" s="637">
        <v>0</v>
      </c>
      <c r="K18" s="638">
        <v>1</v>
      </c>
      <c r="L18" s="639">
        <v>4</v>
      </c>
      <c r="M18" s="637">
        <f t="shared" si="3"/>
        <v>1491</v>
      </c>
      <c r="N18" s="638">
        <f t="shared" si="4"/>
        <v>1966</v>
      </c>
      <c r="O18" s="639">
        <f t="shared" si="5"/>
        <v>11565.8</v>
      </c>
      <c r="P18" s="397">
        <f t="shared" si="1"/>
        <v>6807.7999999999993</v>
      </c>
      <c r="Q18" s="398">
        <f t="shared" si="0"/>
        <v>10235</v>
      </c>
      <c r="Y18" s="751"/>
    </row>
    <row r="19" spans="1:25" ht="12.75" customHeight="1">
      <c r="A19" s="405">
        <f t="shared" si="6"/>
        <v>14</v>
      </c>
      <c r="B19" s="401" t="s">
        <v>409</v>
      </c>
      <c r="C19" s="402">
        <f t="shared" si="2"/>
        <v>3557</v>
      </c>
      <c r="D19" s="403">
        <v>3557</v>
      </c>
      <c r="E19" s="404">
        <v>0</v>
      </c>
      <c r="F19" s="637">
        <v>59</v>
      </c>
      <c r="G19" s="638">
        <v>1782</v>
      </c>
      <c r="H19" s="638">
        <v>555</v>
      </c>
      <c r="I19" s="639">
        <v>630</v>
      </c>
      <c r="J19" s="637">
        <v>3</v>
      </c>
      <c r="K19" s="638">
        <v>3</v>
      </c>
      <c r="L19" s="639">
        <v>4</v>
      </c>
      <c r="M19" s="637">
        <f t="shared" si="3"/>
        <v>2402</v>
      </c>
      <c r="N19" s="638">
        <f t="shared" si="4"/>
        <v>2478</v>
      </c>
      <c r="O19" s="639">
        <f t="shared" si="5"/>
        <v>15197.7</v>
      </c>
      <c r="P19" s="397">
        <f t="shared" si="1"/>
        <v>9162.7000000000007</v>
      </c>
      <c r="Q19" s="398">
        <f t="shared" si="0"/>
        <v>13203.499999999998</v>
      </c>
      <c r="Y19" s="751"/>
    </row>
    <row r="20" spans="1:25" ht="15">
      <c r="A20" s="405">
        <f t="shared" si="6"/>
        <v>15</v>
      </c>
      <c r="B20" s="401" t="s">
        <v>410</v>
      </c>
      <c r="C20" s="402">
        <f t="shared" si="2"/>
        <v>7186</v>
      </c>
      <c r="D20" s="403">
        <v>7180</v>
      </c>
      <c r="E20" s="404">
        <v>6</v>
      </c>
      <c r="F20" s="637">
        <v>52</v>
      </c>
      <c r="G20" s="638">
        <v>3670</v>
      </c>
      <c r="H20" s="638">
        <v>1137</v>
      </c>
      <c r="I20" s="639">
        <v>1288</v>
      </c>
      <c r="J20" s="637">
        <v>1</v>
      </c>
      <c r="K20" s="638">
        <v>0</v>
      </c>
      <c r="L20" s="639">
        <v>0</v>
      </c>
      <c r="M20" s="637">
        <f t="shared" si="3"/>
        <v>4860</v>
      </c>
      <c r="N20" s="638">
        <f t="shared" si="4"/>
        <v>5011</v>
      </c>
      <c r="O20" s="639">
        <f t="shared" si="5"/>
        <v>30684</v>
      </c>
      <c r="P20" s="397">
        <f t="shared" si="1"/>
        <v>18487</v>
      </c>
      <c r="Q20" s="398">
        <f t="shared" si="0"/>
        <v>26646.6</v>
      </c>
      <c r="Y20" s="751"/>
    </row>
    <row r="21" spans="1:25" ht="15">
      <c r="A21" s="405">
        <f t="shared" si="6"/>
        <v>16</v>
      </c>
      <c r="B21" s="401" t="s">
        <v>411</v>
      </c>
      <c r="C21" s="402">
        <f t="shared" si="2"/>
        <v>18603</v>
      </c>
      <c r="D21" s="403">
        <v>18589</v>
      </c>
      <c r="E21" s="404">
        <v>14</v>
      </c>
      <c r="F21" s="637">
        <v>178</v>
      </c>
      <c r="G21" s="638">
        <v>15340</v>
      </c>
      <c r="H21" s="638">
        <v>5519</v>
      </c>
      <c r="I21" s="639">
        <v>6246</v>
      </c>
      <c r="J21" s="637">
        <v>2</v>
      </c>
      <c r="K21" s="638">
        <v>1</v>
      </c>
      <c r="L21" s="639">
        <v>3</v>
      </c>
      <c r="M21" s="637">
        <f t="shared" si="3"/>
        <v>21040</v>
      </c>
      <c r="N21" s="638">
        <f t="shared" si="4"/>
        <v>21769</v>
      </c>
      <c r="O21" s="639">
        <f t="shared" si="5"/>
        <v>94719</v>
      </c>
      <c r="P21" s="397">
        <f t="shared" si="1"/>
        <v>54347</v>
      </c>
      <c r="Q21" s="398">
        <f t="shared" si="0"/>
        <v>80153.599999999991</v>
      </c>
      <c r="Y21" s="751"/>
    </row>
    <row r="22" spans="1:25" ht="15">
      <c r="A22" s="405">
        <f t="shared" si="6"/>
        <v>17</v>
      </c>
      <c r="B22" s="401" t="s">
        <v>412</v>
      </c>
      <c r="C22" s="402">
        <f t="shared" si="2"/>
        <v>11214</v>
      </c>
      <c r="D22" s="403">
        <v>11203</v>
      </c>
      <c r="E22" s="404">
        <v>11</v>
      </c>
      <c r="F22" s="637">
        <v>106</v>
      </c>
      <c r="G22" s="638">
        <v>12434</v>
      </c>
      <c r="H22" s="638">
        <v>4064</v>
      </c>
      <c r="I22" s="639">
        <v>4464</v>
      </c>
      <c r="J22" s="637">
        <v>3</v>
      </c>
      <c r="K22" s="638">
        <v>0</v>
      </c>
      <c r="L22" s="639">
        <v>0</v>
      </c>
      <c r="M22" s="637">
        <f t="shared" si="3"/>
        <v>16607</v>
      </c>
      <c r="N22" s="638">
        <f t="shared" si="4"/>
        <v>17007</v>
      </c>
      <c r="O22" s="639">
        <f t="shared" si="5"/>
        <v>64485.4</v>
      </c>
      <c r="P22" s="397">
        <f t="shared" si="1"/>
        <v>36264.400000000001</v>
      </c>
      <c r="Q22" s="398">
        <f t="shared" si="0"/>
        <v>53475.199999999997</v>
      </c>
      <c r="Y22" s="751"/>
    </row>
    <row r="23" spans="1:25" ht="15">
      <c r="A23" s="405">
        <f t="shared" si="6"/>
        <v>18</v>
      </c>
      <c r="B23" s="401" t="s">
        <v>413</v>
      </c>
      <c r="C23" s="402">
        <f t="shared" si="2"/>
        <v>3771</v>
      </c>
      <c r="D23" s="403">
        <v>3771</v>
      </c>
      <c r="E23" s="404">
        <v>0</v>
      </c>
      <c r="F23" s="637">
        <v>51</v>
      </c>
      <c r="G23" s="638">
        <v>3506</v>
      </c>
      <c r="H23" s="638">
        <v>2123</v>
      </c>
      <c r="I23" s="639">
        <v>2357</v>
      </c>
      <c r="J23" s="637">
        <v>0</v>
      </c>
      <c r="K23" s="638">
        <v>1</v>
      </c>
      <c r="L23" s="639">
        <v>5</v>
      </c>
      <c r="M23" s="637">
        <f t="shared" si="3"/>
        <v>5681</v>
      </c>
      <c r="N23" s="638">
        <f t="shared" si="4"/>
        <v>5919</v>
      </c>
      <c r="O23" s="639">
        <f t="shared" si="5"/>
        <v>21165.1</v>
      </c>
      <c r="P23" s="397">
        <f t="shared" si="1"/>
        <v>11475.099999999999</v>
      </c>
      <c r="Q23" s="398">
        <f t="shared" si="0"/>
        <v>17926.099999999999</v>
      </c>
      <c r="Y23" s="751"/>
    </row>
    <row r="24" spans="1:25" ht="15">
      <c r="A24" s="405">
        <f t="shared" si="6"/>
        <v>19</v>
      </c>
      <c r="B24" s="406" t="s">
        <v>414</v>
      </c>
      <c r="C24" s="402">
        <f t="shared" si="2"/>
        <v>7123</v>
      </c>
      <c r="D24" s="403">
        <v>7121</v>
      </c>
      <c r="E24" s="404">
        <v>2</v>
      </c>
      <c r="F24" s="637">
        <v>93</v>
      </c>
      <c r="G24" s="638">
        <v>5316</v>
      </c>
      <c r="H24" s="638">
        <v>1721</v>
      </c>
      <c r="I24" s="639">
        <v>2029</v>
      </c>
      <c r="J24" s="637">
        <v>1</v>
      </c>
      <c r="K24" s="638">
        <v>4</v>
      </c>
      <c r="L24" s="639">
        <v>10</v>
      </c>
      <c r="M24" s="637">
        <f t="shared" si="3"/>
        <v>7135</v>
      </c>
      <c r="N24" s="638">
        <f t="shared" si="4"/>
        <v>7449</v>
      </c>
      <c r="O24" s="639">
        <f t="shared" si="5"/>
        <v>34805.1</v>
      </c>
      <c r="P24" s="397">
        <f t="shared" si="1"/>
        <v>20233.099999999999</v>
      </c>
      <c r="Q24" s="398">
        <f t="shared" si="0"/>
        <v>29603.5</v>
      </c>
      <c r="Y24" s="751"/>
    </row>
    <row r="25" spans="1:25" ht="15">
      <c r="A25" s="405">
        <f t="shared" si="6"/>
        <v>20</v>
      </c>
      <c r="B25" s="406" t="s">
        <v>415</v>
      </c>
      <c r="C25" s="402">
        <f t="shared" si="2"/>
        <v>16213</v>
      </c>
      <c r="D25" s="403">
        <v>16206</v>
      </c>
      <c r="E25" s="404">
        <v>7</v>
      </c>
      <c r="F25" s="637">
        <v>165</v>
      </c>
      <c r="G25" s="638">
        <v>12298</v>
      </c>
      <c r="H25" s="638">
        <v>5061</v>
      </c>
      <c r="I25" s="639">
        <v>5665</v>
      </c>
      <c r="J25" s="637">
        <v>0</v>
      </c>
      <c r="K25" s="638">
        <v>2</v>
      </c>
      <c r="L25" s="639">
        <v>4</v>
      </c>
      <c r="M25" s="637">
        <f t="shared" si="3"/>
        <v>17526</v>
      </c>
      <c r="N25" s="638">
        <f t="shared" si="4"/>
        <v>18132</v>
      </c>
      <c r="O25" s="639">
        <f t="shared" si="5"/>
        <v>80546.3</v>
      </c>
      <c r="P25" s="397">
        <f t="shared" si="1"/>
        <v>46201.3</v>
      </c>
      <c r="Q25" s="398">
        <f t="shared" si="0"/>
        <v>68596.099999999991</v>
      </c>
      <c r="Y25" s="751"/>
    </row>
    <row r="26" spans="1:25" ht="15">
      <c r="A26" s="405">
        <f t="shared" si="6"/>
        <v>21</v>
      </c>
      <c r="B26" s="406" t="s">
        <v>502</v>
      </c>
      <c r="C26" s="402">
        <f t="shared" si="2"/>
        <v>6556</v>
      </c>
      <c r="D26" s="403">
        <v>6556</v>
      </c>
      <c r="E26" s="404">
        <v>0</v>
      </c>
      <c r="F26" s="637">
        <v>49</v>
      </c>
      <c r="G26" s="638">
        <v>3121</v>
      </c>
      <c r="H26" s="638">
        <v>875</v>
      </c>
      <c r="I26" s="639">
        <v>2012</v>
      </c>
      <c r="J26" s="637">
        <v>0</v>
      </c>
      <c r="K26" s="638">
        <v>3</v>
      </c>
      <c r="L26" s="639">
        <v>7</v>
      </c>
      <c r="M26" s="637">
        <f t="shared" si="3"/>
        <v>4048</v>
      </c>
      <c r="N26" s="638">
        <f t="shared" si="4"/>
        <v>5189</v>
      </c>
      <c r="O26" s="639">
        <f t="shared" si="5"/>
        <v>28363.599999999999</v>
      </c>
      <c r="P26" s="397">
        <f t="shared" si="1"/>
        <v>16618.599999999999</v>
      </c>
      <c r="Q26" s="398">
        <f t="shared" si="0"/>
        <v>24838.299999999996</v>
      </c>
      <c r="Y26" s="751"/>
    </row>
    <row r="27" spans="1:25" ht="15">
      <c r="A27" s="405">
        <f t="shared" si="6"/>
        <v>22</v>
      </c>
      <c r="B27" s="406" t="s">
        <v>503</v>
      </c>
      <c r="C27" s="402">
        <f t="shared" si="2"/>
        <v>9064</v>
      </c>
      <c r="D27" s="403">
        <v>9053</v>
      </c>
      <c r="E27" s="404">
        <v>11</v>
      </c>
      <c r="F27" s="637">
        <v>69</v>
      </c>
      <c r="G27" s="638">
        <v>12257</v>
      </c>
      <c r="H27" s="638">
        <v>3683</v>
      </c>
      <c r="I27" s="639">
        <v>4016</v>
      </c>
      <c r="J27" s="637">
        <v>1</v>
      </c>
      <c r="K27" s="638">
        <v>0</v>
      </c>
      <c r="L27" s="639">
        <v>0</v>
      </c>
      <c r="M27" s="637">
        <f t="shared" si="3"/>
        <v>16010</v>
      </c>
      <c r="N27" s="638">
        <f t="shared" si="4"/>
        <v>16343</v>
      </c>
      <c r="O27" s="639">
        <f t="shared" si="5"/>
        <v>57121.2</v>
      </c>
      <c r="P27" s="397">
        <f t="shared" si="1"/>
        <v>31714.199999999997</v>
      </c>
      <c r="Q27" s="398">
        <f t="shared" si="0"/>
        <v>46687.099999999991</v>
      </c>
      <c r="Y27" s="751"/>
    </row>
    <row r="28" spans="1:25" ht="15">
      <c r="A28" s="405">
        <f t="shared" si="6"/>
        <v>23</v>
      </c>
      <c r="B28" s="406" t="s">
        <v>504</v>
      </c>
      <c r="C28" s="402">
        <f t="shared" si="2"/>
        <v>5746</v>
      </c>
      <c r="D28" s="403">
        <v>5746</v>
      </c>
      <c r="E28" s="404">
        <v>0</v>
      </c>
      <c r="F28" s="637">
        <v>33</v>
      </c>
      <c r="G28" s="638">
        <v>1058</v>
      </c>
      <c r="H28" s="638">
        <v>333</v>
      </c>
      <c r="I28" s="639">
        <v>556</v>
      </c>
      <c r="J28" s="637">
        <v>0</v>
      </c>
      <c r="K28" s="638">
        <v>1</v>
      </c>
      <c r="L28" s="639">
        <v>3</v>
      </c>
      <c r="M28" s="637">
        <f t="shared" si="3"/>
        <v>1425</v>
      </c>
      <c r="N28" s="638">
        <f t="shared" si="4"/>
        <v>1650</v>
      </c>
      <c r="O28" s="639">
        <f t="shared" si="5"/>
        <v>20101.3</v>
      </c>
      <c r="P28" s="397">
        <f t="shared" si="1"/>
        <v>12705.3</v>
      </c>
      <c r="Q28" s="398">
        <f t="shared" si="0"/>
        <v>18191.7</v>
      </c>
      <c r="Y28" s="751"/>
    </row>
    <row r="29" spans="1:25" ht="15">
      <c r="A29" s="405">
        <f t="shared" si="6"/>
        <v>24</v>
      </c>
      <c r="B29" s="406" t="s">
        <v>700</v>
      </c>
      <c r="C29" s="402">
        <f t="shared" si="2"/>
        <v>4031</v>
      </c>
      <c r="D29" s="403">
        <v>4028</v>
      </c>
      <c r="E29" s="404">
        <v>3</v>
      </c>
      <c r="F29" s="637">
        <v>38</v>
      </c>
      <c r="G29" s="638">
        <v>1421</v>
      </c>
      <c r="H29" s="638">
        <v>517</v>
      </c>
      <c r="I29" s="639">
        <v>710</v>
      </c>
      <c r="J29" s="637">
        <v>2</v>
      </c>
      <c r="K29" s="638">
        <v>0</v>
      </c>
      <c r="L29" s="639">
        <v>0</v>
      </c>
      <c r="M29" s="637">
        <f t="shared" si="3"/>
        <v>1978</v>
      </c>
      <c r="N29" s="638">
        <f t="shared" si="4"/>
        <v>2171</v>
      </c>
      <c r="O29" s="639">
        <f t="shared" si="5"/>
        <v>15884.1</v>
      </c>
      <c r="P29" s="397">
        <f t="shared" si="1"/>
        <v>9682.1</v>
      </c>
      <c r="Q29" s="398">
        <f t="shared" si="0"/>
        <v>14060.4</v>
      </c>
      <c r="S29" s="740"/>
      <c r="Y29" s="751"/>
    </row>
    <row r="30" spans="1:25" ht="15">
      <c r="A30" s="405">
        <f t="shared" si="6"/>
        <v>25</v>
      </c>
      <c r="B30" s="406" t="s">
        <v>701</v>
      </c>
      <c r="C30" s="402">
        <f t="shared" si="2"/>
        <v>7091</v>
      </c>
      <c r="D30" s="403">
        <v>7091</v>
      </c>
      <c r="E30" s="404">
        <v>0</v>
      </c>
      <c r="F30" s="637">
        <v>53</v>
      </c>
      <c r="G30" s="638">
        <v>2489</v>
      </c>
      <c r="H30" s="638">
        <v>971</v>
      </c>
      <c r="I30" s="639">
        <v>1421</v>
      </c>
      <c r="J30" s="637">
        <v>1</v>
      </c>
      <c r="K30" s="638">
        <v>0</v>
      </c>
      <c r="L30" s="639">
        <v>0</v>
      </c>
      <c r="M30" s="637">
        <f t="shared" si="3"/>
        <v>3514</v>
      </c>
      <c r="N30" s="638">
        <f t="shared" si="4"/>
        <v>3964</v>
      </c>
      <c r="O30" s="639">
        <f t="shared" si="5"/>
        <v>28054.400000000001</v>
      </c>
      <c r="P30" s="397">
        <f t="shared" si="1"/>
        <v>16999.400000000001</v>
      </c>
      <c r="Q30" s="398">
        <f t="shared" si="0"/>
        <v>24862.1</v>
      </c>
      <c r="Y30" s="751"/>
    </row>
    <row r="31" spans="1:25" ht="15">
      <c r="A31" s="405">
        <f t="shared" si="6"/>
        <v>26</v>
      </c>
      <c r="B31" s="406" t="s">
        <v>26</v>
      </c>
      <c r="C31" s="402">
        <f t="shared" si="2"/>
        <v>7072</v>
      </c>
      <c r="D31" s="403">
        <v>7044</v>
      </c>
      <c r="E31" s="404">
        <v>28</v>
      </c>
      <c r="F31" s="637">
        <v>66</v>
      </c>
      <c r="G31" s="638">
        <v>7339</v>
      </c>
      <c r="H31" s="638">
        <v>4515</v>
      </c>
      <c r="I31" s="639">
        <v>4984</v>
      </c>
      <c r="J31" s="637">
        <v>1</v>
      </c>
      <c r="K31" s="638">
        <v>1</v>
      </c>
      <c r="L31" s="639">
        <v>3</v>
      </c>
      <c r="M31" s="637">
        <f t="shared" si="3"/>
        <v>11922</v>
      </c>
      <c r="N31" s="638">
        <f t="shared" si="4"/>
        <v>12393</v>
      </c>
      <c r="O31" s="639">
        <f t="shared" si="5"/>
        <v>41780.9</v>
      </c>
      <c r="P31" s="397">
        <f t="shared" si="1"/>
        <v>22315.9</v>
      </c>
      <c r="Q31" s="398">
        <f t="shared" si="0"/>
        <v>35189.599999999999</v>
      </c>
      <c r="S31" s="740"/>
      <c r="Y31" s="751"/>
    </row>
    <row r="32" spans="1:25" ht="15">
      <c r="A32" s="405">
        <f>+A31+1</f>
        <v>27</v>
      </c>
      <c r="B32" s="406" t="s">
        <v>95</v>
      </c>
      <c r="C32" s="402">
        <f t="shared" si="2"/>
        <v>16122</v>
      </c>
      <c r="D32" s="403">
        <v>16122</v>
      </c>
      <c r="E32" s="404">
        <v>0</v>
      </c>
      <c r="F32" s="637">
        <v>58</v>
      </c>
      <c r="G32" s="638">
        <v>6882</v>
      </c>
      <c r="H32" s="638">
        <v>2341</v>
      </c>
      <c r="I32" s="639">
        <v>3303</v>
      </c>
      <c r="J32" s="637">
        <v>0</v>
      </c>
      <c r="K32" s="638">
        <v>1</v>
      </c>
      <c r="L32" s="639">
        <v>2</v>
      </c>
      <c r="M32" s="637">
        <f t="shared" si="3"/>
        <v>9282</v>
      </c>
      <c r="N32" s="638">
        <f t="shared" si="4"/>
        <v>10245</v>
      </c>
      <c r="O32" s="639">
        <f t="shared" si="5"/>
        <v>66268.2</v>
      </c>
      <c r="P32" s="397">
        <f t="shared" si="1"/>
        <v>39901.199999999997</v>
      </c>
      <c r="Q32" s="398">
        <f t="shared" si="0"/>
        <v>58191.599999999991</v>
      </c>
      <c r="Y32" s="751"/>
    </row>
    <row r="33" spans="1:25" ht="15">
      <c r="A33" s="400">
        <f>+A32+1</f>
        <v>28</v>
      </c>
      <c r="B33" s="401" t="s">
        <v>773</v>
      </c>
      <c r="C33" s="402">
        <f t="shared" si="2"/>
        <v>6937</v>
      </c>
      <c r="D33" s="403">
        <v>6911</v>
      </c>
      <c r="E33" s="404">
        <v>26</v>
      </c>
      <c r="F33" s="637">
        <v>87</v>
      </c>
      <c r="G33" s="638">
        <v>4905</v>
      </c>
      <c r="H33" s="638">
        <v>2180</v>
      </c>
      <c r="I33" s="639">
        <v>2495</v>
      </c>
      <c r="J33" s="637">
        <v>0</v>
      </c>
      <c r="K33" s="638">
        <v>0</v>
      </c>
      <c r="L33" s="639">
        <v>0</v>
      </c>
      <c r="M33" s="637">
        <f t="shared" si="3"/>
        <v>7172</v>
      </c>
      <c r="N33" s="638">
        <f t="shared" si="4"/>
        <v>7487</v>
      </c>
      <c r="O33" s="639">
        <f t="shared" si="5"/>
        <v>33824</v>
      </c>
      <c r="P33" s="397">
        <f t="shared" si="1"/>
        <v>19400</v>
      </c>
      <c r="Q33" s="398">
        <f t="shared" si="0"/>
        <v>28950.899999999998</v>
      </c>
      <c r="Y33" s="751"/>
    </row>
    <row r="34" spans="1:25" ht="15">
      <c r="A34" s="400">
        <f t="shared" si="6"/>
        <v>29</v>
      </c>
      <c r="B34" s="401" t="s">
        <v>774</v>
      </c>
      <c r="C34" s="402">
        <f t="shared" si="2"/>
        <v>2327</v>
      </c>
      <c r="D34" s="403">
        <v>2327</v>
      </c>
      <c r="E34" s="404">
        <v>0</v>
      </c>
      <c r="F34" s="637">
        <v>22</v>
      </c>
      <c r="G34" s="638">
        <v>992</v>
      </c>
      <c r="H34" s="638">
        <v>638</v>
      </c>
      <c r="I34" s="639">
        <v>754</v>
      </c>
      <c r="J34" s="637">
        <v>0</v>
      </c>
      <c r="K34" s="638">
        <v>0</v>
      </c>
      <c r="L34" s="639">
        <v>0</v>
      </c>
      <c r="M34" s="637">
        <f t="shared" si="3"/>
        <v>1652</v>
      </c>
      <c r="N34" s="638">
        <f t="shared" si="4"/>
        <v>1768</v>
      </c>
      <c r="O34" s="639">
        <f t="shared" si="5"/>
        <v>9873.2000000000007</v>
      </c>
      <c r="P34" s="397">
        <f t="shared" si="1"/>
        <v>5778.2000000000007</v>
      </c>
      <c r="Q34" s="398">
        <f t="shared" si="0"/>
        <v>8700.2000000000007</v>
      </c>
      <c r="Y34" s="751"/>
    </row>
    <row r="35" spans="1:25" ht="15">
      <c r="A35" s="400">
        <f t="shared" si="6"/>
        <v>30</v>
      </c>
      <c r="B35" s="401" t="s">
        <v>775</v>
      </c>
      <c r="C35" s="402">
        <f t="shared" si="2"/>
        <v>2126</v>
      </c>
      <c r="D35" s="403">
        <v>2126</v>
      </c>
      <c r="E35" s="404">
        <v>0</v>
      </c>
      <c r="F35" s="888">
        <v>0</v>
      </c>
      <c r="G35" s="638">
        <v>15</v>
      </c>
      <c r="H35" s="638">
        <v>7</v>
      </c>
      <c r="I35" s="639">
        <v>25</v>
      </c>
      <c r="J35" s="637">
        <v>0</v>
      </c>
      <c r="K35" s="638">
        <v>0</v>
      </c>
      <c r="L35" s="639">
        <v>0</v>
      </c>
      <c r="M35" s="637">
        <f t="shared" si="3"/>
        <v>22</v>
      </c>
      <c r="N35" s="638">
        <f t="shared" si="4"/>
        <v>40</v>
      </c>
      <c r="O35" s="639">
        <f t="shared" si="5"/>
        <v>6434.5</v>
      </c>
      <c r="P35" s="397">
        <f t="shared" si="1"/>
        <v>4268.5</v>
      </c>
      <c r="Q35" s="398">
        <f t="shared" si="0"/>
        <v>5998.7999999999993</v>
      </c>
      <c r="Y35" s="751"/>
    </row>
    <row r="36" spans="1:25" ht="15">
      <c r="A36" s="400">
        <f t="shared" si="6"/>
        <v>31</v>
      </c>
      <c r="B36" s="401" t="s">
        <v>371</v>
      </c>
      <c r="C36" s="402">
        <f t="shared" si="2"/>
        <v>18160</v>
      </c>
      <c r="D36" s="403">
        <v>18153</v>
      </c>
      <c r="E36" s="404">
        <v>7</v>
      </c>
      <c r="F36" s="637">
        <v>149</v>
      </c>
      <c r="G36" s="638">
        <v>7805</v>
      </c>
      <c r="H36" s="638">
        <v>2282</v>
      </c>
      <c r="I36" s="639">
        <v>3627</v>
      </c>
      <c r="J36" s="637">
        <v>0</v>
      </c>
      <c r="K36" s="638">
        <v>4</v>
      </c>
      <c r="L36" s="639">
        <v>10</v>
      </c>
      <c r="M36" s="637">
        <f t="shared" si="3"/>
        <v>10240</v>
      </c>
      <c r="N36" s="638">
        <f t="shared" si="4"/>
        <v>11591</v>
      </c>
      <c r="O36" s="639">
        <f t="shared" si="5"/>
        <v>74880</v>
      </c>
      <c r="P36" s="397">
        <f t="shared" si="1"/>
        <v>45129</v>
      </c>
      <c r="Q36" s="398">
        <f t="shared" si="0"/>
        <v>65695.100000000006</v>
      </c>
      <c r="Y36" s="751"/>
    </row>
    <row r="37" spans="1:25" ht="15">
      <c r="A37" s="400">
        <f t="shared" si="6"/>
        <v>32</v>
      </c>
      <c r="B37" s="401" t="s">
        <v>459</v>
      </c>
      <c r="C37" s="402">
        <f t="shared" si="2"/>
        <v>5997</v>
      </c>
      <c r="D37" s="403">
        <v>5995</v>
      </c>
      <c r="E37" s="404">
        <v>2</v>
      </c>
      <c r="F37" s="637">
        <v>48</v>
      </c>
      <c r="G37" s="638">
        <v>2706</v>
      </c>
      <c r="H37" s="638">
        <v>885</v>
      </c>
      <c r="I37" s="639">
        <v>1044</v>
      </c>
      <c r="J37" s="637">
        <v>0</v>
      </c>
      <c r="K37" s="638">
        <v>1</v>
      </c>
      <c r="L37" s="639">
        <v>3</v>
      </c>
      <c r="M37" s="637">
        <f t="shared" si="3"/>
        <v>3640</v>
      </c>
      <c r="N37" s="638">
        <f t="shared" si="4"/>
        <v>3801</v>
      </c>
      <c r="O37" s="639">
        <f t="shared" si="5"/>
        <v>24840.6</v>
      </c>
      <c r="P37" s="397">
        <f t="shared" si="1"/>
        <v>15042.599999999999</v>
      </c>
      <c r="Q37" s="398">
        <f t="shared" si="0"/>
        <v>21718.199999999997</v>
      </c>
      <c r="Y37" s="751"/>
    </row>
    <row r="38" spans="1:25" ht="15">
      <c r="A38" s="400">
        <f t="shared" si="6"/>
        <v>33</v>
      </c>
      <c r="B38" s="401" t="s">
        <v>33</v>
      </c>
      <c r="C38" s="402">
        <f t="shared" si="2"/>
        <v>28458</v>
      </c>
      <c r="D38" s="403">
        <v>28457</v>
      </c>
      <c r="E38" s="404">
        <v>1</v>
      </c>
      <c r="F38" s="637">
        <v>166</v>
      </c>
      <c r="G38" s="638">
        <v>7132</v>
      </c>
      <c r="H38" s="638">
        <v>2098</v>
      </c>
      <c r="I38" s="639">
        <v>3037</v>
      </c>
      <c r="J38" s="637">
        <v>1</v>
      </c>
      <c r="K38" s="638">
        <v>2</v>
      </c>
      <c r="L38" s="639">
        <v>5</v>
      </c>
      <c r="M38" s="637">
        <f t="shared" si="3"/>
        <v>9399</v>
      </c>
      <c r="N38" s="638">
        <f t="shared" si="4"/>
        <v>10341</v>
      </c>
      <c r="O38" s="639">
        <f t="shared" si="5"/>
        <v>103809.2</v>
      </c>
      <c r="P38" s="397">
        <f t="shared" si="1"/>
        <v>65010.2</v>
      </c>
      <c r="Q38" s="398">
        <f t="shared" si="0"/>
        <v>93025.599999999991</v>
      </c>
      <c r="Y38" s="751"/>
    </row>
    <row r="39" spans="1:25" ht="15">
      <c r="A39" s="400">
        <f t="shared" si="6"/>
        <v>34</v>
      </c>
      <c r="B39" s="401" t="s">
        <v>34</v>
      </c>
      <c r="C39" s="402">
        <f t="shared" si="2"/>
        <v>5155</v>
      </c>
      <c r="D39" s="403">
        <v>5155</v>
      </c>
      <c r="E39" s="404">
        <v>0</v>
      </c>
      <c r="F39" s="637">
        <v>32</v>
      </c>
      <c r="G39" s="638">
        <v>2586</v>
      </c>
      <c r="H39" s="638">
        <v>1149</v>
      </c>
      <c r="I39" s="639">
        <v>1394</v>
      </c>
      <c r="J39" s="637">
        <v>0</v>
      </c>
      <c r="K39" s="638">
        <v>1</v>
      </c>
      <c r="L39" s="639">
        <v>2</v>
      </c>
      <c r="M39" s="637">
        <f t="shared" si="3"/>
        <v>3768</v>
      </c>
      <c r="N39" s="638">
        <f t="shared" si="4"/>
        <v>4014</v>
      </c>
      <c r="O39" s="639">
        <f t="shared" si="5"/>
        <v>22371.599999999999</v>
      </c>
      <c r="P39" s="397">
        <f t="shared" si="1"/>
        <v>13202.599999999999</v>
      </c>
      <c r="Q39" s="398">
        <f t="shared" si="0"/>
        <v>19511.199999999997</v>
      </c>
      <c r="Y39" s="751"/>
    </row>
    <row r="40" spans="1:25" ht="15">
      <c r="A40" s="400">
        <f t="shared" si="6"/>
        <v>35</v>
      </c>
      <c r="B40" s="401" t="s">
        <v>35</v>
      </c>
      <c r="C40" s="402">
        <f t="shared" si="2"/>
        <v>27462</v>
      </c>
      <c r="D40" s="403">
        <v>27461</v>
      </c>
      <c r="E40" s="404">
        <v>1</v>
      </c>
      <c r="F40" s="637">
        <v>180</v>
      </c>
      <c r="G40" s="638">
        <v>23299</v>
      </c>
      <c r="H40" s="638">
        <v>9014</v>
      </c>
      <c r="I40" s="639">
        <v>10078</v>
      </c>
      <c r="J40" s="637">
        <v>1</v>
      </c>
      <c r="K40" s="638">
        <v>1</v>
      </c>
      <c r="L40" s="639">
        <v>2</v>
      </c>
      <c r="M40" s="637">
        <f t="shared" si="3"/>
        <v>32495</v>
      </c>
      <c r="N40" s="638">
        <f t="shared" si="4"/>
        <v>33560</v>
      </c>
      <c r="O40" s="639">
        <f t="shared" si="5"/>
        <v>141844.9</v>
      </c>
      <c r="P40" s="397">
        <f t="shared" si="1"/>
        <v>80822.899999999994</v>
      </c>
      <c r="Q40" s="398">
        <f t="shared" si="0"/>
        <v>119935.19999999998</v>
      </c>
      <c r="Y40" s="751"/>
    </row>
    <row r="41" spans="1:25" ht="15">
      <c r="A41" s="400">
        <f t="shared" si="6"/>
        <v>36</v>
      </c>
      <c r="B41" s="401" t="s">
        <v>36</v>
      </c>
      <c r="C41" s="402">
        <f t="shared" si="2"/>
        <v>4546</v>
      </c>
      <c r="D41" s="403">
        <v>4546</v>
      </c>
      <c r="E41" s="404">
        <v>0</v>
      </c>
      <c r="F41" s="637">
        <v>24</v>
      </c>
      <c r="G41" s="638">
        <v>946</v>
      </c>
      <c r="H41" s="638">
        <v>323</v>
      </c>
      <c r="I41" s="639">
        <v>510</v>
      </c>
      <c r="J41" s="637">
        <v>0</v>
      </c>
      <c r="K41" s="638">
        <v>0</v>
      </c>
      <c r="L41" s="639">
        <v>0</v>
      </c>
      <c r="M41" s="637">
        <f t="shared" si="3"/>
        <v>1293</v>
      </c>
      <c r="N41" s="638">
        <f t="shared" si="4"/>
        <v>1480</v>
      </c>
      <c r="O41" s="639">
        <f t="shared" si="5"/>
        <v>16194.6</v>
      </c>
      <c r="P41" s="397">
        <f t="shared" si="1"/>
        <v>10168.6</v>
      </c>
      <c r="Q41" s="398">
        <f t="shared" si="0"/>
        <v>14608.8</v>
      </c>
      <c r="Y41" s="751"/>
    </row>
    <row r="42" spans="1:25" ht="15">
      <c r="A42" s="405">
        <f t="shared" si="6"/>
        <v>37</v>
      </c>
      <c r="B42" s="401" t="s">
        <v>37</v>
      </c>
      <c r="C42" s="402">
        <f t="shared" si="2"/>
        <v>8902</v>
      </c>
      <c r="D42" s="403">
        <v>8899</v>
      </c>
      <c r="E42" s="404">
        <v>3</v>
      </c>
      <c r="F42" s="637">
        <v>55</v>
      </c>
      <c r="G42" s="638">
        <v>3107</v>
      </c>
      <c r="H42" s="638">
        <v>982</v>
      </c>
      <c r="I42" s="639">
        <v>1219</v>
      </c>
      <c r="J42" s="637">
        <v>0</v>
      </c>
      <c r="K42" s="638">
        <v>2</v>
      </c>
      <c r="L42" s="639">
        <v>5</v>
      </c>
      <c r="M42" s="637">
        <f t="shared" si="3"/>
        <v>4146</v>
      </c>
      <c r="N42" s="638">
        <f t="shared" si="4"/>
        <v>4386</v>
      </c>
      <c r="O42" s="639">
        <f t="shared" si="5"/>
        <v>34592.199999999997</v>
      </c>
      <c r="P42" s="397">
        <f t="shared" si="1"/>
        <v>21304.199999999997</v>
      </c>
      <c r="Q42" s="398">
        <f t="shared" si="0"/>
        <v>30603.899999999998</v>
      </c>
      <c r="Y42" s="751"/>
    </row>
    <row r="43" spans="1:25" ht="15">
      <c r="A43" s="405">
        <f t="shared" si="6"/>
        <v>38</v>
      </c>
      <c r="B43" s="401" t="s">
        <v>38</v>
      </c>
      <c r="C43" s="402">
        <f t="shared" si="2"/>
        <v>11936</v>
      </c>
      <c r="D43" s="403">
        <v>11935</v>
      </c>
      <c r="E43" s="404">
        <v>1</v>
      </c>
      <c r="F43" s="637">
        <v>83</v>
      </c>
      <c r="G43" s="638">
        <v>5325</v>
      </c>
      <c r="H43" s="638">
        <v>3109</v>
      </c>
      <c r="I43" s="639">
        <v>3698</v>
      </c>
      <c r="J43" s="637">
        <v>1</v>
      </c>
      <c r="K43" s="638">
        <v>2</v>
      </c>
      <c r="L43" s="639">
        <v>3</v>
      </c>
      <c r="M43" s="637">
        <f t="shared" si="3"/>
        <v>8520</v>
      </c>
      <c r="N43" s="638">
        <f t="shared" si="4"/>
        <v>9110</v>
      </c>
      <c r="O43" s="639">
        <f t="shared" si="5"/>
        <v>50900</v>
      </c>
      <c r="P43" s="397">
        <f t="shared" si="1"/>
        <v>29854</v>
      </c>
      <c r="Q43" s="398">
        <f t="shared" si="0"/>
        <v>44735.499999999993</v>
      </c>
      <c r="Y43" s="751"/>
    </row>
    <row r="44" spans="1:25" ht="14.25" customHeight="1">
      <c r="A44" s="405">
        <f t="shared" si="6"/>
        <v>39</v>
      </c>
      <c r="B44" s="401" t="s">
        <v>39</v>
      </c>
      <c r="C44" s="402">
        <f t="shared" si="2"/>
        <v>4687</v>
      </c>
      <c r="D44" s="403">
        <v>4685</v>
      </c>
      <c r="E44" s="404">
        <v>2</v>
      </c>
      <c r="F44" s="637">
        <v>42</v>
      </c>
      <c r="G44" s="638">
        <v>5156</v>
      </c>
      <c r="H44" s="638">
        <v>1780</v>
      </c>
      <c r="I44" s="639">
        <v>1980</v>
      </c>
      <c r="J44" s="637">
        <v>0</v>
      </c>
      <c r="K44" s="638">
        <v>0</v>
      </c>
      <c r="L44" s="639">
        <v>0</v>
      </c>
      <c r="M44" s="637">
        <f t="shared" si="3"/>
        <v>6978</v>
      </c>
      <c r="N44" s="638">
        <f t="shared" si="4"/>
        <v>7178</v>
      </c>
      <c r="O44" s="639">
        <f t="shared" si="5"/>
        <v>26973.599999999999</v>
      </c>
      <c r="P44" s="397">
        <f t="shared" si="1"/>
        <v>15108.599999999999</v>
      </c>
      <c r="Q44" s="398">
        <f t="shared" si="0"/>
        <v>22401.799999999996</v>
      </c>
      <c r="Y44" s="751"/>
    </row>
    <row r="45" spans="1:25" ht="15">
      <c r="A45" s="405">
        <f t="shared" si="6"/>
        <v>40</v>
      </c>
      <c r="B45" s="401" t="s">
        <v>40</v>
      </c>
      <c r="C45" s="402">
        <f t="shared" si="2"/>
        <v>3734</v>
      </c>
      <c r="D45" s="403">
        <v>3732</v>
      </c>
      <c r="E45" s="404">
        <v>2</v>
      </c>
      <c r="F45" s="637">
        <v>35</v>
      </c>
      <c r="G45" s="638">
        <v>2137</v>
      </c>
      <c r="H45" s="638">
        <v>2036</v>
      </c>
      <c r="I45" s="639">
        <v>2326</v>
      </c>
      <c r="J45" s="637">
        <v>0</v>
      </c>
      <c r="K45" s="638">
        <v>1</v>
      </c>
      <c r="L45" s="639">
        <v>1</v>
      </c>
      <c r="M45" s="637">
        <f t="shared" si="3"/>
        <v>4209</v>
      </c>
      <c r="N45" s="638">
        <f t="shared" si="4"/>
        <v>4499</v>
      </c>
      <c r="O45" s="639">
        <f t="shared" si="5"/>
        <v>18104.2</v>
      </c>
      <c r="P45" s="397">
        <f t="shared" si="1"/>
        <v>9871.2000000000007</v>
      </c>
      <c r="Q45" s="398">
        <f t="shared" si="0"/>
        <v>15840.499999999998</v>
      </c>
      <c r="Y45" s="751"/>
    </row>
    <row r="46" spans="1:25" ht="15">
      <c r="A46" s="405">
        <f t="shared" si="6"/>
        <v>41</v>
      </c>
      <c r="B46" s="401" t="s">
        <v>248</v>
      </c>
      <c r="C46" s="402">
        <f t="shared" si="2"/>
        <v>2587</v>
      </c>
      <c r="D46" s="403">
        <v>2587</v>
      </c>
      <c r="E46" s="404">
        <v>0</v>
      </c>
      <c r="F46" s="637">
        <v>32</v>
      </c>
      <c r="G46" s="638">
        <v>3716</v>
      </c>
      <c r="H46" s="638">
        <v>1172</v>
      </c>
      <c r="I46" s="639">
        <v>1361</v>
      </c>
      <c r="J46" s="637">
        <v>0</v>
      </c>
      <c r="K46" s="638">
        <v>1</v>
      </c>
      <c r="L46" s="639">
        <v>3</v>
      </c>
      <c r="M46" s="637">
        <f t="shared" si="3"/>
        <v>4921</v>
      </c>
      <c r="N46" s="638">
        <f t="shared" si="4"/>
        <v>5112</v>
      </c>
      <c r="O46" s="639">
        <f t="shared" si="5"/>
        <v>17008.599999999999</v>
      </c>
      <c r="P46" s="397">
        <f t="shared" si="1"/>
        <v>9309.5999999999985</v>
      </c>
      <c r="Q46" s="398">
        <f t="shared" si="0"/>
        <v>13870.8</v>
      </c>
      <c r="Y46" s="751"/>
    </row>
    <row r="47" spans="1:25" ht="15">
      <c r="A47" s="405">
        <f t="shared" si="6"/>
        <v>42</v>
      </c>
      <c r="B47" s="401" t="s">
        <v>781</v>
      </c>
      <c r="C47" s="402">
        <f t="shared" si="2"/>
        <v>42294</v>
      </c>
      <c r="D47" s="403">
        <v>42291</v>
      </c>
      <c r="E47" s="404">
        <v>3</v>
      </c>
      <c r="F47" s="637">
        <v>252</v>
      </c>
      <c r="G47" s="638">
        <v>19873</v>
      </c>
      <c r="H47" s="638">
        <v>9696</v>
      </c>
      <c r="I47" s="639">
        <v>11658</v>
      </c>
      <c r="J47" s="637">
        <v>4</v>
      </c>
      <c r="K47" s="638">
        <v>2</v>
      </c>
      <c r="L47" s="639">
        <v>5</v>
      </c>
      <c r="M47" s="637">
        <f t="shared" si="3"/>
        <v>29827</v>
      </c>
      <c r="N47" s="638">
        <f t="shared" si="4"/>
        <v>31792</v>
      </c>
      <c r="O47" s="639">
        <f t="shared" si="5"/>
        <v>180912.3</v>
      </c>
      <c r="P47" s="397">
        <f t="shared" si="1"/>
        <v>106826.29999999999</v>
      </c>
      <c r="Q47" s="398">
        <f t="shared" si="0"/>
        <v>158391.20000000001</v>
      </c>
      <c r="Y47" s="751"/>
    </row>
    <row r="48" spans="1:25" ht="15">
      <c r="A48" s="405">
        <f t="shared" si="6"/>
        <v>43</v>
      </c>
      <c r="B48" s="401" t="s">
        <v>240</v>
      </c>
      <c r="C48" s="402">
        <f t="shared" si="2"/>
        <v>7027</v>
      </c>
      <c r="D48" s="403">
        <v>7012</v>
      </c>
      <c r="E48" s="404">
        <v>15</v>
      </c>
      <c r="F48" s="637">
        <v>76</v>
      </c>
      <c r="G48" s="638">
        <v>4276</v>
      </c>
      <c r="H48" s="638">
        <v>2193</v>
      </c>
      <c r="I48" s="639">
        <v>2438</v>
      </c>
      <c r="J48" s="637">
        <v>1</v>
      </c>
      <c r="K48" s="638">
        <v>0</v>
      </c>
      <c r="L48" s="639">
        <v>0</v>
      </c>
      <c r="M48" s="637">
        <f t="shared" si="3"/>
        <v>6546</v>
      </c>
      <c r="N48" s="638">
        <f t="shared" si="4"/>
        <v>6791</v>
      </c>
      <c r="O48" s="639">
        <f t="shared" si="5"/>
        <v>32689.599999999999</v>
      </c>
      <c r="P48" s="397">
        <f t="shared" si="1"/>
        <v>18871.599999999999</v>
      </c>
      <c r="Q48" s="398">
        <f t="shared" si="0"/>
        <v>28245.4</v>
      </c>
      <c r="Y48" s="751"/>
    </row>
    <row r="49" spans="1:25" ht="15">
      <c r="A49" s="405">
        <f t="shared" si="6"/>
        <v>44</v>
      </c>
      <c r="B49" s="401" t="s">
        <v>241</v>
      </c>
      <c r="C49" s="402">
        <f t="shared" si="2"/>
        <v>12493</v>
      </c>
      <c r="D49" s="403">
        <v>12486</v>
      </c>
      <c r="E49" s="404">
        <v>7</v>
      </c>
      <c r="F49" s="637">
        <v>103</v>
      </c>
      <c r="G49" s="638">
        <v>3290</v>
      </c>
      <c r="H49" s="638">
        <v>1028</v>
      </c>
      <c r="I49" s="639">
        <v>1493</v>
      </c>
      <c r="J49" s="637">
        <v>0</v>
      </c>
      <c r="K49" s="638">
        <v>0</v>
      </c>
      <c r="L49" s="639">
        <v>0</v>
      </c>
      <c r="M49" s="637">
        <f t="shared" si="3"/>
        <v>4421</v>
      </c>
      <c r="N49" s="638">
        <f t="shared" si="4"/>
        <v>4886</v>
      </c>
      <c r="O49" s="639">
        <f t="shared" si="5"/>
        <v>46138.5</v>
      </c>
      <c r="P49" s="397">
        <f t="shared" si="1"/>
        <v>28759.5</v>
      </c>
      <c r="Q49" s="398">
        <f t="shared" si="0"/>
        <v>41275.099999999991</v>
      </c>
      <c r="Y49" s="751"/>
    </row>
    <row r="50" spans="1:25" ht="12.75" customHeight="1">
      <c r="A50" s="405">
        <f t="shared" si="6"/>
        <v>45</v>
      </c>
      <c r="B50" s="406" t="s">
        <v>242</v>
      </c>
      <c r="C50" s="402">
        <f t="shared" si="2"/>
        <v>33097</v>
      </c>
      <c r="D50" s="403">
        <v>33087</v>
      </c>
      <c r="E50" s="404">
        <v>10</v>
      </c>
      <c r="F50" s="637">
        <v>297</v>
      </c>
      <c r="G50" s="638">
        <v>31163</v>
      </c>
      <c r="H50" s="638">
        <v>10538</v>
      </c>
      <c r="I50" s="639">
        <v>11730</v>
      </c>
      <c r="J50" s="637">
        <v>3</v>
      </c>
      <c r="K50" s="638">
        <v>7</v>
      </c>
      <c r="L50" s="639">
        <v>21</v>
      </c>
      <c r="M50" s="637">
        <f t="shared" si="3"/>
        <v>42008</v>
      </c>
      <c r="N50" s="638">
        <f t="shared" si="4"/>
        <v>43214</v>
      </c>
      <c r="O50" s="639">
        <f t="shared" si="5"/>
        <v>177229.8</v>
      </c>
      <c r="P50" s="397">
        <f t="shared" si="1"/>
        <v>100918.79999999999</v>
      </c>
      <c r="Q50" s="398">
        <f t="shared" si="0"/>
        <v>148618.09999999998</v>
      </c>
      <c r="Y50" s="751"/>
    </row>
    <row r="51" spans="1:25" ht="15">
      <c r="A51" s="405">
        <f t="shared" si="6"/>
        <v>46</v>
      </c>
      <c r="B51" s="406" t="s">
        <v>243</v>
      </c>
      <c r="C51" s="402">
        <f t="shared" si="2"/>
        <v>10027</v>
      </c>
      <c r="D51" s="403">
        <v>10027</v>
      </c>
      <c r="E51" s="404">
        <v>0</v>
      </c>
      <c r="F51" s="637">
        <v>45</v>
      </c>
      <c r="G51" s="638">
        <v>4347</v>
      </c>
      <c r="H51" s="638">
        <v>1085</v>
      </c>
      <c r="I51" s="639">
        <v>1455</v>
      </c>
      <c r="J51" s="637">
        <v>1</v>
      </c>
      <c r="K51" s="638">
        <v>0</v>
      </c>
      <c r="L51" s="639">
        <v>0</v>
      </c>
      <c r="M51" s="637">
        <f t="shared" si="3"/>
        <v>5478</v>
      </c>
      <c r="N51" s="638">
        <f t="shared" si="4"/>
        <v>5848</v>
      </c>
      <c r="O51" s="639">
        <f t="shared" si="5"/>
        <v>40778.199999999997</v>
      </c>
      <c r="P51" s="397">
        <f t="shared" si="1"/>
        <v>24903.199999999997</v>
      </c>
      <c r="Q51" s="398">
        <f t="shared" si="0"/>
        <v>35702.899999999994</v>
      </c>
      <c r="Y51" s="751"/>
    </row>
    <row r="52" spans="1:25" ht="15">
      <c r="A52" s="405">
        <f t="shared" si="6"/>
        <v>47</v>
      </c>
      <c r="B52" s="406" t="s">
        <v>244</v>
      </c>
      <c r="C52" s="402">
        <f t="shared" si="2"/>
        <v>7618</v>
      </c>
      <c r="D52" s="403">
        <v>7618</v>
      </c>
      <c r="E52" s="404">
        <v>0</v>
      </c>
      <c r="F52" s="637">
        <v>33</v>
      </c>
      <c r="G52" s="638">
        <v>857</v>
      </c>
      <c r="H52" s="638">
        <v>317</v>
      </c>
      <c r="I52" s="639">
        <v>785</v>
      </c>
      <c r="J52" s="637">
        <v>0</v>
      </c>
      <c r="K52" s="638">
        <v>1</v>
      </c>
      <c r="L52" s="639">
        <v>2</v>
      </c>
      <c r="M52" s="637">
        <f t="shared" si="3"/>
        <v>1208</v>
      </c>
      <c r="N52" s="638">
        <f t="shared" si="4"/>
        <v>1677</v>
      </c>
      <c r="O52" s="639">
        <f t="shared" si="5"/>
        <v>25523.200000000001</v>
      </c>
      <c r="P52" s="397">
        <f t="shared" si="1"/>
        <v>16228.2</v>
      </c>
      <c r="Q52" s="398">
        <f t="shared" si="0"/>
        <v>23379.899999999998</v>
      </c>
      <c r="Y52" s="751"/>
    </row>
    <row r="53" spans="1:25" ht="15">
      <c r="A53" s="405">
        <f t="shared" si="6"/>
        <v>48</v>
      </c>
      <c r="B53" s="406" t="s">
        <v>491</v>
      </c>
      <c r="C53" s="402">
        <f t="shared" si="2"/>
        <v>8706</v>
      </c>
      <c r="D53" s="403">
        <v>8705</v>
      </c>
      <c r="E53" s="404">
        <v>1</v>
      </c>
      <c r="F53" s="637">
        <v>117</v>
      </c>
      <c r="G53" s="638">
        <v>12992</v>
      </c>
      <c r="H53" s="638">
        <v>4403</v>
      </c>
      <c r="I53" s="639">
        <v>4873</v>
      </c>
      <c r="J53" s="637">
        <v>0</v>
      </c>
      <c r="K53" s="638">
        <v>2</v>
      </c>
      <c r="L53" s="639">
        <v>6</v>
      </c>
      <c r="M53" s="637">
        <f t="shared" si="3"/>
        <v>17514</v>
      </c>
      <c r="N53" s="638">
        <f t="shared" si="4"/>
        <v>17988</v>
      </c>
      <c r="O53" s="639">
        <f t="shared" si="5"/>
        <v>58572.7</v>
      </c>
      <c r="P53" s="397">
        <f t="shared" si="1"/>
        <v>31878.699999999997</v>
      </c>
      <c r="Q53" s="398">
        <f t="shared" si="0"/>
        <v>47666.899999999994</v>
      </c>
      <c r="Y53" s="751"/>
    </row>
    <row r="54" spans="1:25" ht="15">
      <c r="A54" s="405">
        <f t="shared" si="6"/>
        <v>49</v>
      </c>
      <c r="B54" s="406" t="s">
        <v>492</v>
      </c>
      <c r="C54" s="402">
        <f t="shared" si="2"/>
        <v>2239</v>
      </c>
      <c r="D54" s="403">
        <v>2239</v>
      </c>
      <c r="E54" s="404">
        <v>0</v>
      </c>
      <c r="F54" s="637">
        <v>12</v>
      </c>
      <c r="G54" s="638">
        <v>2118</v>
      </c>
      <c r="H54" s="638">
        <v>581</v>
      </c>
      <c r="I54" s="639">
        <v>1201</v>
      </c>
      <c r="J54" s="637">
        <v>0</v>
      </c>
      <c r="K54" s="638">
        <v>0</v>
      </c>
      <c r="L54" s="639">
        <v>0</v>
      </c>
      <c r="M54" s="637">
        <f t="shared" si="3"/>
        <v>2711</v>
      </c>
      <c r="N54" s="638">
        <f t="shared" si="4"/>
        <v>3331</v>
      </c>
      <c r="O54" s="639">
        <f t="shared" si="5"/>
        <v>12395.8</v>
      </c>
      <c r="P54" s="397">
        <f t="shared" si="1"/>
        <v>6825.7999999999993</v>
      </c>
      <c r="Q54" s="398">
        <f t="shared" si="0"/>
        <v>10458.200000000001</v>
      </c>
      <c r="Y54" s="751"/>
    </row>
    <row r="55" spans="1:25" ht="15">
      <c r="A55" s="405">
        <f t="shared" si="6"/>
        <v>50</v>
      </c>
      <c r="B55" s="406" t="s">
        <v>493</v>
      </c>
      <c r="C55" s="402">
        <f t="shared" si="2"/>
        <v>7898</v>
      </c>
      <c r="D55" s="403">
        <v>7898</v>
      </c>
      <c r="E55" s="404">
        <v>0</v>
      </c>
      <c r="F55" s="637">
        <v>70</v>
      </c>
      <c r="G55" s="638">
        <v>3690</v>
      </c>
      <c r="H55" s="638">
        <v>2037</v>
      </c>
      <c r="I55" s="639">
        <v>2320</v>
      </c>
      <c r="J55" s="637">
        <v>2</v>
      </c>
      <c r="K55" s="638">
        <v>0</v>
      </c>
      <c r="L55" s="639">
        <v>0</v>
      </c>
      <c r="M55" s="637">
        <f t="shared" si="3"/>
        <v>5799</v>
      </c>
      <c r="N55" s="638">
        <f t="shared" si="4"/>
        <v>6082</v>
      </c>
      <c r="O55" s="639">
        <f t="shared" si="5"/>
        <v>33940</v>
      </c>
      <c r="P55" s="397">
        <f t="shared" si="1"/>
        <v>19960</v>
      </c>
      <c r="Q55" s="398">
        <f t="shared" si="0"/>
        <v>29735.399999999998</v>
      </c>
      <c r="Y55" s="751"/>
    </row>
    <row r="56" spans="1:25" ht="15">
      <c r="A56" s="405">
        <f t="shared" si="6"/>
        <v>51</v>
      </c>
      <c r="B56" s="406" t="s">
        <v>494</v>
      </c>
      <c r="C56" s="402">
        <f t="shared" si="2"/>
        <v>12741</v>
      </c>
      <c r="D56" s="403">
        <v>12738</v>
      </c>
      <c r="E56" s="404">
        <v>3</v>
      </c>
      <c r="F56" s="637">
        <v>46</v>
      </c>
      <c r="G56" s="638">
        <v>2680</v>
      </c>
      <c r="H56" s="638">
        <v>1663</v>
      </c>
      <c r="I56" s="639">
        <v>2022</v>
      </c>
      <c r="J56" s="637">
        <v>0</v>
      </c>
      <c r="K56" s="638">
        <v>2</v>
      </c>
      <c r="L56" s="639">
        <v>3</v>
      </c>
      <c r="M56" s="637">
        <f t="shared" si="3"/>
        <v>4391</v>
      </c>
      <c r="N56" s="638">
        <f t="shared" si="4"/>
        <v>4751</v>
      </c>
      <c r="O56" s="639">
        <f t="shared" si="5"/>
        <v>45991</v>
      </c>
      <c r="P56" s="397">
        <f t="shared" si="1"/>
        <v>28499</v>
      </c>
      <c r="Q56" s="398">
        <f t="shared" si="0"/>
        <v>41539.199999999997</v>
      </c>
      <c r="Y56" s="751"/>
    </row>
    <row r="57" spans="1:25" ht="14.25" customHeight="1">
      <c r="A57" s="405">
        <f t="shared" si="6"/>
        <v>52</v>
      </c>
      <c r="B57" s="406" t="s">
        <v>495</v>
      </c>
      <c r="C57" s="402">
        <f t="shared" si="2"/>
        <v>10394</v>
      </c>
      <c r="D57" s="403">
        <v>10383</v>
      </c>
      <c r="E57" s="404">
        <v>11</v>
      </c>
      <c r="F57" s="637">
        <v>121</v>
      </c>
      <c r="G57" s="638">
        <v>8590</v>
      </c>
      <c r="H57" s="638">
        <v>3386</v>
      </c>
      <c r="I57" s="639">
        <v>3911</v>
      </c>
      <c r="J57" s="637">
        <v>1</v>
      </c>
      <c r="K57" s="638">
        <v>2</v>
      </c>
      <c r="L57" s="639">
        <v>8</v>
      </c>
      <c r="M57" s="637">
        <f t="shared" si="3"/>
        <v>12100</v>
      </c>
      <c r="N57" s="638">
        <f t="shared" si="4"/>
        <v>12631</v>
      </c>
      <c r="O57" s="639">
        <f t="shared" si="5"/>
        <v>53443.5</v>
      </c>
      <c r="P57" s="397">
        <f t="shared" si="1"/>
        <v>30418.5</v>
      </c>
      <c r="Q57" s="398">
        <f t="shared" si="0"/>
        <v>45279.1</v>
      </c>
      <c r="Y57" s="751"/>
    </row>
    <row r="58" spans="1:25" ht="15">
      <c r="A58" s="405">
        <f t="shared" si="6"/>
        <v>53</v>
      </c>
      <c r="B58" s="406" t="s">
        <v>496</v>
      </c>
      <c r="C58" s="402">
        <f t="shared" si="2"/>
        <v>8209</v>
      </c>
      <c r="D58" s="403">
        <v>8195</v>
      </c>
      <c r="E58" s="404">
        <v>14</v>
      </c>
      <c r="F58" s="637">
        <v>68</v>
      </c>
      <c r="G58" s="638">
        <v>4380</v>
      </c>
      <c r="H58" s="638">
        <v>919</v>
      </c>
      <c r="I58" s="639">
        <v>1217</v>
      </c>
      <c r="J58" s="637">
        <v>0</v>
      </c>
      <c r="K58" s="638">
        <v>1</v>
      </c>
      <c r="L58" s="639">
        <v>2</v>
      </c>
      <c r="M58" s="637">
        <f t="shared" si="3"/>
        <v>5368</v>
      </c>
      <c r="N58" s="638">
        <f t="shared" si="4"/>
        <v>5667</v>
      </c>
      <c r="O58" s="639">
        <f t="shared" si="5"/>
        <v>35214</v>
      </c>
      <c r="P58" s="397">
        <f t="shared" si="1"/>
        <v>21338</v>
      </c>
      <c r="Q58" s="398">
        <f t="shared" si="0"/>
        <v>30465.399999999998</v>
      </c>
      <c r="Y58" s="751"/>
    </row>
    <row r="59" spans="1:25" ht="15">
      <c r="A59" s="400">
        <f t="shared" si="6"/>
        <v>54</v>
      </c>
      <c r="B59" s="401" t="s">
        <v>901</v>
      </c>
      <c r="C59" s="402">
        <f t="shared" si="2"/>
        <v>9134</v>
      </c>
      <c r="D59" s="403">
        <v>9131</v>
      </c>
      <c r="E59" s="404">
        <v>3</v>
      </c>
      <c r="F59" s="637">
        <v>134</v>
      </c>
      <c r="G59" s="638">
        <v>10542</v>
      </c>
      <c r="H59" s="638">
        <v>3558</v>
      </c>
      <c r="I59" s="639">
        <v>4234</v>
      </c>
      <c r="J59" s="637">
        <v>3</v>
      </c>
      <c r="K59" s="638">
        <v>1</v>
      </c>
      <c r="L59" s="639">
        <v>2</v>
      </c>
      <c r="M59" s="637">
        <f t="shared" si="3"/>
        <v>14238</v>
      </c>
      <c r="N59" s="638">
        <f t="shared" si="4"/>
        <v>14915</v>
      </c>
      <c r="O59" s="639">
        <f t="shared" si="5"/>
        <v>54114.2</v>
      </c>
      <c r="P59" s="397">
        <f t="shared" si="1"/>
        <v>30065.199999999997</v>
      </c>
      <c r="Q59" s="398">
        <f t="shared" si="0"/>
        <v>44827.599999999991</v>
      </c>
      <c r="Y59" s="751"/>
    </row>
    <row r="60" spans="1:25" ht="15">
      <c r="A60" s="400">
        <f t="shared" si="6"/>
        <v>55</v>
      </c>
      <c r="B60" s="401" t="s">
        <v>902</v>
      </c>
      <c r="C60" s="402">
        <f t="shared" si="2"/>
        <v>21129</v>
      </c>
      <c r="D60" s="403">
        <v>21121</v>
      </c>
      <c r="E60" s="404">
        <v>8</v>
      </c>
      <c r="F60" s="637">
        <v>209</v>
      </c>
      <c r="G60" s="638">
        <v>17411</v>
      </c>
      <c r="H60" s="638">
        <v>7163</v>
      </c>
      <c r="I60" s="639">
        <v>8519</v>
      </c>
      <c r="J60" s="637">
        <v>3</v>
      </c>
      <c r="K60" s="638">
        <v>4</v>
      </c>
      <c r="L60" s="639">
        <v>13</v>
      </c>
      <c r="M60" s="637">
        <f t="shared" si="3"/>
        <v>24790</v>
      </c>
      <c r="N60" s="638">
        <f t="shared" si="4"/>
        <v>26155</v>
      </c>
      <c r="O60" s="639">
        <f t="shared" si="5"/>
        <v>109007.6</v>
      </c>
      <c r="P60" s="397">
        <f t="shared" si="1"/>
        <v>61723.600000000006</v>
      </c>
      <c r="Q60" s="398">
        <f t="shared" si="0"/>
        <v>92468.7</v>
      </c>
      <c r="Y60" s="751"/>
    </row>
    <row r="61" spans="1:25" ht="15">
      <c r="A61" s="400">
        <f t="shared" si="6"/>
        <v>56</v>
      </c>
      <c r="B61" s="401" t="s">
        <v>642</v>
      </c>
      <c r="C61" s="402">
        <f t="shared" si="2"/>
        <v>1784</v>
      </c>
      <c r="D61" s="403">
        <v>1784</v>
      </c>
      <c r="E61" s="404">
        <v>0</v>
      </c>
      <c r="F61" s="637">
        <v>7</v>
      </c>
      <c r="G61" s="638">
        <v>170</v>
      </c>
      <c r="H61" s="638">
        <v>101</v>
      </c>
      <c r="I61" s="639">
        <v>234</v>
      </c>
      <c r="J61" s="637">
        <v>1</v>
      </c>
      <c r="K61" s="638">
        <v>0</v>
      </c>
      <c r="L61" s="639">
        <v>0</v>
      </c>
      <c r="M61" s="637">
        <f t="shared" si="3"/>
        <v>279</v>
      </c>
      <c r="N61" s="638">
        <f t="shared" si="4"/>
        <v>412</v>
      </c>
      <c r="O61" s="639">
        <f t="shared" si="5"/>
        <v>5961.5</v>
      </c>
      <c r="P61" s="397">
        <f t="shared" si="1"/>
        <v>3765.5</v>
      </c>
      <c r="Q61" s="398">
        <f t="shared" si="0"/>
        <v>5481.5</v>
      </c>
      <c r="Y61" s="751"/>
    </row>
    <row r="62" spans="1:25" ht="15">
      <c r="A62" s="400">
        <f t="shared" si="6"/>
        <v>57</v>
      </c>
      <c r="B62" s="401" t="s">
        <v>109</v>
      </c>
      <c r="C62" s="402">
        <f t="shared" si="2"/>
        <v>3258</v>
      </c>
      <c r="D62" s="403">
        <v>3254</v>
      </c>
      <c r="E62" s="404">
        <v>4</v>
      </c>
      <c r="F62" s="637">
        <v>45</v>
      </c>
      <c r="G62" s="638">
        <v>3396</v>
      </c>
      <c r="H62" s="638">
        <v>1533</v>
      </c>
      <c r="I62" s="639">
        <v>1757</v>
      </c>
      <c r="J62" s="637">
        <v>0</v>
      </c>
      <c r="K62" s="638">
        <v>0</v>
      </c>
      <c r="L62" s="639">
        <v>0</v>
      </c>
      <c r="M62" s="637">
        <f t="shared" si="3"/>
        <v>4974</v>
      </c>
      <c r="N62" s="638">
        <f t="shared" si="4"/>
        <v>5198</v>
      </c>
      <c r="O62" s="639">
        <f t="shared" si="5"/>
        <v>18775.099999999999</v>
      </c>
      <c r="P62" s="397">
        <f t="shared" si="1"/>
        <v>10319.099999999999</v>
      </c>
      <c r="Q62" s="398">
        <f t="shared" si="0"/>
        <v>15719.3</v>
      </c>
      <c r="Y62" s="751"/>
    </row>
    <row r="63" spans="1:25" ht="15">
      <c r="A63" s="400">
        <f>+A62+1</f>
        <v>58</v>
      </c>
      <c r="B63" s="401" t="s">
        <v>110</v>
      </c>
      <c r="C63" s="402">
        <f t="shared" si="2"/>
        <v>13166</v>
      </c>
      <c r="D63" s="403">
        <v>13162</v>
      </c>
      <c r="E63" s="404">
        <v>4</v>
      </c>
      <c r="F63" s="637">
        <v>96</v>
      </c>
      <c r="G63" s="638">
        <v>8987</v>
      </c>
      <c r="H63" s="638">
        <v>5075</v>
      </c>
      <c r="I63" s="639">
        <v>5952</v>
      </c>
      <c r="J63" s="637">
        <v>1</v>
      </c>
      <c r="K63" s="638">
        <v>4</v>
      </c>
      <c r="L63" s="639">
        <v>15</v>
      </c>
      <c r="M63" s="637">
        <f t="shared" si="3"/>
        <v>14163</v>
      </c>
      <c r="N63" s="638">
        <f t="shared" si="4"/>
        <v>15051</v>
      </c>
      <c r="O63" s="639">
        <f t="shared" si="5"/>
        <v>64578.7</v>
      </c>
      <c r="P63" s="397">
        <f t="shared" si="1"/>
        <v>36361.699999999997</v>
      </c>
      <c r="Q63" s="398">
        <f t="shared" si="0"/>
        <v>55597</v>
      </c>
      <c r="Y63" s="751"/>
    </row>
    <row r="64" spans="1:25" ht="15">
      <c r="A64" s="400">
        <f>+A63+1</f>
        <v>59</v>
      </c>
      <c r="B64" s="401" t="s">
        <v>111</v>
      </c>
      <c r="C64" s="402">
        <f t="shared" si="2"/>
        <v>7221</v>
      </c>
      <c r="D64" s="403">
        <v>7212</v>
      </c>
      <c r="E64" s="404">
        <v>9</v>
      </c>
      <c r="F64" s="637">
        <v>72</v>
      </c>
      <c r="G64" s="638">
        <v>8654</v>
      </c>
      <c r="H64" s="638">
        <v>2966</v>
      </c>
      <c r="I64" s="639">
        <v>3321</v>
      </c>
      <c r="J64" s="637">
        <v>0</v>
      </c>
      <c r="K64" s="638">
        <v>0</v>
      </c>
      <c r="L64" s="639">
        <v>0</v>
      </c>
      <c r="M64" s="637">
        <f t="shared" si="3"/>
        <v>11692</v>
      </c>
      <c r="N64" s="638">
        <f t="shared" si="4"/>
        <v>12047</v>
      </c>
      <c r="O64" s="639">
        <f t="shared" si="5"/>
        <v>43337.4</v>
      </c>
      <c r="P64" s="397">
        <f t="shared" si="1"/>
        <v>24069.4</v>
      </c>
      <c r="Q64" s="398">
        <f t="shared" si="0"/>
        <v>35792.199999999997</v>
      </c>
      <c r="Y64" s="751"/>
    </row>
    <row r="65" spans="1:25" ht="15">
      <c r="A65" s="400">
        <f t="shared" ref="A65:A86" si="7">+A64+1</f>
        <v>60</v>
      </c>
      <c r="B65" s="401" t="s">
        <v>528</v>
      </c>
      <c r="C65" s="402">
        <f t="shared" si="2"/>
        <v>9465</v>
      </c>
      <c r="D65" s="403">
        <v>9463</v>
      </c>
      <c r="E65" s="404">
        <v>2</v>
      </c>
      <c r="F65" s="637">
        <v>135</v>
      </c>
      <c r="G65" s="638">
        <v>10011</v>
      </c>
      <c r="H65" s="638">
        <v>3443</v>
      </c>
      <c r="I65" s="639">
        <v>4018</v>
      </c>
      <c r="J65" s="637">
        <v>0</v>
      </c>
      <c r="K65" s="638">
        <v>2</v>
      </c>
      <c r="L65" s="639">
        <v>7</v>
      </c>
      <c r="M65" s="637">
        <f t="shared" si="3"/>
        <v>13591</v>
      </c>
      <c r="N65" s="638">
        <f t="shared" si="4"/>
        <v>14171</v>
      </c>
      <c r="O65" s="639">
        <f t="shared" si="5"/>
        <v>53780.600000000006</v>
      </c>
      <c r="P65" s="397">
        <f t="shared" si="1"/>
        <v>30144.600000000006</v>
      </c>
      <c r="Q65" s="398">
        <f t="shared" si="0"/>
        <v>44798.9</v>
      </c>
      <c r="Y65" s="751"/>
    </row>
    <row r="66" spans="1:25" ht="15">
      <c r="A66" s="400">
        <f t="shared" si="7"/>
        <v>61</v>
      </c>
      <c r="B66" s="401" t="s">
        <v>529</v>
      </c>
      <c r="C66" s="402">
        <f t="shared" si="2"/>
        <v>5118</v>
      </c>
      <c r="D66" s="403">
        <v>5102</v>
      </c>
      <c r="E66" s="404">
        <v>16</v>
      </c>
      <c r="F66" s="637">
        <v>58</v>
      </c>
      <c r="G66" s="638">
        <v>3711</v>
      </c>
      <c r="H66" s="638">
        <v>1601</v>
      </c>
      <c r="I66" s="639">
        <v>1970</v>
      </c>
      <c r="J66" s="637">
        <v>0</v>
      </c>
      <c r="K66" s="638">
        <v>0</v>
      </c>
      <c r="L66" s="639">
        <v>0</v>
      </c>
      <c r="M66" s="637">
        <f t="shared" si="3"/>
        <v>5370</v>
      </c>
      <c r="N66" s="638">
        <f t="shared" si="4"/>
        <v>5739</v>
      </c>
      <c r="O66" s="639">
        <f t="shared" si="5"/>
        <v>25262.1</v>
      </c>
      <c r="P66" s="397">
        <f t="shared" si="1"/>
        <v>14405.099999999999</v>
      </c>
      <c r="Q66" s="398">
        <f t="shared" si="0"/>
        <v>21606</v>
      </c>
      <c r="Y66" s="751"/>
    </row>
    <row r="67" spans="1:25" ht="15">
      <c r="A67" s="400">
        <f t="shared" si="7"/>
        <v>62</v>
      </c>
      <c r="B67" s="401" t="s">
        <v>530</v>
      </c>
      <c r="C67" s="402">
        <f t="shared" si="2"/>
        <v>1080</v>
      </c>
      <c r="D67" s="403">
        <v>1080</v>
      </c>
      <c r="E67" s="404">
        <v>0</v>
      </c>
      <c r="F67" s="637">
        <v>6</v>
      </c>
      <c r="G67" s="638">
        <v>66</v>
      </c>
      <c r="H67" s="638">
        <v>29</v>
      </c>
      <c r="I67" s="639">
        <v>49</v>
      </c>
      <c r="J67" s="637">
        <v>0</v>
      </c>
      <c r="K67" s="638">
        <v>1</v>
      </c>
      <c r="L67" s="639">
        <v>1</v>
      </c>
      <c r="M67" s="637">
        <f t="shared" si="3"/>
        <v>102</v>
      </c>
      <c r="N67" s="638">
        <f t="shared" si="4"/>
        <v>122</v>
      </c>
      <c r="O67" s="639">
        <f t="shared" si="5"/>
        <v>3443.6</v>
      </c>
      <c r="P67" s="397">
        <f t="shared" si="1"/>
        <v>2241.6</v>
      </c>
      <c r="Q67" s="398">
        <f t="shared" si="0"/>
        <v>3177.8</v>
      </c>
      <c r="Y67" s="751"/>
    </row>
    <row r="68" spans="1:25" ht="15">
      <c r="A68" s="400">
        <f t="shared" si="7"/>
        <v>63</v>
      </c>
      <c r="B68" s="401" t="s">
        <v>510</v>
      </c>
      <c r="C68" s="402">
        <f t="shared" si="2"/>
        <v>19041</v>
      </c>
      <c r="D68" s="403">
        <v>19041</v>
      </c>
      <c r="E68" s="404">
        <v>0</v>
      </c>
      <c r="F68" s="637">
        <v>62</v>
      </c>
      <c r="G68" s="638">
        <v>1538</v>
      </c>
      <c r="H68" s="638">
        <v>740</v>
      </c>
      <c r="I68" s="639">
        <v>2025</v>
      </c>
      <c r="J68" s="637">
        <v>1</v>
      </c>
      <c r="K68" s="638">
        <v>2</v>
      </c>
      <c r="L68" s="639">
        <v>6</v>
      </c>
      <c r="M68" s="637">
        <f t="shared" si="3"/>
        <v>2343</v>
      </c>
      <c r="N68" s="638">
        <f t="shared" si="4"/>
        <v>3632</v>
      </c>
      <c r="O68" s="639">
        <f t="shared" si="5"/>
        <v>62539.8</v>
      </c>
      <c r="P68" s="397">
        <f t="shared" si="1"/>
        <v>39866.800000000003</v>
      </c>
      <c r="Q68" s="398">
        <f t="shared" si="0"/>
        <v>57617.799999999996</v>
      </c>
      <c r="Y68" s="751"/>
    </row>
    <row r="69" spans="1:25" ht="15">
      <c r="A69" s="400">
        <f t="shared" si="7"/>
        <v>64</v>
      </c>
      <c r="B69" s="401" t="s">
        <v>511</v>
      </c>
      <c r="C69" s="402">
        <f t="shared" si="2"/>
        <v>7260</v>
      </c>
      <c r="D69" s="403">
        <v>7237</v>
      </c>
      <c r="E69" s="404">
        <v>23</v>
      </c>
      <c r="F69" s="637">
        <v>62</v>
      </c>
      <c r="G69" s="638">
        <v>6499</v>
      </c>
      <c r="H69" s="638">
        <v>2309</v>
      </c>
      <c r="I69" s="639">
        <v>2534</v>
      </c>
      <c r="J69" s="637">
        <v>2</v>
      </c>
      <c r="K69" s="638">
        <v>1</v>
      </c>
      <c r="L69" s="639">
        <v>2</v>
      </c>
      <c r="M69" s="637">
        <f t="shared" si="3"/>
        <v>8873</v>
      </c>
      <c r="N69" s="638">
        <f t="shared" si="4"/>
        <v>9099</v>
      </c>
      <c r="O69" s="639">
        <f t="shared" si="5"/>
        <v>38120.9</v>
      </c>
      <c r="P69" s="397">
        <f t="shared" si="1"/>
        <v>21761.9</v>
      </c>
      <c r="Q69" s="398">
        <f t="shared" si="0"/>
        <v>32082.399999999998</v>
      </c>
      <c r="Y69" s="751"/>
    </row>
    <row r="70" spans="1:25" ht="15">
      <c r="A70" s="400">
        <f t="shared" si="7"/>
        <v>65</v>
      </c>
      <c r="B70" s="401" t="s">
        <v>512</v>
      </c>
      <c r="C70" s="402">
        <f t="shared" si="2"/>
        <v>2797</v>
      </c>
      <c r="D70" s="403">
        <v>2797</v>
      </c>
      <c r="E70" s="404">
        <v>0</v>
      </c>
      <c r="F70" s="637">
        <v>14</v>
      </c>
      <c r="G70" s="638">
        <v>810</v>
      </c>
      <c r="H70" s="638">
        <v>248</v>
      </c>
      <c r="I70" s="639">
        <v>533</v>
      </c>
      <c r="J70" s="637">
        <v>0</v>
      </c>
      <c r="K70" s="638">
        <v>1</v>
      </c>
      <c r="L70" s="639">
        <v>7</v>
      </c>
      <c r="M70" s="637">
        <f t="shared" si="3"/>
        <v>1073</v>
      </c>
      <c r="N70" s="638">
        <f t="shared" si="4"/>
        <v>1364</v>
      </c>
      <c r="O70" s="639">
        <f t="shared" si="5"/>
        <v>10667</v>
      </c>
      <c r="P70" s="397">
        <f t="shared" si="1"/>
        <v>6506</v>
      </c>
      <c r="Q70" s="398">
        <f t="shared" ref="Q70:Q88" si="8">(C70*2.8)+(F70*1.9)+(G70*1.4)+I70+J70+L70</f>
        <v>9532.2000000000007</v>
      </c>
      <c r="Y70" s="751"/>
    </row>
    <row r="71" spans="1:25" ht="15">
      <c r="A71" s="400">
        <f t="shared" si="7"/>
        <v>66</v>
      </c>
      <c r="B71" s="401" t="s">
        <v>427</v>
      </c>
      <c r="C71" s="402">
        <f t="shared" si="2"/>
        <v>12031</v>
      </c>
      <c r="D71" s="403">
        <v>12031</v>
      </c>
      <c r="E71" s="404">
        <v>0</v>
      </c>
      <c r="F71" s="637">
        <v>74</v>
      </c>
      <c r="G71" s="638">
        <v>10429</v>
      </c>
      <c r="H71" s="638">
        <v>5005</v>
      </c>
      <c r="I71" s="639">
        <v>5786</v>
      </c>
      <c r="J71" s="637">
        <v>0</v>
      </c>
      <c r="K71" s="638">
        <v>1</v>
      </c>
      <c r="L71" s="639">
        <v>2</v>
      </c>
      <c r="M71" s="637">
        <f t="shared" si="3"/>
        <v>15509</v>
      </c>
      <c r="N71" s="638">
        <f t="shared" si="4"/>
        <v>16291</v>
      </c>
      <c r="O71" s="639">
        <f t="shared" si="5"/>
        <v>63966.9</v>
      </c>
      <c r="P71" s="397">
        <f t="shared" ref="P71:P87" si="9">+O71-C71-F71-G71-J71-I71-L71</f>
        <v>35644.9</v>
      </c>
      <c r="Q71" s="398">
        <f t="shared" si="8"/>
        <v>54215.999999999993</v>
      </c>
      <c r="Y71" s="751"/>
    </row>
    <row r="72" spans="1:25" ht="15">
      <c r="A72" s="400">
        <f t="shared" si="7"/>
        <v>67</v>
      </c>
      <c r="B72" s="401" t="s">
        <v>428</v>
      </c>
      <c r="C72" s="402">
        <f t="shared" ref="C72:C87" si="10">+D72+E72</f>
        <v>1471</v>
      </c>
      <c r="D72" s="403">
        <v>1470</v>
      </c>
      <c r="E72" s="404">
        <v>1</v>
      </c>
      <c r="F72" s="637">
        <v>17</v>
      </c>
      <c r="G72" s="638">
        <v>74</v>
      </c>
      <c r="H72" s="638">
        <v>45</v>
      </c>
      <c r="I72" s="639">
        <v>64</v>
      </c>
      <c r="J72" s="637">
        <v>0</v>
      </c>
      <c r="K72" s="638">
        <v>0</v>
      </c>
      <c r="L72" s="639">
        <v>0</v>
      </c>
      <c r="M72" s="637">
        <f t="shared" ref="M72:M87" si="11">+F72+G72+H72+J72+K72</f>
        <v>136</v>
      </c>
      <c r="N72" s="638">
        <f t="shared" ref="N72:N87" si="12">+F72+G72+I72+J72+L72</f>
        <v>155</v>
      </c>
      <c r="O72" s="639">
        <f t="shared" ref="O72:O87" si="13">(C72*3)+(F72*2.5)+(G72*2.1)+I72+J72+L72</f>
        <v>4674.8999999999996</v>
      </c>
      <c r="P72" s="397">
        <f t="shared" si="9"/>
        <v>3048.8999999999996</v>
      </c>
      <c r="Q72" s="398">
        <f t="shared" si="8"/>
        <v>4318.7000000000007</v>
      </c>
      <c r="Y72" s="751"/>
    </row>
    <row r="73" spans="1:25" ht="15">
      <c r="A73" s="405">
        <f t="shared" si="7"/>
        <v>68</v>
      </c>
      <c r="B73" s="401" t="s">
        <v>429</v>
      </c>
      <c r="C73" s="402">
        <f t="shared" si="10"/>
        <v>9811</v>
      </c>
      <c r="D73" s="403">
        <v>9811</v>
      </c>
      <c r="E73" s="404">
        <v>0</v>
      </c>
      <c r="F73" s="637">
        <v>57</v>
      </c>
      <c r="G73" s="638">
        <v>4673</v>
      </c>
      <c r="H73" s="638">
        <v>2145</v>
      </c>
      <c r="I73" s="639">
        <v>2684</v>
      </c>
      <c r="J73" s="637">
        <v>0</v>
      </c>
      <c r="K73" s="638">
        <v>3</v>
      </c>
      <c r="L73" s="639">
        <v>9</v>
      </c>
      <c r="M73" s="637">
        <f t="shared" si="11"/>
        <v>6878</v>
      </c>
      <c r="N73" s="638">
        <f t="shared" si="12"/>
        <v>7423</v>
      </c>
      <c r="O73" s="639">
        <f t="shared" si="13"/>
        <v>42081.8</v>
      </c>
      <c r="P73" s="397">
        <f t="shared" si="9"/>
        <v>24847.800000000003</v>
      </c>
      <c r="Q73" s="398">
        <f t="shared" si="8"/>
        <v>36814.299999999996</v>
      </c>
      <c r="Y73" s="751"/>
    </row>
    <row r="74" spans="1:25" ht="15">
      <c r="A74" s="405">
        <f t="shared" si="7"/>
        <v>69</v>
      </c>
      <c r="B74" s="401" t="s">
        <v>705</v>
      </c>
      <c r="C74" s="402">
        <f t="shared" si="10"/>
        <v>1634</v>
      </c>
      <c r="D74" s="403">
        <v>1634</v>
      </c>
      <c r="E74" s="404">
        <v>0</v>
      </c>
      <c r="F74" s="637">
        <v>18</v>
      </c>
      <c r="G74" s="638">
        <v>722</v>
      </c>
      <c r="H74" s="638">
        <v>448</v>
      </c>
      <c r="I74" s="639">
        <v>577</v>
      </c>
      <c r="J74" s="637">
        <v>0</v>
      </c>
      <c r="K74" s="638">
        <v>0</v>
      </c>
      <c r="L74" s="639">
        <v>0</v>
      </c>
      <c r="M74" s="637">
        <f t="shared" si="11"/>
        <v>1188</v>
      </c>
      <c r="N74" s="638">
        <f t="shared" si="12"/>
        <v>1317</v>
      </c>
      <c r="O74" s="639">
        <f t="shared" si="13"/>
        <v>7040.2</v>
      </c>
      <c r="P74" s="397">
        <f t="shared" si="9"/>
        <v>4089.2</v>
      </c>
      <c r="Q74" s="398">
        <f t="shared" si="8"/>
        <v>6197.2</v>
      </c>
      <c r="Y74" s="751"/>
    </row>
    <row r="75" spans="1:25" ht="15">
      <c r="A75" s="405">
        <f t="shared" si="7"/>
        <v>70</v>
      </c>
      <c r="B75" s="401" t="s">
        <v>706</v>
      </c>
      <c r="C75" s="402">
        <f t="shared" si="10"/>
        <v>5746</v>
      </c>
      <c r="D75" s="403">
        <v>5746</v>
      </c>
      <c r="E75" s="404">
        <v>0</v>
      </c>
      <c r="F75" s="637">
        <v>44</v>
      </c>
      <c r="G75" s="638">
        <v>3524</v>
      </c>
      <c r="H75" s="638">
        <v>1678</v>
      </c>
      <c r="I75" s="639">
        <v>2025</v>
      </c>
      <c r="J75" s="637">
        <v>1</v>
      </c>
      <c r="K75" s="638">
        <v>4</v>
      </c>
      <c r="L75" s="639">
        <v>15</v>
      </c>
      <c r="M75" s="637">
        <f t="shared" si="11"/>
        <v>5251</v>
      </c>
      <c r="N75" s="638">
        <f t="shared" si="12"/>
        <v>5609</v>
      </c>
      <c r="O75" s="639">
        <f t="shared" si="13"/>
        <v>26789.4</v>
      </c>
      <c r="P75" s="397">
        <f t="shared" si="9"/>
        <v>15434.400000000001</v>
      </c>
      <c r="Q75" s="398">
        <f t="shared" si="8"/>
        <v>23147</v>
      </c>
      <c r="Y75" s="751"/>
    </row>
    <row r="76" spans="1:25" ht="15">
      <c r="A76" s="405">
        <f t="shared" si="7"/>
        <v>71</v>
      </c>
      <c r="B76" s="401" t="s">
        <v>707</v>
      </c>
      <c r="C76" s="402">
        <f t="shared" si="10"/>
        <v>3239</v>
      </c>
      <c r="D76" s="403">
        <v>3239</v>
      </c>
      <c r="E76" s="404">
        <v>0</v>
      </c>
      <c r="F76" s="637">
        <v>24</v>
      </c>
      <c r="G76" s="638">
        <v>2297</v>
      </c>
      <c r="H76" s="638">
        <v>1412</v>
      </c>
      <c r="I76" s="639">
        <v>1613</v>
      </c>
      <c r="J76" s="637">
        <v>1</v>
      </c>
      <c r="K76" s="638">
        <v>2</v>
      </c>
      <c r="L76" s="639">
        <v>6</v>
      </c>
      <c r="M76" s="637">
        <f t="shared" si="11"/>
        <v>3736</v>
      </c>
      <c r="N76" s="638">
        <f t="shared" si="12"/>
        <v>3941</v>
      </c>
      <c r="O76" s="639">
        <f t="shared" si="13"/>
        <v>16220.7</v>
      </c>
      <c r="P76" s="397">
        <f t="shared" si="9"/>
        <v>9040.7000000000007</v>
      </c>
      <c r="Q76" s="398">
        <f t="shared" si="8"/>
        <v>13950.599999999999</v>
      </c>
      <c r="Y76" s="751"/>
    </row>
    <row r="77" spans="1:25" ht="15">
      <c r="A77" s="405">
        <f t="shared" si="7"/>
        <v>72</v>
      </c>
      <c r="B77" s="401" t="s">
        <v>708</v>
      </c>
      <c r="C77" s="402">
        <f t="shared" si="10"/>
        <v>1030</v>
      </c>
      <c r="D77" s="403">
        <v>1030</v>
      </c>
      <c r="E77" s="404">
        <v>0</v>
      </c>
      <c r="F77" s="637">
        <v>24</v>
      </c>
      <c r="G77" s="638">
        <v>2573</v>
      </c>
      <c r="H77" s="638">
        <v>855</v>
      </c>
      <c r="I77" s="639">
        <v>1913</v>
      </c>
      <c r="J77" s="637">
        <v>0</v>
      </c>
      <c r="K77" s="638">
        <v>0</v>
      </c>
      <c r="L77" s="639">
        <v>0</v>
      </c>
      <c r="M77" s="637">
        <f t="shared" si="11"/>
        <v>3452</v>
      </c>
      <c r="N77" s="638">
        <f t="shared" si="12"/>
        <v>4510</v>
      </c>
      <c r="O77" s="639">
        <f t="shared" si="13"/>
        <v>10466.299999999999</v>
      </c>
      <c r="P77" s="397">
        <f t="shared" si="9"/>
        <v>4926.2999999999993</v>
      </c>
      <c r="Q77" s="398">
        <f t="shared" si="8"/>
        <v>8444.7999999999993</v>
      </c>
      <c r="Y77" s="751"/>
    </row>
    <row r="78" spans="1:25" ht="15">
      <c r="A78" s="405">
        <f t="shared" si="7"/>
        <v>73</v>
      </c>
      <c r="B78" s="401" t="s">
        <v>709</v>
      </c>
      <c r="C78" s="402">
        <f t="shared" si="10"/>
        <v>928</v>
      </c>
      <c r="D78" s="403">
        <v>928</v>
      </c>
      <c r="E78" s="404">
        <v>0</v>
      </c>
      <c r="F78" s="888">
        <v>1</v>
      </c>
      <c r="G78" s="638">
        <v>107</v>
      </c>
      <c r="H78" s="638">
        <v>38</v>
      </c>
      <c r="I78" s="639">
        <v>131</v>
      </c>
      <c r="J78" s="637">
        <v>0</v>
      </c>
      <c r="K78" s="638">
        <v>0</v>
      </c>
      <c r="L78" s="639">
        <v>0</v>
      </c>
      <c r="M78" s="637">
        <f t="shared" si="11"/>
        <v>146</v>
      </c>
      <c r="N78" s="638">
        <f t="shared" si="12"/>
        <v>239</v>
      </c>
      <c r="O78" s="639">
        <f t="shared" si="13"/>
        <v>3142.2</v>
      </c>
      <c r="P78" s="397">
        <f t="shared" si="9"/>
        <v>1975.1999999999998</v>
      </c>
      <c r="Q78" s="398">
        <f t="shared" si="8"/>
        <v>2881.1</v>
      </c>
      <c r="Y78" s="751"/>
    </row>
    <row r="79" spans="1:25" ht="15">
      <c r="A79" s="405">
        <f t="shared" si="7"/>
        <v>74</v>
      </c>
      <c r="B79" s="401" t="s">
        <v>710</v>
      </c>
      <c r="C79" s="402">
        <f t="shared" si="10"/>
        <v>707</v>
      </c>
      <c r="D79" s="403">
        <v>707</v>
      </c>
      <c r="E79" s="404">
        <v>0</v>
      </c>
      <c r="F79" s="637">
        <v>1</v>
      </c>
      <c r="G79" s="638">
        <v>28</v>
      </c>
      <c r="H79" s="638">
        <v>19</v>
      </c>
      <c r="I79" s="639">
        <v>31</v>
      </c>
      <c r="J79" s="637">
        <v>1</v>
      </c>
      <c r="K79" s="638">
        <v>0</v>
      </c>
      <c r="L79" s="639">
        <v>0</v>
      </c>
      <c r="M79" s="637">
        <f t="shared" si="11"/>
        <v>49</v>
      </c>
      <c r="N79" s="638">
        <f t="shared" si="12"/>
        <v>61</v>
      </c>
      <c r="O79" s="639">
        <f t="shared" si="13"/>
        <v>2214.3000000000002</v>
      </c>
      <c r="P79" s="397">
        <f t="shared" si="9"/>
        <v>1446.3000000000002</v>
      </c>
      <c r="Q79" s="398">
        <f t="shared" si="8"/>
        <v>2052.6999999999998</v>
      </c>
      <c r="Y79" s="751"/>
    </row>
    <row r="80" spans="1:25" ht="15">
      <c r="A80" s="405">
        <f t="shared" si="7"/>
        <v>75</v>
      </c>
      <c r="B80" s="401" t="s">
        <v>711</v>
      </c>
      <c r="C80" s="402">
        <f t="shared" si="10"/>
        <v>3436</v>
      </c>
      <c r="D80" s="403">
        <v>3436</v>
      </c>
      <c r="E80" s="404">
        <v>0</v>
      </c>
      <c r="F80" s="637">
        <v>14</v>
      </c>
      <c r="G80" s="638">
        <v>125</v>
      </c>
      <c r="H80" s="638">
        <v>72</v>
      </c>
      <c r="I80" s="639">
        <v>123</v>
      </c>
      <c r="J80" s="637">
        <v>1</v>
      </c>
      <c r="K80" s="638">
        <v>0</v>
      </c>
      <c r="L80" s="639">
        <v>0</v>
      </c>
      <c r="M80" s="637">
        <f t="shared" si="11"/>
        <v>212</v>
      </c>
      <c r="N80" s="638">
        <f t="shared" si="12"/>
        <v>263</v>
      </c>
      <c r="O80" s="639">
        <f t="shared" si="13"/>
        <v>10729.5</v>
      </c>
      <c r="P80" s="397">
        <f t="shared" si="9"/>
        <v>7030.5</v>
      </c>
      <c r="Q80" s="398">
        <f t="shared" si="8"/>
        <v>9946.4</v>
      </c>
      <c r="Y80" s="751"/>
    </row>
    <row r="81" spans="1:25" ht="15">
      <c r="A81" s="405">
        <f t="shared" si="7"/>
        <v>76</v>
      </c>
      <c r="B81" s="406" t="s">
        <v>712</v>
      </c>
      <c r="C81" s="402">
        <f t="shared" si="10"/>
        <v>1766</v>
      </c>
      <c r="D81" s="403">
        <v>1766</v>
      </c>
      <c r="E81" s="404">
        <v>0</v>
      </c>
      <c r="F81" s="637">
        <v>10</v>
      </c>
      <c r="G81" s="638">
        <v>1426</v>
      </c>
      <c r="H81" s="638">
        <v>469</v>
      </c>
      <c r="I81" s="639">
        <v>674</v>
      </c>
      <c r="J81" s="637">
        <v>0</v>
      </c>
      <c r="K81" s="638">
        <v>0</v>
      </c>
      <c r="L81" s="639">
        <v>0</v>
      </c>
      <c r="M81" s="637">
        <f t="shared" si="11"/>
        <v>1905</v>
      </c>
      <c r="N81" s="638">
        <f t="shared" si="12"/>
        <v>2110</v>
      </c>
      <c r="O81" s="639">
        <f t="shared" si="13"/>
        <v>8991.6</v>
      </c>
      <c r="P81" s="397">
        <f t="shared" si="9"/>
        <v>5115.6000000000004</v>
      </c>
      <c r="Q81" s="398">
        <f t="shared" si="8"/>
        <v>7634.1999999999989</v>
      </c>
      <c r="Y81" s="751"/>
    </row>
    <row r="82" spans="1:25" ht="15">
      <c r="A82" s="405">
        <f t="shared" si="7"/>
        <v>77</v>
      </c>
      <c r="B82" s="406" t="s">
        <v>713</v>
      </c>
      <c r="C82" s="402">
        <f t="shared" si="10"/>
        <v>1447</v>
      </c>
      <c r="D82" s="403">
        <v>1447</v>
      </c>
      <c r="E82" s="404">
        <v>0</v>
      </c>
      <c r="F82" s="637">
        <v>13</v>
      </c>
      <c r="G82" s="638">
        <v>489</v>
      </c>
      <c r="H82" s="638">
        <v>158</v>
      </c>
      <c r="I82" s="639">
        <v>186</v>
      </c>
      <c r="J82" s="637">
        <v>0</v>
      </c>
      <c r="K82" s="638">
        <v>0</v>
      </c>
      <c r="L82" s="639">
        <v>0</v>
      </c>
      <c r="M82" s="637">
        <f t="shared" si="11"/>
        <v>660</v>
      </c>
      <c r="N82" s="638">
        <f t="shared" si="12"/>
        <v>688</v>
      </c>
      <c r="O82" s="639">
        <f t="shared" si="13"/>
        <v>5586.4</v>
      </c>
      <c r="P82" s="397">
        <f t="shared" si="9"/>
        <v>3451.3999999999996</v>
      </c>
      <c r="Q82" s="398">
        <f t="shared" si="8"/>
        <v>4946.8999999999996</v>
      </c>
      <c r="Y82" s="751"/>
    </row>
    <row r="83" spans="1:25" ht="15">
      <c r="A83" s="405">
        <f t="shared" si="7"/>
        <v>78</v>
      </c>
      <c r="B83" s="406" t="s">
        <v>714</v>
      </c>
      <c r="C83" s="402">
        <f t="shared" si="10"/>
        <v>1143</v>
      </c>
      <c r="D83" s="403">
        <v>1143</v>
      </c>
      <c r="E83" s="404">
        <v>0</v>
      </c>
      <c r="F83" s="637">
        <v>4</v>
      </c>
      <c r="G83" s="638">
        <v>321</v>
      </c>
      <c r="H83" s="638">
        <v>235</v>
      </c>
      <c r="I83" s="639">
        <v>267</v>
      </c>
      <c r="J83" s="637">
        <v>0</v>
      </c>
      <c r="K83" s="638">
        <v>0</v>
      </c>
      <c r="L83" s="639">
        <v>0</v>
      </c>
      <c r="M83" s="637">
        <f t="shared" si="11"/>
        <v>560</v>
      </c>
      <c r="N83" s="638">
        <f t="shared" si="12"/>
        <v>592</v>
      </c>
      <c r="O83" s="639">
        <f t="shared" si="13"/>
        <v>4380.1000000000004</v>
      </c>
      <c r="P83" s="397">
        <f t="shared" si="9"/>
        <v>2645.1000000000004</v>
      </c>
      <c r="Q83" s="398">
        <f t="shared" si="8"/>
        <v>3924.3999999999996</v>
      </c>
      <c r="Y83" s="751"/>
    </row>
    <row r="84" spans="1:25" ht="15">
      <c r="A84" s="405">
        <f t="shared" si="7"/>
        <v>79</v>
      </c>
      <c r="B84" s="406" t="s">
        <v>715</v>
      </c>
      <c r="C84" s="402">
        <f t="shared" si="10"/>
        <v>2407</v>
      </c>
      <c r="D84" s="403">
        <v>2406</v>
      </c>
      <c r="E84" s="404">
        <v>1</v>
      </c>
      <c r="F84" s="637">
        <v>15</v>
      </c>
      <c r="G84" s="638">
        <v>1362</v>
      </c>
      <c r="H84" s="638">
        <v>539</v>
      </c>
      <c r="I84" s="639">
        <v>698</v>
      </c>
      <c r="J84" s="637">
        <v>0</v>
      </c>
      <c r="K84" s="638">
        <v>3</v>
      </c>
      <c r="L84" s="639">
        <v>11</v>
      </c>
      <c r="M84" s="637">
        <f t="shared" si="11"/>
        <v>1919</v>
      </c>
      <c r="N84" s="638">
        <f t="shared" si="12"/>
        <v>2086</v>
      </c>
      <c r="O84" s="639">
        <f t="shared" si="13"/>
        <v>10827.7</v>
      </c>
      <c r="P84" s="397">
        <f t="shared" si="9"/>
        <v>6334.7000000000007</v>
      </c>
      <c r="Q84" s="398">
        <f t="shared" si="8"/>
        <v>9383.9</v>
      </c>
      <c r="T84" s="749"/>
      <c r="Y84" s="751"/>
    </row>
    <row r="85" spans="1:25" ht="15">
      <c r="A85" s="405">
        <f t="shared" si="7"/>
        <v>80</v>
      </c>
      <c r="B85" s="406" t="s">
        <v>227</v>
      </c>
      <c r="C85" s="402">
        <f t="shared" si="10"/>
        <v>5820</v>
      </c>
      <c r="D85" s="403">
        <v>5820</v>
      </c>
      <c r="E85" s="404">
        <v>0</v>
      </c>
      <c r="F85" s="637">
        <v>37</v>
      </c>
      <c r="G85" s="638">
        <v>2259</v>
      </c>
      <c r="H85" s="638">
        <v>683</v>
      </c>
      <c r="I85" s="639">
        <v>965</v>
      </c>
      <c r="J85" s="637">
        <v>0</v>
      </c>
      <c r="K85" s="638">
        <v>1</v>
      </c>
      <c r="L85" s="639">
        <v>1</v>
      </c>
      <c r="M85" s="637">
        <f t="shared" si="11"/>
        <v>2980</v>
      </c>
      <c r="N85" s="638">
        <f t="shared" si="12"/>
        <v>3262</v>
      </c>
      <c r="O85" s="639">
        <f t="shared" si="13"/>
        <v>23262.400000000001</v>
      </c>
      <c r="P85" s="397">
        <f t="shared" si="9"/>
        <v>14180.400000000001</v>
      </c>
      <c r="Q85" s="398">
        <f t="shared" si="8"/>
        <v>20494.899999999998</v>
      </c>
      <c r="T85" s="749"/>
      <c r="Y85" s="751"/>
    </row>
    <row r="86" spans="1:25" ht="15">
      <c r="A86" s="405">
        <f t="shared" si="7"/>
        <v>81</v>
      </c>
      <c r="B86" s="406" t="s">
        <v>883</v>
      </c>
      <c r="C86" s="402">
        <f t="shared" si="10"/>
        <v>3978</v>
      </c>
      <c r="D86" s="403">
        <v>3978</v>
      </c>
      <c r="E86" s="404">
        <v>0</v>
      </c>
      <c r="F86" s="637">
        <v>102</v>
      </c>
      <c r="G86" s="638">
        <v>2796</v>
      </c>
      <c r="H86" s="638">
        <v>795</v>
      </c>
      <c r="I86" s="639">
        <v>984</v>
      </c>
      <c r="J86" s="637">
        <v>0</v>
      </c>
      <c r="K86" s="638">
        <v>1</v>
      </c>
      <c r="L86" s="639">
        <v>3</v>
      </c>
      <c r="M86" s="637">
        <f t="shared" si="11"/>
        <v>3694</v>
      </c>
      <c r="N86" s="638">
        <f t="shared" si="12"/>
        <v>3885</v>
      </c>
      <c r="O86" s="639">
        <f t="shared" si="13"/>
        <v>19047.599999999999</v>
      </c>
      <c r="P86" s="397">
        <f t="shared" si="9"/>
        <v>11184.599999999999</v>
      </c>
      <c r="Q86" s="398">
        <f t="shared" si="8"/>
        <v>16233.599999999999</v>
      </c>
      <c r="R86" s="749"/>
      <c r="S86" s="749"/>
      <c r="T86" s="749"/>
      <c r="Y86" s="751"/>
    </row>
    <row r="87" spans="1:25" s="409" customFormat="1" ht="12" customHeight="1">
      <c r="A87" s="405"/>
      <c r="B87" s="406" t="s">
        <v>181</v>
      </c>
      <c r="C87" s="402">
        <f t="shared" si="10"/>
        <v>0</v>
      </c>
      <c r="D87" s="407">
        <v>0</v>
      </c>
      <c r="E87" s="408">
        <v>0</v>
      </c>
      <c r="F87" s="640">
        <v>0</v>
      </c>
      <c r="G87" s="641">
        <v>0</v>
      </c>
      <c r="H87" s="641">
        <v>0</v>
      </c>
      <c r="I87" s="642">
        <v>0</v>
      </c>
      <c r="J87" s="637">
        <v>0</v>
      </c>
      <c r="K87" s="638">
        <v>0</v>
      </c>
      <c r="L87" s="639">
        <v>0</v>
      </c>
      <c r="M87" s="637">
        <f t="shared" si="11"/>
        <v>0</v>
      </c>
      <c r="N87" s="638">
        <f t="shared" si="12"/>
        <v>0</v>
      </c>
      <c r="O87" s="639">
        <f t="shared" si="13"/>
        <v>0</v>
      </c>
      <c r="P87" s="397">
        <f t="shared" si="9"/>
        <v>0</v>
      </c>
      <c r="Q87" s="398">
        <f t="shared" si="8"/>
        <v>0</v>
      </c>
      <c r="R87" s="752"/>
      <c r="S87" s="752"/>
      <c r="T87" s="752"/>
      <c r="U87" s="604"/>
      <c r="V87" s="739"/>
      <c r="W87" s="753"/>
      <c r="X87" s="753"/>
      <c r="Y87" s="754"/>
    </row>
    <row r="88" spans="1:25" ht="15.75" thickBot="1">
      <c r="A88" s="873"/>
      <c r="B88" s="874" t="s">
        <v>885</v>
      </c>
      <c r="C88" s="875">
        <f>SUM(C6:C87)</f>
        <v>729240</v>
      </c>
      <c r="D88" s="876">
        <f>SUM(D6:D87)</f>
        <v>728918</v>
      </c>
      <c r="E88" s="877">
        <f>SUM(E6:E87)</f>
        <v>322</v>
      </c>
      <c r="F88" s="878">
        <f t="shared" ref="F88:L88" si="14">SUM(F6:F87)</f>
        <v>5769</v>
      </c>
      <c r="G88" s="879">
        <f t="shared" si="14"/>
        <v>458315</v>
      </c>
      <c r="H88" s="879">
        <f t="shared" si="14"/>
        <v>176596</v>
      </c>
      <c r="I88" s="880">
        <f t="shared" si="14"/>
        <v>213194</v>
      </c>
      <c r="J88" s="881">
        <f>SUM(J6:J87)</f>
        <v>55</v>
      </c>
      <c r="K88" s="882">
        <f t="shared" si="14"/>
        <v>92</v>
      </c>
      <c r="L88" s="883">
        <f t="shared" si="14"/>
        <v>252</v>
      </c>
      <c r="M88" s="878">
        <f>SUM(M6:M87)</f>
        <v>640827</v>
      </c>
      <c r="N88" s="879">
        <f>SUM(N6:N87)</f>
        <v>677585</v>
      </c>
      <c r="O88" s="884">
        <f>SUM(O6:O87)</f>
        <v>3378105.0000000005</v>
      </c>
      <c r="P88" s="397">
        <f>+O88-C88-F88-G88-I88-J88-L88</f>
        <v>1971280.0000000005</v>
      </c>
      <c r="Q88" s="398">
        <f t="shared" si="8"/>
        <v>2907975.0999999996</v>
      </c>
      <c r="R88" s="749"/>
      <c r="S88" s="749"/>
      <c r="T88" s="749"/>
    </row>
    <row r="89" spans="1:25" ht="15">
      <c r="B89" s="388"/>
      <c r="F89" s="619"/>
      <c r="G89" s="619"/>
      <c r="H89" s="619"/>
      <c r="I89" s="619"/>
      <c r="J89" s="619"/>
      <c r="K89" s="619"/>
      <c r="L89" s="619"/>
      <c r="Q89" s="214" t="s">
        <v>729</v>
      </c>
    </row>
    <row r="90" spans="1:25" ht="15">
      <c r="B90" s="388"/>
      <c r="F90" s="619"/>
      <c r="G90" s="619"/>
      <c r="H90" s="619"/>
      <c r="I90" s="619"/>
      <c r="J90" s="619"/>
      <c r="K90" s="619"/>
      <c r="L90" s="619"/>
    </row>
    <row r="91" spans="1:25" ht="15">
      <c r="B91" s="388"/>
      <c r="F91" s="619"/>
      <c r="G91" s="619"/>
      <c r="H91" s="619"/>
      <c r="I91" s="619"/>
      <c r="J91" s="619"/>
      <c r="K91" s="619"/>
      <c r="L91" s="619"/>
    </row>
    <row r="92" spans="1:25" ht="15">
      <c r="B92" s="388"/>
      <c r="F92" s="619"/>
      <c r="G92" s="619"/>
      <c r="H92" s="619"/>
      <c r="I92" s="619"/>
      <c r="J92" s="619"/>
      <c r="K92" s="619"/>
      <c r="L92" s="619"/>
    </row>
    <row r="93" spans="1:25" ht="15">
      <c r="B93" s="388"/>
      <c r="F93" s="619"/>
      <c r="G93" s="619"/>
      <c r="H93" s="619"/>
      <c r="I93" s="619"/>
      <c r="J93" s="619"/>
      <c r="K93" s="619"/>
      <c r="L93" s="619"/>
    </row>
    <row r="94" spans="1:25" ht="15">
      <c r="B94" s="388"/>
      <c r="F94" s="619"/>
      <c r="G94" s="619"/>
      <c r="H94" s="619"/>
      <c r="I94" s="619"/>
      <c r="J94" s="619"/>
      <c r="K94" s="619"/>
      <c r="L94" s="619"/>
    </row>
    <row r="95" spans="1:25" ht="15">
      <c r="B95" s="388"/>
      <c r="F95" s="619"/>
      <c r="G95" s="619"/>
      <c r="H95" s="619"/>
      <c r="I95" s="619"/>
      <c r="J95" s="619"/>
      <c r="K95" s="619"/>
      <c r="L95" s="619"/>
    </row>
    <row r="96" spans="1:25" ht="15">
      <c r="B96" s="388"/>
      <c r="F96" s="619"/>
      <c r="G96" s="619"/>
      <c r="H96" s="619"/>
      <c r="I96" s="619"/>
      <c r="J96" s="619"/>
      <c r="K96" s="619"/>
      <c r="L96" s="619"/>
    </row>
    <row r="97" spans="2:12" ht="15">
      <c r="B97" s="388"/>
      <c r="F97" s="619"/>
      <c r="G97" s="619"/>
      <c r="H97" s="619"/>
      <c r="I97" s="619"/>
      <c r="J97" s="619"/>
      <c r="K97" s="619"/>
      <c r="L97" s="619"/>
    </row>
    <row r="98" spans="2:12" ht="15">
      <c r="B98" s="388"/>
      <c r="F98" s="619"/>
      <c r="G98" s="619"/>
      <c r="H98" s="619"/>
      <c r="I98" s="619"/>
      <c r="J98" s="619"/>
      <c r="K98" s="619"/>
      <c r="L98" s="619"/>
    </row>
    <row r="99" spans="2:12" ht="15">
      <c r="B99" s="388"/>
      <c r="F99" s="619"/>
      <c r="G99" s="619"/>
      <c r="H99" s="619"/>
      <c r="I99" s="619"/>
      <c r="J99" s="619"/>
      <c r="K99" s="619"/>
      <c r="L99" s="619"/>
    </row>
    <row r="100" spans="2:12" ht="15">
      <c r="B100" s="388"/>
      <c r="F100" s="619"/>
      <c r="G100" s="619"/>
      <c r="H100" s="619"/>
      <c r="I100" s="619"/>
      <c r="J100" s="619"/>
      <c r="K100" s="619"/>
      <c r="L100" s="619"/>
    </row>
    <row r="101" spans="2:12" ht="15">
      <c r="B101" s="388"/>
      <c r="F101" s="619"/>
      <c r="G101" s="619"/>
      <c r="H101" s="619"/>
      <c r="I101" s="619"/>
      <c r="J101" s="619"/>
      <c r="K101" s="619"/>
      <c r="L101" s="619"/>
    </row>
    <row r="102" spans="2:12" ht="15">
      <c r="B102" s="388"/>
      <c r="F102" s="619"/>
      <c r="G102" s="619"/>
      <c r="H102" s="619"/>
      <c r="I102" s="619"/>
      <c r="J102" s="619"/>
      <c r="K102" s="619"/>
      <c r="L102" s="619"/>
    </row>
    <row r="103" spans="2:12" ht="15">
      <c r="B103" s="388"/>
      <c r="F103" s="619"/>
      <c r="G103" s="619"/>
      <c r="H103" s="619"/>
      <c r="I103" s="619"/>
      <c r="J103" s="619"/>
      <c r="K103" s="619"/>
      <c r="L103" s="619"/>
    </row>
    <row r="104" spans="2:12" ht="15">
      <c r="B104" s="388"/>
      <c r="F104" s="619"/>
      <c r="G104" s="619"/>
      <c r="H104" s="619"/>
      <c r="I104" s="619"/>
      <c r="J104" s="619"/>
      <c r="K104" s="619"/>
      <c r="L104" s="619"/>
    </row>
    <row r="105" spans="2:12" ht="15">
      <c r="B105" s="388"/>
      <c r="F105" s="619"/>
      <c r="G105" s="619"/>
      <c r="H105" s="619"/>
      <c r="I105" s="619"/>
      <c r="J105" s="619"/>
      <c r="K105" s="619"/>
      <c r="L105" s="619"/>
    </row>
    <row r="106" spans="2:12" ht="15">
      <c r="B106" s="388"/>
      <c r="F106" s="619"/>
      <c r="G106" s="619"/>
      <c r="H106" s="619"/>
      <c r="I106" s="619"/>
      <c r="J106" s="619"/>
      <c r="K106" s="619"/>
      <c r="L106" s="619"/>
    </row>
    <row r="107" spans="2:12" ht="15">
      <c r="B107" s="388"/>
      <c r="F107" s="619"/>
      <c r="G107" s="619"/>
      <c r="H107" s="619"/>
      <c r="I107" s="619"/>
      <c r="J107" s="619"/>
      <c r="K107" s="619"/>
      <c r="L107" s="619"/>
    </row>
    <row r="108" spans="2:12" ht="15">
      <c r="B108" s="388"/>
      <c r="F108" s="619"/>
      <c r="G108" s="619"/>
      <c r="H108" s="619"/>
      <c r="I108" s="619"/>
      <c r="J108" s="619"/>
      <c r="K108" s="619"/>
      <c r="L108" s="619"/>
    </row>
    <row r="109" spans="2:12" ht="15">
      <c r="B109" s="388"/>
      <c r="F109" s="619"/>
      <c r="G109" s="619"/>
      <c r="H109" s="619"/>
      <c r="I109" s="619"/>
      <c r="J109" s="619"/>
      <c r="K109" s="619"/>
      <c r="L109" s="619"/>
    </row>
    <row r="110" spans="2:12" ht="15">
      <c r="B110" s="388"/>
      <c r="F110" s="619"/>
      <c r="G110" s="619"/>
      <c r="H110" s="619"/>
      <c r="I110" s="619"/>
      <c r="J110" s="619"/>
      <c r="K110" s="619"/>
      <c r="L110" s="619"/>
    </row>
    <row r="111" spans="2:12" ht="15">
      <c r="B111" s="388"/>
      <c r="F111" s="619"/>
      <c r="G111" s="619"/>
      <c r="H111" s="619"/>
      <c r="I111" s="619"/>
      <c r="J111" s="619"/>
      <c r="K111" s="619"/>
      <c r="L111" s="619"/>
    </row>
    <row r="112" spans="2:12" ht="15">
      <c r="B112" s="388"/>
      <c r="F112" s="619"/>
      <c r="G112" s="619"/>
      <c r="H112" s="619"/>
      <c r="I112" s="619"/>
      <c r="J112" s="619"/>
      <c r="K112" s="619"/>
      <c r="L112" s="619"/>
    </row>
    <row r="113" spans="2:12" ht="15">
      <c r="B113" s="388"/>
      <c r="F113" s="619"/>
      <c r="G113" s="619"/>
      <c r="H113" s="619"/>
      <c r="I113" s="619"/>
      <c r="J113" s="619"/>
      <c r="K113" s="619"/>
      <c r="L113" s="619"/>
    </row>
    <row r="114" spans="2:12" ht="15">
      <c r="B114" s="388"/>
      <c r="F114" s="619"/>
      <c r="G114" s="619"/>
      <c r="H114" s="619"/>
      <c r="I114" s="619"/>
      <c r="J114" s="619"/>
      <c r="K114" s="619"/>
      <c r="L114" s="619"/>
    </row>
    <row r="115" spans="2:12" ht="15">
      <c r="B115" s="388"/>
      <c r="F115" s="619"/>
      <c r="G115" s="619"/>
      <c r="H115" s="619"/>
      <c r="I115" s="619"/>
      <c r="J115" s="619"/>
      <c r="K115" s="619"/>
      <c r="L115" s="619"/>
    </row>
    <row r="116" spans="2:12" ht="15">
      <c r="B116" s="388"/>
      <c r="F116" s="619"/>
      <c r="G116" s="619"/>
      <c r="H116" s="619"/>
      <c r="I116" s="619"/>
      <c r="J116" s="619"/>
      <c r="K116" s="619"/>
      <c r="L116" s="619"/>
    </row>
    <row r="117" spans="2:12" ht="15">
      <c r="B117" s="388"/>
      <c r="F117" s="619"/>
      <c r="G117" s="619"/>
      <c r="H117" s="619"/>
      <c r="I117" s="619"/>
      <c r="J117" s="619"/>
      <c r="K117" s="619"/>
      <c r="L117" s="619"/>
    </row>
    <row r="118" spans="2:12" ht="15">
      <c r="B118" s="388"/>
      <c r="F118" s="619"/>
      <c r="G118" s="619"/>
      <c r="H118" s="619"/>
      <c r="I118" s="619"/>
      <c r="J118" s="619"/>
      <c r="K118" s="619"/>
      <c r="L118" s="619"/>
    </row>
    <row r="119" spans="2:12" ht="15">
      <c r="B119" s="388"/>
      <c r="F119" s="619"/>
      <c r="G119" s="619"/>
      <c r="H119" s="619"/>
      <c r="I119" s="619"/>
      <c r="J119" s="619"/>
      <c r="K119" s="619"/>
      <c r="L119" s="619"/>
    </row>
    <row r="120" spans="2:12" ht="15">
      <c r="B120" s="388"/>
      <c r="F120" s="619"/>
      <c r="G120" s="619"/>
      <c r="H120" s="619"/>
      <c r="I120" s="619"/>
      <c r="J120" s="619"/>
      <c r="K120" s="619"/>
      <c r="L120" s="619"/>
    </row>
    <row r="121" spans="2:12" ht="15">
      <c r="B121" s="388"/>
      <c r="F121" s="619"/>
      <c r="G121" s="619"/>
      <c r="H121" s="619"/>
      <c r="I121" s="619"/>
      <c r="J121" s="619"/>
      <c r="K121" s="619"/>
      <c r="L121" s="619"/>
    </row>
    <row r="122" spans="2:12" ht="15">
      <c r="B122" s="388"/>
      <c r="F122" s="619"/>
      <c r="G122" s="619"/>
      <c r="H122" s="619"/>
      <c r="I122" s="619"/>
      <c r="J122" s="619"/>
      <c r="K122" s="619"/>
      <c r="L122" s="619"/>
    </row>
    <row r="123" spans="2:12" ht="15">
      <c r="B123" s="388"/>
      <c r="F123" s="619"/>
      <c r="G123" s="619"/>
      <c r="H123" s="619"/>
      <c r="I123" s="619"/>
      <c r="J123" s="619"/>
      <c r="K123" s="619"/>
      <c r="L123" s="619"/>
    </row>
    <row r="124" spans="2:12" ht="15">
      <c r="B124" s="388"/>
      <c r="F124" s="619"/>
      <c r="G124" s="619"/>
      <c r="H124" s="619"/>
      <c r="I124" s="619"/>
      <c r="J124" s="619"/>
      <c r="K124" s="619"/>
      <c r="L124" s="619"/>
    </row>
    <row r="125" spans="2:12" ht="15">
      <c r="B125" s="388"/>
      <c r="F125" s="619"/>
      <c r="G125" s="619"/>
      <c r="H125" s="619"/>
      <c r="I125" s="619"/>
      <c r="J125" s="619"/>
      <c r="K125" s="619"/>
      <c r="L125" s="619"/>
    </row>
    <row r="126" spans="2:12" ht="15">
      <c r="B126" s="388"/>
      <c r="F126" s="619"/>
      <c r="G126" s="619"/>
      <c r="H126" s="619"/>
      <c r="I126" s="619"/>
      <c r="J126" s="619"/>
      <c r="K126" s="619"/>
      <c r="L126" s="619"/>
    </row>
    <row r="127" spans="2:12" ht="15">
      <c r="B127" s="388"/>
      <c r="F127" s="619"/>
      <c r="G127" s="619"/>
      <c r="H127" s="619"/>
      <c r="I127" s="619"/>
      <c r="J127" s="619"/>
      <c r="K127" s="619"/>
      <c r="L127" s="619"/>
    </row>
    <row r="128" spans="2:12" ht="15">
      <c r="B128" s="388"/>
      <c r="F128" s="619"/>
      <c r="G128" s="619"/>
      <c r="H128" s="619"/>
      <c r="I128" s="619"/>
      <c r="J128" s="619"/>
      <c r="K128" s="619"/>
      <c r="L128" s="619"/>
    </row>
    <row r="129" spans="2:12" ht="15">
      <c r="B129" s="388"/>
      <c r="F129" s="619"/>
      <c r="G129" s="619"/>
      <c r="H129" s="619"/>
      <c r="I129" s="619"/>
      <c r="J129" s="619"/>
      <c r="K129" s="619"/>
      <c r="L129" s="619"/>
    </row>
    <row r="130" spans="2:12" ht="15">
      <c r="B130" s="388"/>
      <c r="F130" s="619"/>
      <c r="G130" s="619"/>
      <c r="H130" s="619"/>
      <c r="I130" s="619"/>
      <c r="J130" s="619"/>
      <c r="K130" s="619"/>
      <c r="L130" s="619"/>
    </row>
    <row r="131" spans="2:12" ht="15">
      <c r="B131" s="388"/>
      <c r="F131" s="619"/>
      <c r="G131" s="619"/>
      <c r="H131" s="619"/>
      <c r="I131" s="619"/>
      <c r="J131" s="619"/>
      <c r="K131" s="619"/>
      <c r="L131" s="619"/>
    </row>
    <row r="132" spans="2:12" ht="15">
      <c r="B132" s="388"/>
      <c r="F132" s="619"/>
      <c r="G132" s="619"/>
      <c r="H132" s="619"/>
      <c r="I132" s="619"/>
      <c r="J132" s="619"/>
      <c r="K132" s="619"/>
      <c r="L132" s="619"/>
    </row>
    <row r="133" spans="2:12" ht="15">
      <c r="B133" s="388"/>
      <c r="F133" s="619"/>
      <c r="G133" s="619"/>
      <c r="H133" s="619"/>
      <c r="I133" s="619"/>
      <c r="J133" s="619"/>
      <c r="K133" s="619"/>
      <c r="L133" s="619"/>
    </row>
    <row r="134" spans="2:12" ht="15">
      <c r="B134" s="388"/>
      <c r="F134" s="619"/>
      <c r="G134" s="619"/>
      <c r="H134" s="619"/>
      <c r="I134" s="619"/>
      <c r="J134" s="619"/>
      <c r="K134" s="619"/>
      <c r="L134" s="619"/>
    </row>
    <row r="135" spans="2:12" ht="15">
      <c r="B135" s="388"/>
      <c r="F135" s="619"/>
      <c r="G135" s="619"/>
      <c r="H135" s="619"/>
      <c r="I135" s="619"/>
      <c r="J135" s="619"/>
      <c r="K135" s="619"/>
      <c r="L135" s="619"/>
    </row>
    <row r="136" spans="2:12" ht="15">
      <c r="B136" s="388"/>
      <c r="F136" s="619"/>
      <c r="G136" s="619"/>
      <c r="H136" s="619"/>
      <c r="I136" s="619"/>
      <c r="J136" s="619"/>
      <c r="K136" s="619"/>
      <c r="L136" s="619"/>
    </row>
    <row r="137" spans="2:12" ht="15">
      <c r="B137" s="388"/>
      <c r="F137" s="619"/>
      <c r="G137" s="619"/>
      <c r="H137" s="619"/>
      <c r="I137" s="619"/>
      <c r="J137" s="619"/>
      <c r="K137" s="619"/>
      <c r="L137" s="619"/>
    </row>
    <row r="138" spans="2:12" ht="15">
      <c r="B138" s="388"/>
      <c r="F138" s="619"/>
      <c r="G138" s="619"/>
      <c r="H138" s="619"/>
      <c r="I138" s="619"/>
      <c r="J138" s="619"/>
      <c r="K138" s="619"/>
      <c r="L138" s="619"/>
    </row>
    <row r="139" spans="2:12" ht="15">
      <c r="B139" s="388"/>
      <c r="F139" s="619"/>
      <c r="G139" s="619"/>
      <c r="H139" s="619"/>
      <c r="I139" s="619"/>
      <c r="J139" s="619"/>
      <c r="K139" s="619"/>
      <c r="L139" s="619"/>
    </row>
    <row r="140" spans="2:12" ht="15">
      <c r="B140" s="388"/>
      <c r="F140" s="619"/>
      <c r="G140" s="619"/>
      <c r="H140" s="619"/>
      <c r="I140" s="619"/>
      <c r="J140" s="619"/>
      <c r="K140" s="619"/>
      <c r="L140" s="619"/>
    </row>
    <row r="141" spans="2:12" ht="15">
      <c r="B141" s="388"/>
      <c r="F141" s="619"/>
      <c r="G141" s="619"/>
      <c r="H141" s="619"/>
      <c r="I141" s="619"/>
      <c r="J141" s="619"/>
      <c r="K141" s="619"/>
      <c r="L141" s="619"/>
    </row>
    <row r="142" spans="2:12" ht="15">
      <c r="B142" s="388"/>
      <c r="F142" s="619"/>
      <c r="G142" s="619"/>
      <c r="H142" s="619"/>
      <c r="I142" s="619"/>
      <c r="J142" s="619"/>
      <c r="K142" s="619"/>
      <c r="L142" s="619"/>
    </row>
    <row r="143" spans="2:12" ht="15">
      <c r="B143" s="388"/>
      <c r="F143" s="619"/>
      <c r="G143" s="619"/>
      <c r="H143" s="619"/>
      <c r="I143" s="619"/>
      <c r="J143" s="619"/>
      <c r="K143" s="619"/>
      <c r="L143" s="619"/>
    </row>
    <row r="144" spans="2:12" ht="15">
      <c r="B144" s="388"/>
      <c r="F144" s="619"/>
      <c r="G144" s="619"/>
      <c r="H144" s="619"/>
      <c r="I144" s="619"/>
      <c r="J144" s="619"/>
      <c r="K144" s="619"/>
      <c r="L144" s="619"/>
    </row>
    <row r="145" spans="2:12" ht="15">
      <c r="B145" s="388"/>
      <c r="F145" s="619"/>
      <c r="G145" s="619"/>
      <c r="H145" s="619"/>
      <c r="I145" s="619"/>
      <c r="J145" s="619"/>
      <c r="K145" s="619"/>
      <c r="L145" s="619"/>
    </row>
    <row r="146" spans="2:12" ht="15">
      <c r="B146" s="388"/>
      <c r="F146" s="619"/>
      <c r="G146" s="619"/>
      <c r="H146" s="619"/>
      <c r="I146" s="619"/>
      <c r="J146" s="619"/>
      <c r="K146" s="619"/>
      <c r="L146" s="619"/>
    </row>
    <row r="147" spans="2:12" ht="15">
      <c r="B147" s="388"/>
      <c r="F147" s="619"/>
      <c r="G147" s="619"/>
      <c r="H147" s="619"/>
      <c r="I147" s="619"/>
      <c r="J147" s="619"/>
      <c r="K147" s="619"/>
      <c r="L147" s="619"/>
    </row>
    <row r="148" spans="2:12" ht="15">
      <c r="B148" s="388"/>
      <c r="F148" s="619"/>
      <c r="G148" s="619"/>
      <c r="H148" s="619"/>
      <c r="I148" s="619"/>
      <c r="J148" s="619"/>
      <c r="K148" s="619"/>
      <c r="L148" s="619"/>
    </row>
    <row r="149" spans="2:12" ht="15">
      <c r="B149" s="388"/>
      <c r="F149" s="619"/>
      <c r="G149" s="619"/>
      <c r="H149" s="619"/>
      <c r="I149" s="619"/>
      <c r="J149" s="619"/>
      <c r="K149" s="619"/>
      <c r="L149" s="619"/>
    </row>
    <row r="150" spans="2:12" ht="15">
      <c r="B150" s="388"/>
      <c r="F150" s="619"/>
      <c r="G150" s="619"/>
      <c r="H150" s="619"/>
      <c r="I150" s="619"/>
      <c r="J150" s="619"/>
      <c r="K150" s="619"/>
      <c r="L150" s="619"/>
    </row>
    <row r="151" spans="2:12" ht="15">
      <c r="B151" s="388"/>
      <c r="F151" s="619"/>
      <c r="G151" s="619"/>
      <c r="H151" s="619"/>
      <c r="I151" s="619"/>
      <c r="J151" s="619"/>
      <c r="K151" s="619"/>
      <c r="L151" s="619"/>
    </row>
    <row r="152" spans="2:12" ht="15">
      <c r="B152" s="388"/>
      <c r="F152" s="619"/>
      <c r="G152" s="619"/>
      <c r="H152" s="619"/>
      <c r="I152" s="619"/>
      <c r="J152" s="619"/>
      <c r="K152" s="619"/>
      <c r="L152" s="619"/>
    </row>
    <row r="153" spans="2:12" ht="15">
      <c r="B153" s="388"/>
      <c r="F153" s="619"/>
      <c r="G153" s="619"/>
      <c r="H153" s="619"/>
      <c r="I153" s="619"/>
      <c r="J153" s="619"/>
      <c r="K153" s="619"/>
      <c r="L153" s="619"/>
    </row>
    <row r="154" spans="2:12" ht="15">
      <c r="B154" s="388"/>
      <c r="F154" s="619"/>
      <c r="G154" s="619"/>
      <c r="H154" s="619"/>
      <c r="I154" s="619"/>
      <c r="J154" s="619"/>
      <c r="K154" s="619"/>
      <c r="L154" s="619"/>
    </row>
    <row r="155" spans="2:12" ht="15">
      <c r="B155" s="388"/>
      <c r="F155" s="619"/>
      <c r="G155" s="619"/>
      <c r="H155" s="619"/>
      <c r="I155" s="619"/>
      <c r="J155" s="619"/>
      <c r="K155" s="619"/>
      <c r="L155" s="619"/>
    </row>
    <row r="156" spans="2:12" ht="15">
      <c r="B156" s="388"/>
      <c r="F156" s="619"/>
      <c r="G156" s="619"/>
      <c r="H156" s="619"/>
      <c r="I156" s="619"/>
      <c r="J156" s="619"/>
      <c r="K156" s="619"/>
      <c r="L156" s="619"/>
    </row>
    <row r="157" spans="2:12" ht="15">
      <c r="B157" s="388"/>
      <c r="F157" s="619"/>
      <c r="G157" s="619"/>
      <c r="H157" s="619"/>
      <c r="I157" s="619"/>
      <c r="J157" s="619"/>
      <c r="K157" s="619"/>
      <c r="L157" s="619"/>
    </row>
    <row r="158" spans="2:12" ht="15">
      <c r="B158" s="388"/>
      <c r="F158" s="619"/>
      <c r="G158" s="619"/>
      <c r="H158" s="619"/>
      <c r="I158" s="619"/>
      <c r="J158" s="619"/>
      <c r="K158" s="619"/>
      <c r="L158" s="619"/>
    </row>
    <row r="159" spans="2:12" ht="15">
      <c r="B159" s="388"/>
      <c r="F159" s="619"/>
      <c r="G159" s="619"/>
      <c r="H159" s="619"/>
      <c r="I159" s="619"/>
      <c r="J159" s="619"/>
      <c r="K159" s="619"/>
      <c r="L159" s="619"/>
    </row>
    <row r="160" spans="2:12" ht="15">
      <c r="B160" s="388"/>
      <c r="F160" s="619"/>
      <c r="G160" s="619"/>
      <c r="H160" s="619"/>
      <c r="I160" s="619"/>
      <c r="J160" s="619"/>
      <c r="K160" s="619"/>
      <c r="L160" s="619"/>
    </row>
    <row r="161" spans="2:12" ht="15">
      <c r="B161" s="388"/>
      <c r="F161" s="619"/>
      <c r="G161" s="619"/>
      <c r="H161" s="619"/>
      <c r="I161" s="619"/>
      <c r="J161" s="619"/>
      <c r="K161" s="619"/>
      <c r="L161" s="619"/>
    </row>
    <row r="162" spans="2:12" ht="15">
      <c r="B162" s="388"/>
      <c r="F162" s="619"/>
      <c r="G162" s="619"/>
      <c r="H162" s="619"/>
      <c r="I162" s="619"/>
      <c r="J162" s="619"/>
      <c r="K162" s="619"/>
      <c r="L162" s="619"/>
    </row>
    <row r="163" spans="2:12" ht="15">
      <c r="B163" s="388"/>
      <c r="F163" s="619"/>
      <c r="G163" s="619"/>
      <c r="H163" s="619"/>
      <c r="I163" s="619"/>
      <c r="J163" s="619"/>
      <c r="K163" s="619"/>
      <c r="L163" s="619"/>
    </row>
    <row r="164" spans="2:12" ht="15">
      <c r="B164" s="388"/>
      <c r="F164" s="619"/>
      <c r="G164" s="619"/>
      <c r="H164" s="619"/>
      <c r="I164" s="619"/>
      <c r="J164" s="619"/>
      <c r="K164" s="619"/>
      <c r="L164" s="619"/>
    </row>
    <row r="165" spans="2:12" ht="15">
      <c r="B165" s="388"/>
      <c r="F165" s="619"/>
      <c r="G165" s="619"/>
      <c r="H165" s="619"/>
      <c r="I165" s="619"/>
      <c r="J165" s="619"/>
      <c r="K165" s="619"/>
      <c r="L165" s="619"/>
    </row>
    <row r="166" spans="2:12" ht="15">
      <c r="B166" s="388"/>
      <c r="F166" s="619"/>
      <c r="G166" s="619"/>
      <c r="H166" s="619"/>
      <c r="I166" s="619"/>
      <c r="J166" s="619"/>
      <c r="K166" s="619"/>
      <c r="L166" s="619"/>
    </row>
    <row r="167" spans="2:12" ht="15">
      <c r="B167" s="388"/>
      <c r="F167" s="619"/>
      <c r="G167" s="619"/>
      <c r="H167" s="619"/>
      <c r="I167" s="619"/>
      <c r="J167" s="619"/>
      <c r="K167" s="619"/>
      <c r="L167" s="619"/>
    </row>
    <row r="168" spans="2:12" ht="15">
      <c r="B168" s="388"/>
      <c r="F168" s="619"/>
      <c r="G168" s="619"/>
      <c r="H168" s="619"/>
      <c r="I168" s="619"/>
      <c r="J168" s="619"/>
      <c r="K168" s="619"/>
      <c r="L168" s="619"/>
    </row>
    <row r="169" spans="2:12" ht="15">
      <c r="B169" s="388"/>
      <c r="F169" s="619"/>
      <c r="G169" s="619"/>
      <c r="H169" s="619"/>
      <c r="I169" s="619"/>
      <c r="J169" s="619"/>
      <c r="K169" s="619"/>
      <c r="L169" s="619"/>
    </row>
    <row r="170" spans="2:12" ht="15">
      <c r="B170" s="388"/>
      <c r="F170" s="619"/>
      <c r="G170" s="619"/>
      <c r="H170" s="619"/>
      <c r="I170" s="619"/>
      <c r="J170" s="619"/>
      <c r="K170" s="619"/>
      <c r="L170" s="619"/>
    </row>
    <row r="171" spans="2:12" ht="15">
      <c r="B171" s="388"/>
      <c r="F171" s="619"/>
      <c r="G171" s="619"/>
      <c r="H171" s="619"/>
      <c r="I171" s="619"/>
      <c r="J171" s="619"/>
      <c r="K171" s="619"/>
      <c r="L171" s="619"/>
    </row>
    <row r="172" spans="2:12" ht="15">
      <c r="B172" s="388"/>
      <c r="F172" s="619"/>
      <c r="G172" s="619"/>
      <c r="H172" s="619"/>
      <c r="I172" s="619"/>
      <c r="J172" s="619"/>
      <c r="K172" s="619"/>
      <c r="L172" s="619"/>
    </row>
    <row r="173" spans="2:12" ht="15">
      <c r="B173" s="388"/>
      <c r="F173" s="619"/>
      <c r="G173" s="619"/>
      <c r="H173" s="619"/>
      <c r="I173" s="619"/>
      <c r="J173" s="619"/>
      <c r="K173" s="619"/>
      <c r="L173" s="619"/>
    </row>
    <row r="174" spans="2:12" ht="15">
      <c r="B174" s="388"/>
      <c r="F174" s="619"/>
      <c r="G174" s="619"/>
      <c r="H174" s="619"/>
      <c r="I174" s="619"/>
      <c r="J174" s="619"/>
      <c r="K174" s="619"/>
      <c r="L174" s="619"/>
    </row>
    <row r="175" spans="2:12" ht="15">
      <c r="B175" s="388"/>
      <c r="F175" s="619"/>
      <c r="G175" s="619"/>
      <c r="H175" s="619"/>
      <c r="I175" s="619"/>
      <c r="J175" s="619"/>
      <c r="K175" s="619"/>
      <c r="L175" s="619"/>
    </row>
    <row r="176" spans="2:12" ht="15">
      <c r="B176" s="388"/>
      <c r="F176" s="619"/>
      <c r="G176" s="619"/>
      <c r="H176" s="619"/>
      <c r="I176" s="619"/>
      <c r="J176" s="619"/>
      <c r="K176" s="619"/>
      <c r="L176" s="619"/>
    </row>
    <row r="177" spans="2:12" ht="15">
      <c r="B177" s="388"/>
      <c r="F177" s="619"/>
      <c r="G177" s="619"/>
      <c r="H177" s="619"/>
      <c r="I177" s="619"/>
      <c r="J177" s="619"/>
      <c r="K177" s="619"/>
      <c r="L177" s="619"/>
    </row>
    <row r="178" spans="2:12" ht="15">
      <c r="B178" s="388"/>
      <c r="F178" s="619"/>
      <c r="G178" s="619"/>
      <c r="H178" s="619"/>
      <c r="I178" s="619"/>
      <c r="J178" s="619"/>
      <c r="K178" s="619"/>
      <c r="L178" s="619"/>
    </row>
    <row r="179" spans="2:12" ht="15">
      <c r="B179" s="388"/>
      <c r="F179" s="619"/>
      <c r="G179" s="619"/>
      <c r="H179" s="619"/>
      <c r="I179" s="619"/>
      <c r="J179" s="619"/>
      <c r="K179" s="619"/>
      <c r="L179" s="619"/>
    </row>
    <row r="180" spans="2:12" ht="15">
      <c r="B180" s="388"/>
      <c r="F180" s="619"/>
      <c r="G180" s="619"/>
      <c r="H180" s="619"/>
      <c r="I180" s="619"/>
      <c r="J180" s="619"/>
      <c r="K180" s="619"/>
      <c r="L180" s="619"/>
    </row>
    <row r="181" spans="2:12" ht="15">
      <c r="B181" s="388"/>
      <c r="F181" s="619"/>
      <c r="G181" s="619"/>
      <c r="H181" s="619"/>
      <c r="I181" s="619"/>
      <c r="J181" s="619"/>
      <c r="K181" s="619"/>
      <c r="L181" s="619"/>
    </row>
    <row r="182" spans="2:12" ht="15">
      <c r="B182" s="388"/>
      <c r="F182" s="619"/>
      <c r="G182" s="619"/>
      <c r="H182" s="619"/>
      <c r="I182" s="619"/>
      <c r="J182" s="619"/>
      <c r="K182" s="619"/>
      <c r="L182" s="619"/>
    </row>
    <row r="183" spans="2:12" ht="15">
      <c r="B183" s="388"/>
      <c r="F183" s="619"/>
      <c r="G183" s="619"/>
      <c r="H183" s="619"/>
      <c r="I183" s="619"/>
      <c r="J183" s="619"/>
      <c r="K183" s="619"/>
      <c r="L183" s="619"/>
    </row>
    <row r="184" spans="2:12" ht="15">
      <c r="B184" s="388"/>
      <c r="F184" s="619"/>
      <c r="G184" s="619"/>
      <c r="H184" s="619"/>
      <c r="I184" s="619"/>
      <c r="J184" s="619"/>
      <c r="K184" s="619"/>
      <c r="L184" s="619"/>
    </row>
    <row r="185" spans="2:12" ht="15">
      <c r="B185" s="388"/>
      <c r="F185" s="619"/>
      <c r="G185" s="619"/>
      <c r="H185" s="619"/>
      <c r="I185" s="619"/>
      <c r="J185" s="619"/>
      <c r="K185" s="619"/>
      <c r="L185" s="619"/>
    </row>
    <row r="186" spans="2:12" ht="15">
      <c r="B186" s="388"/>
      <c r="F186" s="619"/>
      <c r="G186" s="619"/>
      <c r="H186" s="619"/>
      <c r="I186" s="619"/>
      <c r="J186" s="619"/>
      <c r="K186" s="619"/>
      <c r="L186" s="619"/>
    </row>
    <row r="187" spans="2:12" ht="15">
      <c r="B187" s="388"/>
      <c r="F187" s="619"/>
      <c r="G187" s="619"/>
      <c r="H187" s="619"/>
      <c r="I187" s="619"/>
      <c r="J187" s="619"/>
      <c r="K187" s="619"/>
      <c r="L187" s="619"/>
    </row>
    <row r="188" spans="2:12" ht="15">
      <c r="B188" s="388"/>
      <c r="F188" s="619"/>
      <c r="G188" s="619"/>
      <c r="H188" s="619"/>
      <c r="I188" s="619"/>
      <c r="J188" s="619"/>
      <c r="K188" s="619"/>
      <c r="L188" s="619"/>
    </row>
    <row r="189" spans="2:12" ht="15">
      <c r="B189" s="388"/>
      <c r="F189" s="619"/>
      <c r="G189" s="619"/>
      <c r="H189" s="619"/>
      <c r="I189" s="619"/>
      <c r="J189" s="619"/>
      <c r="K189" s="619"/>
      <c r="L189" s="619"/>
    </row>
    <row r="190" spans="2:12" ht="15">
      <c r="B190" s="388"/>
      <c r="F190" s="619"/>
      <c r="G190" s="619"/>
      <c r="H190" s="619"/>
      <c r="I190" s="619"/>
      <c r="J190" s="619"/>
      <c r="K190" s="619"/>
      <c r="L190" s="619"/>
    </row>
    <row r="191" spans="2:12" ht="15">
      <c r="B191" s="388"/>
      <c r="F191" s="619"/>
      <c r="G191" s="619"/>
      <c r="H191" s="619"/>
      <c r="I191" s="619"/>
      <c r="J191" s="619"/>
      <c r="K191" s="619"/>
      <c r="L191" s="619"/>
    </row>
    <row r="192" spans="2:12" ht="15">
      <c r="B192" s="388"/>
      <c r="F192" s="619"/>
      <c r="G192" s="619"/>
      <c r="H192" s="619"/>
      <c r="I192" s="619"/>
      <c r="J192" s="619"/>
      <c r="K192" s="619"/>
      <c r="L192" s="619"/>
    </row>
    <row r="193" spans="2:12" ht="15">
      <c r="B193" s="388"/>
      <c r="F193" s="619"/>
      <c r="G193" s="619"/>
      <c r="H193" s="619"/>
      <c r="I193" s="619"/>
      <c r="J193" s="619"/>
      <c r="K193" s="619"/>
      <c r="L193" s="619"/>
    </row>
    <row r="194" spans="2:12" ht="15">
      <c r="B194" s="388"/>
      <c r="F194" s="619"/>
      <c r="G194" s="619"/>
      <c r="H194" s="619"/>
      <c r="I194" s="619"/>
      <c r="J194" s="619"/>
      <c r="K194" s="619"/>
      <c r="L194" s="619"/>
    </row>
    <row r="195" spans="2:12" ht="15">
      <c r="B195" s="388"/>
      <c r="F195" s="619"/>
      <c r="G195" s="619"/>
      <c r="H195" s="619"/>
      <c r="I195" s="619"/>
      <c r="J195" s="619"/>
      <c r="K195" s="619"/>
      <c r="L195" s="619"/>
    </row>
    <row r="196" spans="2:12" ht="15">
      <c r="B196" s="388"/>
      <c r="F196" s="619"/>
      <c r="G196" s="619"/>
      <c r="H196" s="619"/>
      <c r="I196" s="619"/>
      <c r="J196" s="619"/>
      <c r="K196" s="619"/>
      <c r="L196" s="619"/>
    </row>
    <row r="197" spans="2:12" ht="15">
      <c r="B197" s="388"/>
      <c r="F197" s="619"/>
      <c r="G197" s="619"/>
      <c r="H197" s="619"/>
      <c r="I197" s="619"/>
      <c r="J197" s="619"/>
      <c r="K197" s="619"/>
      <c r="L197" s="619"/>
    </row>
    <row r="198" spans="2:12" ht="15">
      <c r="B198" s="388"/>
      <c r="F198" s="619"/>
      <c r="G198" s="619"/>
      <c r="H198" s="619"/>
      <c r="I198" s="619"/>
      <c r="J198" s="619"/>
      <c r="K198" s="619"/>
      <c r="L198" s="619"/>
    </row>
    <row r="199" spans="2:12" ht="15">
      <c r="B199" s="388"/>
      <c r="F199" s="619"/>
      <c r="G199" s="619"/>
      <c r="H199" s="619"/>
      <c r="I199" s="619"/>
      <c r="J199" s="619"/>
      <c r="K199" s="619"/>
      <c r="L199" s="619"/>
    </row>
    <row r="200" spans="2:12" ht="15">
      <c r="B200" s="388"/>
      <c r="F200" s="619"/>
      <c r="G200" s="619"/>
      <c r="H200" s="619"/>
      <c r="I200" s="619"/>
      <c r="J200" s="619"/>
      <c r="K200" s="619"/>
      <c r="L200" s="619"/>
    </row>
    <row r="201" spans="2:12">
      <c r="F201" s="619"/>
      <c r="G201" s="619"/>
      <c r="H201" s="619"/>
      <c r="I201" s="619"/>
      <c r="J201" s="619"/>
      <c r="K201" s="619"/>
      <c r="L201" s="619"/>
    </row>
    <row r="202" spans="2:12">
      <c r="F202" s="619"/>
      <c r="G202" s="619"/>
      <c r="H202" s="619"/>
      <c r="I202" s="619"/>
      <c r="J202" s="619"/>
      <c r="K202" s="619"/>
      <c r="L202" s="619"/>
    </row>
    <row r="203" spans="2:12">
      <c r="F203" s="619"/>
      <c r="G203" s="619"/>
      <c r="H203" s="619"/>
      <c r="I203" s="619"/>
      <c r="J203" s="619"/>
      <c r="K203" s="619"/>
      <c r="L203" s="619"/>
    </row>
    <row r="204" spans="2:12">
      <c r="F204" s="619"/>
      <c r="G204" s="619"/>
      <c r="H204" s="619"/>
      <c r="I204" s="619"/>
      <c r="J204" s="619"/>
      <c r="K204" s="619"/>
      <c r="L204" s="619"/>
    </row>
    <row r="205" spans="2:12">
      <c r="F205" s="619"/>
      <c r="G205" s="619"/>
      <c r="H205" s="619"/>
      <c r="I205" s="619"/>
      <c r="J205" s="619"/>
      <c r="K205" s="619"/>
      <c r="L205" s="619"/>
    </row>
    <row r="206" spans="2:12">
      <c r="F206" s="619"/>
      <c r="G206" s="619"/>
      <c r="H206" s="619"/>
      <c r="I206" s="619"/>
      <c r="J206" s="619"/>
      <c r="K206" s="619"/>
      <c r="L206" s="619"/>
    </row>
    <row r="207" spans="2:12">
      <c r="F207" s="619"/>
      <c r="G207" s="619"/>
      <c r="H207" s="619"/>
      <c r="I207" s="619"/>
      <c r="J207" s="619"/>
      <c r="K207" s="619"/>
      <c r="L207" s="619"/>
    </row>
    <row r="208" spans="2:12">
      <c r="F208" s="619"/>
      <c r="G208" s="619"/>
      <c r="H208" s="619"/>
      <c r="I208" s="619"/>
      <c r="J208" s="619"/>
      <c r="K208" s="619"/>
      <c r="L208" s="619"/>
    </row>
    <row r="209" spans="6:12">
      <c r="F209" s="619"/>
      <c r="G209" s="619"/>
      <c r="H209" s="619"/>
      <c r="I209" s="619"/>
      <c r="J209" s="619"/>
      <c r="K209" s="619"/>
      <c r="L209" s="619"/>
    </row>
    <row r="210" spans="6:12">
      <c r="F210" s="619"/>
      <c r="G210" s="619"/>
      <c r="H210" s="619"/>
      <c r="I210" s="619"/>
      <c r="J210" s="619"/>
      <c r="K210" s="619"/>
      <c r="L210" s="619"/>
    </row>
    <row r="211" spans="6:12">
      <c r="F211" s="619"/>
      <c r="G211" s="619"/>
      <c r="H211" s="619"/>
      <c r="I211" s="619"/>
      <c r="J211" s="619"/>
      <c r="K211" s="619"/>
      <c r="L211" s="619"/>
    </row>
    <row r="212" spans="6:12">
      <c r="F212" s="619"/>
      <c r="G212" s="619"/>
      <c r="H212" s="619"/>
      <c r="I212" s="619"/>
      <c r="J212" s="619"/>
      <c r="K212" s="619"/>
      <c r="L212" s="619"/>
    </row>
    <row r="213" spans="6:12">
      <c r="F213" s="619"/>
      <c r="G213" s="619"/>
      <c r="H213" s="619"/>
      <c r="I213" s="619"/>
      <c r="J213" s="619"/>
      <c r="K213" s="619"/>
      <c r="L213" s="619"/>
    </row>
    <row r="214" spans="6:12">
      <c r="F214" s="619"/>
      <c r="G214" s="619"/>
      <c r="H214" s="619"/>
      <c r="I214" s="619"/>
      <c r="J214" s="619"/>
      <c r="K214" s="619"/>
      <c r="L214" s="619"/>
    </row>
    <row r="215" spans="6:12">
      <c r="F215" s="619"/>
      <c r="G215" s="619"/>
      <c r="H215" s="619"/>
      <c r="I215" s="619"/>
      <c r="J215" s="619"/>
      <c r="K215" s="619"/>
      <c r="L215" s="619"/>
    </row>
    <row r="216" spans="6:12">
      <c r="F216" s="619"/>
      <c r="G216" s="619"/>
      <c r="H216" s="619"/>
      <c r="I216" s="619"/>
      <c r="J216" s="619"/>
      <c r="K216" s="619"/>
      <c r="L216" s="619"/>
    </row>
    <row r="217" spans="6:12">
      <c r="F217" s="619"/>
      <c r="G217" s="619"/>
      <c r="H217" s="619"/>
      <c r="I217" s="619"/>
      <c r="J217" s="619"/>
      <c r="K217" s="619"/>
      <c r="L217" s="619"/>
    </row>
    <row r="218" spans="6:12">
      <c r="F218" s="619"/>
      <c r="G218" s="619"/>
      <c r="H218" s="619"/>
      <c r="I218" s="619"/>
      <c r="J218" s="619"/>
      <c r="K218" s="619"/>
      <c r="L218" s="619"/>
    </row>
    <row r="219" spans="6:12">
      <c r="F219" s="619"/>
      <c r="G219" s="619"/>
      <c r="H219" s="619"/>
      <c r="I219" s="619"/>
      <c r="J219" s="619"/>
      <c r="K219" s="619"/>
      <c r="L219" s="619"/>
    </row>
    <row r="220" spans="6:12">
      <c r="F220" s="619"/>
      <c r="G220" s="619"/>
      <c r="H220" s="619"/>
      <c r="I220" s="619"/>
      <c r="J220" s="619"/>
      <c r="K220" s="619"/>
      <c r="L220" s="619"/>
    </row>
    <row r="221" spans="6:12">
      <c r="F221" s="619"/>
      <c r="G221" s="619"/>
      <c r="H221" s="619"/>
      <c r="I221" s="619"/>
      <c r="J221" s="619"/>
      <c r="K221" s="619"/>
      <c r="L221" s="619"/>
    </row>
    <row r="222" spans="6:12">
      <c r="F222" s="619"/>
      <c r="G222" s="619"/>
      <c r="H222" s="619"/>
      <c r="I222" s="619"/>
      <c r="J222" s="619"/>
      <c r="K222" s="619"/>
      <c r="L222" s="619"/>
    </row>
    <row r="223" spans="6:12">
      <c r="F223" s="619"/>
      <c r="G223" s="619"/>
      <c r="H223" s="619"/>
      <c r="I223" s="619"/>
      <c r="J223" s="619"/>
      <c r="K223" s="619"/>
      <c r="L223" s="619"/>
    </row>
    <row r="224" spans="6:12">
      <c r="F224" s="619"/>
      <c r="G224" s="619"/>
      <c r="H224" s="619"/>
      <c r="I224" s="619"/>
      <c r="J224" s="619"/>
      <c r="K224" s="619"/>
      <c r="L224" s="619"/>
    </row>
    <row r="225" spans="6:12">
      <c r="F225" s="619"/>
      <c r="G225" s="619"/>
      <c r="H225" s="619"/>
      <c r="I225" s="619"/>
      <c r="J225" s="619"/>
      <c r="K225" s="619"/>
      <c r="L225" s="619"/>
    </row>
    <row r="226" spans="6:12">
      <c r="F226" s="619"/>
      <c r="G226" s="619"/>
      <c r="H226" s="619"/>
      <c r="I226" s="619"/>
      <c r="J226" s="619"/>
      <c r="K226" s="619"/>
      <c r="L226" s="619"/>
    </row>
    <row r="227" spans="6:12">
      <c r="F227" s="619"/>
      <c r="G227" s="619"/>
      <c r="H227" s="619"/>
      <c r="I227" s="619"/>
      <c r="J227" s="619"/>
      <c r="K227" s="619"/>
      <c r="L227" s="619"/>
    </row>
    <row r="228" spans="6:12">
      <c r="F228" s="619"/>
      <c r="G228" s="619"/>
      <c r="H228" s="619"/>
      <c r="I228" s="619"/>
      <c r="J228" s="619"/>
      <c r="K228" s="619"/>
      <c r="L228" s="619"/>
    </row>
    <row r="229" spans="6:12">
      <c r="F229" s="619"/>
      <c r="G229" s="619"/>
      <c r="H229" s="619"/>
      <c r="I229" s="619"/>
      <c r="J229" s="619"/>
      <c r="K229" s="619"/>
      <c r="L229" s="619"/>
    </row>
    <row r="230" spans="6:12">
      <c r="F230" s="619"/>
      <c r="G230" s="619"/>
      <c r="H230" s="619"/>
      <c r="I230" s="619"/>
      <c r="J230" s="619"/>
      <c r="K230" s="619"/>
      <c r="L230" s="619"/>
    </row>
    <row r="231" spans="6:12">
      <c r="F231" s="619"/>
      <c r="G231" s="619"/>
      <c r="H231" s="619"/>
      <c r="I231" s="619"/>
      <c r="J231" s="619"/>
      <c r="K231" s="619"/>
      <c r="L231" s="619"/>
    </row>
    <row r="232" spans="6:12">
      <c r="F232" s="619"/>
      <c r="G232" s="619"/>
      <c r="H232" s="619"/>
      <c r="I232" s="619"/>
      <c r="J232" s="619"/>
      <c r="K232" s="619"/>
      <c r="L232" s="619"/>
    </row>
    <row r="233" spans="6:12">
      <c r="F233" s="619"/>
      <c r="G233" s="619"/>
      <c r="H233" s="619"/>
      <c r="I233" s="619"/>
      <c r="J233" s="619"/>
      <c r="K233" s="619"/>
      <c r="L233" s="619"/>
    </row>
    <row r="234" spans="6:12">
      <c r="F234" s="619"/>
      <c r="G234" s="619"/>
      <c r="H234" s="619"/>
      <c r="I234" s="619"/>
      <c r="J234" s="619"/>
      <c r="K234" s="619"/>
      <c r="L234" s="619"/>
    </row>
    <row r="235" spans="6:12">
      <c r="F235" s="619"/>
      <c r="G235" s="619"/>
      <c r="H235" s="619"/>
      <c r="I235" s="619"/>
      <c r="J235" s="619"/>
      <c r="K235" s="619"/>
      <c r="L235" s="619"/>
    </row>
    <row r="236" spans="6:12">
      <c r="F236" s="619"/>
      <c r="G236" s="619"/>
      <c r="H236" s="619"/>
      <c r="I236" s="619"/>
      <c r="J236" s="619"/>
      <c r="K236" s="619"/>
      <c r="L236" s="619"/>
    </row>
    <row r="237" spans="6:12">
      <c r="F237" s="619"/>
      <c r="G237" s="619"/>
      <c r="H237" s="619"/>
      <c r="I237" s="619"/>
      <c r="J237" s="619"/>
      <c r="K237" s="619"/>
      <c r="L237" s="619"/>
    </row>
    <row r="238" spans="6:12">
      <c r="F238" s="619"/>
      <c r="G238" s="619"/>
      <c r="H238" s="619"/>
      <c r="I238" s="619"/>
      <c r="J238" s="619"/>
      <c r="K238" s="619"/>
      <c r="L238" s="619"/>
    </row>
    <row r="239" spans="6:12">
      <c r="F239" s="619"/>
      <c r="G239" s="619"/>
      <c r="H239" s="619"/>
      <c r="I239" s="619"/>
      <c r="J239" s="619"/>
      <c r="K239" s="619"/>
      <c r="L239" s="619"/>
    </row>
    <row r="240" spans="6:12">
      <c r="F240" s="619"/>
      <c r="G240" s="619"/>
      <c r="H240" s="619"/>
      <c r="I240" s="619"/>
      <c r="J240" s="619"/>
      <c r="K240" s="619"/>
      <c r="L240" s="619"/>
    </row>
    <row r="241" spans="6:12">
      <c r="F241" s="619"/>
      <c r="G241" s="619"/>
      <c r="H241" s="619"/>
      <c r="I241" s="619"/>
      <c r="J241" s="619"/>
      <c r="K241" s="619"/>
      <c r="L241" s="619"/>
    </row>
    <row r="242" spans="6:12">
      <c r="F242" s="619"/>
      <c r="G242" s="619"/>
      <c r="H242" s="619"/>
      <c r="I242" s="619"/>
      <c r="J242" s="619"/>
      <c r="K242" s="619"/>
      <c r="L242" s="619"/>
    </row>
    <row r="243" spans="6:12">
      <c r="F243" s="619"/>
      <c r="G243" s="619"/>
      <c r="H243" s="619"/>
      <c r="I243" s="619"/>
      <c r="J243" s="619"/>
      <c r="K243" s="619"/>
      <c r="L243" s="619"/>
    </row>
    <row r="244" spans="6:12">
      <c r="F244" s="619"/>
      <c r="G244" s="619"/>
      <c r="H244" s="619"/>
      <c r="I244" s="619"/>
      <c r="J244" s="619"/>
      <c r="K244" s="619"/>
      <c r="L244" s="619"/>
    </row>
    <row r="245" spans="6:12">
      <c r="F245" s="619"/>
      <c r="G245" s="619"/>
      <c r="H245" s="619"/>
      <c r="I245" s="619"/>
      <c r="J245" s="619"/>
      <c r="K245" s="619"/>
      <c r="L245" s="619"/>
    </row>
    <row r="246" spans="6:12">
      <c r="F246" s="619"/>
      <c r="G246" s="619"/>
      <c r="H246" s="619"/>
      <c r="I246" s="619"/>
      <c r="J246" s="619"/>
      <c r="K246" s="619"/>
      <c r="L246" s="619"/>
    </row>
    <row r="247" spans="6:12">
      <c r="F247" s="619"/>
      <c r="G247" s="619"/>
      <c r="H247" s="619"/>
      <c r="I247" s="619"/>
      <c r="J247" s="619"/>
      <c r="K247" s="619"/>
      <c r="L247" s="619"/>
    </row>
    <row r="248" spans="6:12">
      <c r="F248" s="619"/>
      <c r="G248" s="619"/>
      <c r="H248" s="619"/>
      <c r="I248" s="619"/>
      <c r="J248" s="619"/>
      <c r="K248" s="619"/>
      <c r="L248" s="619"/>
    </row>
    <row r="249" spans="6:12">
      <c r="F249" s="619"/>
      <c r="G249" s="619"/>
      <c r="H249" s="619"/>
      <c r="I249" s="619"/>
      <c r="J249" s="619"/>
      <c r="K249" s="619"/>
      <c r="L249" s="619"/>
    </row>
    <row r="250" spans="6:12">
      <c r="F250" s="619"/>
      <c r="G250" s="619"/>
      <c r="H250" s="619"/>
      <c r="I250" s="619"/>
      <c r="J250" s="619"/>
      <c r="K250" s="619"/>
      <c r="L250" s="619"/>
    </row>
    <row r="251" spans="6:12">
      <c r="F251" s="619"/>
      <c r="G251" s="619"/>
      <c r="H251" s="619"/>
      <c r="I251" s="619"/>
      <c r="J251" s="619"/>
      <c r="K251" s="619"/>
      <c r="L251" s="619"/>
    </row>
    <row r="252" spans="6:12">
      <c r="F252" s="619"/>
      <c r="G252" s="619"/>
      <c r="H252" s="619"/>
      <c r="I252" s="619"/>
      <c r="J252" s="619"/>
      <c r="K252" s="619"/>
      <c r="L252" s="619"/>
    </row>
    <row r="253" spans="6:12">
      <c r="F253" s="619"/>
      <c r="G253" s="619"/>
      <c r="H253" s="619"/>
      <c r="I253" s="619"/>
      <c r="J253" s="619"/>
      <c r="K253" s="619"/>
      <c r="L253" s="619"/>
    </row>
    <row r="254" spans="6:12">
      <c r="F254" s="619"/>
      <c r="G254" s="619"/>
      <c r="H254" s="619"/>
      <c r="I254" s="619"/>
      <c r="J254" s="619"/>
      <c r="K254" s="619"/>
      <c r="L254" s="619"/>
    </row>
    <row r="255" spans="6:12">
      <c r="F255" s="619"/>
      <c r="G255" s="619"/>
      <c r="H255" s="619"/>
      <c r="I255" s="619"/>
      <c r="J255" s="619"/>
      <c r="K255" s="619"/>
      <c r="L255" s="619"/>
    </row>
    <row r="256" spans="6:12">
      <c r="F256" s="619"/>
      <c r="G256" s="619"/>
      <c r="H256" s="619"/>
      <c r="I256" s="619"/>
      <c r="J256" s="619"/>
      <c r="K256" s="619"/>
      <c r="L256" s="619"/>
    </row>
    <row r="257" spans="6:12">
      <c r="F257" s="619"/>
      <c r="G257" s="619"/>
      <c r="H257" s="619"/>
      <c r="I257" s="619"/>
      <c r="J257" s="619"/>
      <c r="K257" s="619"/>
      <c r="L257" s="619"/>
    </row>
    <row r="258" spans="6:12">
      <c r="F258" s="619"/>
      <c r="G258" s="619"/>
      <c r="H258" s="619"/>
      <c r="I258" s="619"/>
      <c r="J258" s="619"/>
      <c r="K258" s="619"/>
      <c r="L258" s="619"/>
    </row>
    <row r="259" spans="6:12">
      <c r="F259" s="619"/>
      <c r="G259" s="619"/>
      <c r="H259" s="619"/>
      <c r="I259" s="619"/>
      <c r="J259" s="619"/>
      <c r="K259" s="619"/>
      <c r="L259" s="619"/>
    </row>
    <row r="260" spans="6:12">
      <c r="F260" s="619"/>
      <c r="G260" s="619"/>
      <c r="H260" s="619"/>
      <c r="I260" s="619"/>
      <c r="J260" s="619"/>
      <c r="K260" s="619"/>
      <c r="L260" s="619"/>
    </row>
    <row r="261" spans="6:12">
      <c r="F261" s="619"/>
      <c r="G261" s="619"/>
      <c r="H261" s="619"/>
      <c r="I261" s="619"/>
      <c r="J261" s="619"/>
      <c r="K261" s="619"/>
      <c r="L261" s="619"/>
    </row>
    <row r="262" spans="6:12">
      <c r="F262" s="619"/>
      <c r="G262" s="619"/>
      <c r="H262" s="619"/>
      <c r="I262" s="619"/>
      <c r="J262" s="619"/>
      <c r="K262" s="619"/>
      <c r="L262" s="619"/>
    </row>
    <row r="263" spans="6:12">
      <c r="F263" s="619"/>
      <c r="G263" s="619"/>
      <c r="H263" s="619"/>
      <c r="I263" s="619"/>
      <c r="J263" s="619"/>
      <c r="K263" s="619"/>
      <c r="L263" s="619"/>
    </row>
    <row r="264" spans="6:12">
      <c r="F264" s="619"/>
      <c r="G264" s="619"/>
      <c r="H264" s="619"/>
      <c r="I264" s="619"/>
      <c r="J264" s="619"/>
      <c r="K264" s="619"/>
      <c r="L264" s="619"/>
    </row>
    <row r="265" spans="6:12">
      <c r="F265" s="619"/>
      <c r="G265" s="619"/>
      <c r="H265" s="619"/>
      <c r="I265" s="619"/>
      <c r="J265" s="619"/>
      <c r="K265" s="619"/>
      <c r="L265" s="619"/>
    </row>
    <row r="266" spans="6:12">
      <c r="F266" s="619"/>
      <c r="G266" s="619"/>
      <c r="H266" s="619"/>
      <c r="I266" s="619"/>
      <c r="J266" s="619"/>
      <c r="K266" s="619"/>
      <c r="L266" s="619"/>
    </row>
    <row r="267" spans="6:12">
      <c r="F267" s="619"/>
      <c r="G267" s="619"/>
      <c r="H267" s="619"/>
      <c r="I267" s="619"/>
      <c r="J267" s="619"/>
      <c r="K267" s="619"/>
      <c r="L267" s="619"/>
    </row>
    <row r="268" spans="6:12">
      <c r="F268" s="619"/>
      <c r="G268" s="619"/>
      <c r="H268" s="619"/>
      <c r="I268" s="619"/>
      <c r="J268" s="619"/>
      <c r="K268" s="619"/>
      <c r="L268" s="619"/>
    </row>
    <row r="269" spans="6:12">
      <c r="F269" s="619"/>
      <c r="G269" s="619"/>
      <c r="H269" s="619"/>
      <c r="I269" s="619"/>
      <c r="J269" s="619"/>
      <c r="K269" s="619"/>
      <c r="L269" s="619"/>
    </row>
    <row r="270" spans="6:12">
      <c r="F270" s="619"/>
      <c r="G270" s="619"/>
      <c r="H270" s="619"/>
      <c r="I270" s="619"/>
      <c r="J270" s="619"/>
      <c r="K270" s="619"/>
      <c r="L270" s="619"/>
    </row>
    <row r="271" spans="6:12">
      <c r="F271" s="619"/>
      <c r="G271" s="619"/>
      <c r="H271" s="619"/>
      <c r="I271" s="619"/>
      <c r="J271" s="619"/>
      <c r="K271" s="619"/>
      <c r="L271" s="619"/>
    </row>
    <row r="272" spans="6:12">
      <c r="F272" s="619"/>
      <c r="G272" s="619"/>
      <c r="H272" s="619"/>
      <c r="I272" s="619"/>
      <c r="J272" s="619"/>
      <c r="K272" s="619"/>
      <c r="L272" s="619"/>
    </row>
    <row r="273" spans="6:12">
      <c r="F273" s="619"/>
      <c r="G273" s="619"/>
      <c r="H273" s="619"/>
      <c r="I273" s="619"/>
      <c r="J273" s="619"/>
      <c r="K273" s="619"/>
      <c r="L273" s="619"/>
    </row>
    <row r="274" spans="6:12">
      <c r="F274" s="619"/>
      <c r="G274" s="619"/>
      <c r="H274" s="619"/>
      <c r="I274" s="619"/>
      <c r="J274" s="619"/>
      <c r="K274" s="619"/>
      <c r="L274" s="619"/>
    </row>
    <row r="275" spans="6:12">
      <c r="F275" s="619"/>
      <c r="G275" s="619"/>
      <c r="H275" s="619"/>
      <c r="I275" s="619"/>
      <c r="J275" s="619"/>
      <c r="K275" s="619"/>
      <c r="L275" s="619"/>
    </row>
    <row r="276" spans="6:12">
      <c r="F276" s="619"/>
      <c r="G276" s="619"/>
      <c r="H276" s="619"/>
      <c r="I276" s="619"/>
      <c r="J276" s="619"/>
      <c r="K276" s="619"/>
      <c r="L276" s="619"/>
    </row>
    <row r="277" spans="6:12">
      <c r="F277" s="619"/>
      <c r="G277" s="619"/>
      <c r="H277" s="619"/>
      <c r="I277" s="619"/>
      <c r="J277" s="619"/>
      <c r="K277" s="619"/>
      <c r="L277" s="619"/>
    </row>
    <row r="278" spans="6:12">
      <c r="F278" s="619"/>
      <c r="G278" s="619"/>
      <c r="H278" s="619"/>
      <c r="I278" s="619"/>
      <c r="J278" s="619"/>
      <c r="K278" s="619"/>
      <c r="L278" s="619"/>
    </row>
    <row r="279" spans="6:12">
      <c r="F279" s="619"/>
      <c r="G279" s="619"/>
      <c r="H279" s="619"/>
      <c r="I279" s="619"/>
      <c r="J279" s="619"/>
      <c r="K279" s="619"/>
      <c r="L279" s="619"/>
    </row>
    <row r="280" spans="6:12">
      <c r="F280" s="619"/>
      <c r="G280" s="619"/>
      <c r="H280" s="619"/>
      <c r="I280" s="619"/>
      <c r="J280" s="619"/>
      <c r="K280" s="619"/>
      <c r="L280" s="619"/>
    </row>
    <row r="281" spans="6:12">
      <c r="F281" s="619"/>
      <c r="G281" s="619"/>
      <c r="H281" s="619"/>
      <c r="I281" s="619"/>
      <c r="J281" s="619"/>
      <c r="K281" s="619"/>
      <c r="L281" s="619"/>
    </row>
    <row r="282" spans="6:12">
      <c r="F282" s="619"/>
      <c r="G282" s="619"/>
      <c r="H282" s="619"/>
      <c r="I282" s="619"/>
      <c r="J282" s="619"/>
      <c r="K282" s="619"/>
      <c r="L282" s="619"/>
    </row>
    <row r="283" spans="6:12">
      <c r="F283" s="619"/>
      <c r="G283" s="619"/>
      <c r="H283" s="619"/>
      <c r="I283" s="619"/>
      <c r="J283" s="619"/>
      <c r="K283" s="619"/>
      <c r="L283" s="619"/>
    </row>
    <row r="284" spans="6:12">
      <c r="F284" s="619"/>
      <c r="G284" s="619"/>
      <c r="H284" s="619"/>
      <c r="I284" s="619"/>
      <c r="J284" s="619"/>
      <c r="K284" s="619"/>
      <c r="L284" s="619"/>
    </row>
    <row r="285" spans="6:12">
      <c r="F285" s="619"/>
      <c r="G285" s="619"/>
      <c r="H285" s="619"/>
      <c r="I285" s="619"/>
      <c r="J285" s="619"/>
      <c r="K285" s="619"/>
      <c r="L285" s="619"/>
    </row>
    <row r="286" spans="6:12">
      <c r="F286" s="619"/>
      <c r="G286" s="619"/>
      <c r="H286" s="619"/>
      <c r="I286" s="619"/>
      <c r="J286" s="619"/>
      <c r="K286" s="619"/>
      <c r="L286" s="619"/>
    </row>
    <row r="287" spans="6:12">
      <c r="F287" s="619"/>
      <c r="G287" s="619"/>
      <c r="H287" s="619"/>
      <c r="I287" s="619"/>
      <c r="J287" s="619"/>
      <c r="K287" s="619"/>
      <c r="L287" s="619"/>
    </row>
    <row r="288" spans="6:12">
      <c r="F288" s="619"/>
      <c r="G288" s="619"/>
      <c r="H288" s="619"/>
      <c r="I288" s="619"/>
      <c r="J288" s="619"/>
      <c r="K288" s="619"/>
      <c r="L288" s="619"/>
    </row>
    <row r="289" spans="6:12">
      <c r="F289" s="619"/>
      <c r="G289" s="619"/>
      <c r="H289" s="619"/>
      <c r="I289" s="619"/>
      <c r="J289" s="619"/>
      <c r="K289" s="619"/>
      <c r="L289" s="619"/>
    </row>
    <row r="290" spans="6:12">
      <c r="F290" s="619"/>
      <c r="G290" s="619"/>
      <c r="H290" s="619"/>
      <c r="I290" s="619"/>
      <c r="J290" s="619"/>
      <c r="K290" s="619"/>
      <c r="L290" s="619"/>
    </row>
    <row r="291" spans="6:12">
      <c r="F291" s="619"/>
      <c r="G291" s="619"/>
      <c r="H291" s="619"/>
      <c r="I291" s="619"/>
      <c r="J291" s="619"/>
      <c r="K291" s="619"/>
      <c r="L291" s="619"/>
    </row>
    <row r="292" spans="6:12">
      <c r="F292" s="619"/>
      <c r="G292" s="619"/>
      <c r="H292" s="619"/>
      <c r="I292" s="619"/>
      <c r="J292" s="619"/>
      <c r="K292" s="619"/>
      <c r="L292" s="619"/>
    </row>
    <row r="293" spans="6:12">
      <c r="F293" s="619"/>
      <c r="G293" s="619"/>
      <c r="H293" s="619"/>
      <c r="I293" s="619"/>
      <c r="J293" s="619"/>
      <c r="K293" s="619"/>
      <c r="L293" s="619"/>
    </row>
    <row r="294" spans="6:12">
      <c r="F294" s="619"/>
      <c r="G294" s="619"/>
      <c r="H294" s="619"/>
      <c r="I294" s="619"/>
      <c r="J294" s="619"/>
      <c r="K294" s="619"/>
      <c r="L294" s="619"/>
    </row>
    <row r="295" spans="6:12">
      <c r="F295" s="619"/>
      <c r="G295" s="619"/>
      <c r="H295" s="619"/>
      <c r="I295" s="619"/>
      <c r="J295" s="619"/>
      <c r="K295" s="619"/>
      <c r="L295" s="619"/>
    </row>
    <row r="296" spans="6:12">
      <c r="F296" s="619"/>
      <c r="G296" s="619"/>
      <c r="H296" s="619"/>
      <c r="I296" s="619"/>
      <c r="J296" s="619"/>
      <c r="K296" s="619"/>
      <c r="L296" s="619"/>
    </row>
    <row r="297" spans="6:12">
      <c r="F297" s="619"/>
      <c r="G297" s="619"/>
      <c r="H297" s="619"/>
      <c r="I297" s="619"/>
      <c r="J297" s="619"/>
      <c r="K297" s="619"/>
      <c r="L297" s="619"/>
    </row>
    <row r="298" spans="6:12">
      <c r="F298" s="619"/>
      <c r="G298" s="619"/>
      <c r="H298" s="619"/>
      <c r="I298" s="619"/>
      <c r="J298" s="619"/>
      <c r="K298" s="619"/>
      <c r="L298" s="619"/>
    </row>
    <row r="299" spans="6:12">
      <c r="F299" s="619"/>
      <c r="G299" s="619"/>
      <c r="H299" s="619"/>
      <c r="I299" s="619"/>
      <c r="J299" s="619"/>
      <c r="K299" s="619"/>
      <c r="L299" s="619"/>
    </row>
    <row r="300" spans="6:12">
      <c r="F300" s="619"/>
      <c r="G300" s="619"/>
      <c r="H300" s="619"/>
      <c r="I300" s="619"/>
      <c r="J300" s="619"/>
      <c r="K300" s="619"/>
      <c r="L300" s="619"/>
    </row>
    <row r="301" spans="6:12">
      <c r="F301" s="619"/>
      <c r="G301" s="619"/>
      <c r="H301" s="619"/>
      <c r="I301" s="619"/>
      <c r="J301" s="619"/>
      <c r="K301" s="619"/>
      <c r="L301" s="619"/>
    </row>
    <row r="302" spans="6:12">
      <c r="F302" s="619"/>
      <c r="G302" s="619"/>
      <c r="H302" s="619"/>
      <c r="I302" s="619"/>
      <c r="J302" s="619"/>
      <c r="K302" s="619"/>
      <c r="L302" s="619"/>
    </row>
    <row r="303" spans="6:12">
      <c r="F303" s="619"/>
      <c r="G303" s="619"/>
      <c r="H303" s="619"/>
      <c r="I303" s="619"/>
      <c r="J303" s="619"/>
      <c r="K303" s="619"/>
      <c r="L303" s="619"/>
    </row>
    <row r="304" spans="6:12">
      <c r="F304" s="619"/>
      <c r="G304" s="619"/>
      <c r="H304" s="619"/>
      <c r="I304" s="619"/>
      <c r="J304" s="619"/>
      <c r="K304" s="619"/>
      <c r="L304" s="619"/>
    </row>
    <row r="305" spans="6:12">
      <c r="F305" s="619"/>
      <c r="G305" s="619"/>
      <c r="H305" s="619"/>
      <c r="I305" s="619"/>
      <c r="J305" s="619"/>
      <c r="K305" s="619"/>
      <c r="L305" s="619"/>
    </row>
    <row r="306" spans="6:12">
      <c r="F306" s="619"/>
      <c r="G306" s="619"/>
      <c r="H306" s="619"/>
      <c r="I306" s="619"/>
      <c r="J306" s="619"/>
      <c r="K306" s="619"/>
      <c r="L306" s="619"/>
    </row>
    <row r="307" spans="6:12">
      <c r="F307" s="619"/>
      <c r="G307" s="619"/>
      <c r="H307" s="619"/>
      <c r="I307" s="619"/>
      <c r="J307" s="619"/>
      <c r="K307" s="619"/>
      <c r="L307" s="619"/>
    </row>
    <row r="308" spans="6:12">
      <c r="F308" s="619"/>
      <c r="G308" s="619"/>
      <c r="H308" s="619"/>
      <c r="I308" s="619"/>
      <c r="J308" s="619"/>
      <c r="K308" s="619"/>
      <c r="L308" s="619"/>
    </row>
    <row r="309" spans="6:12">
      <c r="F309" s="619"/>
      <c r="G309" s="619"/>
      <c r="H309" s="619"/>
      <c r="I309" s="619"/>
      <c r="J309" s="619"/>
      <c r="K309" s="619"/>
      <c r="L309" s="619"/>
    </row>
    <row r="310" spans="6:12">
      <c r="F310" s="619"/>
      <c r="G310" s="619"/>
      <c r="H310" s="619"/>
      <c r="I310" s="619"/>
      <c r="J310" s="619"/>
      <c r="K310" s="619"/>
      <c r="L310" s="619"/>
    </row>
    <row r="311" spans="6:12">
      <c r="F311" s="619"/>
      <c r="G311" s="619"/>
      <c r="H311" s="619"/>
      <c r="I311" s="619"/>
      <c r="J311" s="619"/>
      <c r="K311" s="619"/>
      <c r="L311" s="619"/>
    </row>
    <row r="312" spans="6:12">
      <c r="F312" s="619"/>
      <c r="G312" s="619"/>
      <c r="H312" s="619"/>
      <c r="I312" s="619"/>
      <c r="J312" s="619"/>
      <c r="K312" s="619"/>
      <c r="L312" s="619"/>
    </row>
    <row r="313" spans="6:12">
      <c r="F313" s="619"/>
      <c r="G313" s="619"/>
      <c r="H313" s="619"/>
      <c r="I313" s="619"/>
      <c r="J313" s="619"/>
      <c r="K313" s="619"/>
      <c r="L313" s="619"/>
    </row>
    <row r="314" spans="6:12">
      <c r="F314" s="619"/>
      <c r="G314" s="619"/>
      <c r="H314" s="619"/>
      <c r="I314" s="619"/>
      <c r="J314" s="619"/>
      <c r="K314" s="619"/>
      <c r="L314" s="619"/>
    </row>
    <row r="315" spans="6:12">
      <c r="F315" s="619"/>
      <c r="G315" s="619"/>
      <c r="H315" s="619"/>
      <c r="I315" s="619"/>
      <c r="J315" s="619"/>
      <c r="K315" s="619"/>
      <c r="L315" s="619"/>
    </row>
    <row r="316" spans="6:12">
      <c r="F316" s="619"/>
      <c r="G316" s="619"/>
      <c r="H316" s="619"/>
      <c r="I316" s="619"/>
      <c r="J316" s="619"/>
      <c r="K316" s="619"/>
      <c r="L316" s="619"/>
    </row>
    <row r="317" spans="6:12">
      <c r="F317" s="619"/>
      <c r="G317" s="619"/>
      <c r="H317" s="619"/>
      <c r="I317" s="619"/>
      <c r="J317" s="619"/>
      <c r="K317" s="619"/>
      <c r="L317" s="619"/>
    </row>
    <row r="318" spans="6:12">
      <c r="F318" s="619"/>
      <c r="G318" s="619"/>
      <c r="H318" s="619"/>
      <c r="I318" s="619"/>
      <c r="J318" s="619"/>
      <c r="K318" s="619"/>
      <c r="L318" s="619"/>
    </row>
    <row r="319" spans="6:12">
      <c r="F319" s="619"/>
      <c r="G319" s="619"/>
      <c r="H319" s="619"/>
      <c r="I319" s="619"/>
      <c r="J319" s="619"/>
      <c r="K319" s="619"/>
      <c r="L319" s="619"/>
    </row>
    <row r="320" spans="6:12">
      <c r="F320" s="619"/>
      <c r="G320" s="619"/>
      <c r="H320" s="619"/>
      <c r="I320" s="619"/>
      <c r="J320" s="619"/>
      <c r="K320" s="619"/>
      <c r="L320" s="619"/>
    </row>
    <row r="321" spans="6:12">
      <c r="F321" s="619"/>
      <c r="G321" s="619"/>
      <c r="H321" s="619"/>
      <c r="I321" s="619"/>
      <c r="J321" s="619"/>
      <c r="K321" s="619"/>
      <c r="L321" s="619"/>
    </row>
    <row r="322" spans="6:12">
      <c r="F322" s="619"/>
      <c r="G322" s="619"/>
      <c r="H322" s="619"/>
      <c r="I322" s="619"/>
      <c r="J322" s="619"/>
      <c r="K322" s="619"/>
      <c r="L322" s="619"/>
    </row>
    <row r="323" spans="6:12">
      <c r="F323" s="619"/>
      <c r="G323" s="619"/>
      <c r="H323" s="619"/>
      <c r="I323" s="619"/>
      <c r="J323" s="619"/>
      <c r="K323" s="619"/>
      <c r="L323" s="619"/>
    </row>
    <row r="324" spans="6:12">
      <c r="F324" s="619"/>
      <c r="G324" s="619"/>
      <c r="H324" s="619"/>
      <c r="I324" s="619"/>
      <c r="J324" s="619"/>
      <c r="K324" s="619"/>
      <c r="L324" s="619"/>
    </row>
    <row r="325" spans="6:12">
      <c r="F325" s="619"/>
      <c r="G325" s="619"/>
      <c r="H325" s="619"/>
      <c r="I325" s="619"/>
      <c r="J325" s="619"/>
      <c r="K325" s="619"/>
      <c r="L325" s="619"/>
    </row>
    <row r="326" spans="6:12">
      <c r="F326" s="619"/>
      <c r="G326" s="619"/>
      <c r="H326" s="619"/>
      <c r="I326" s="619"/>
      <c r="J326" s="619"/>
      <c r="K326" s="619"/>
      <c r="L326" s="619"/>
    </row>
    <row r="327" spans="6:12">
      <c r="F327" s="619"/>
      <c r="G327" s="619"/>
      <c r="H327" s="619"/>
      <c r="I327" s="619"/>
      <c r="J327" s="619"/>
      <c r="K327" s="619"/>
      <c r="L327" s="619"/>
    </row>
    <row r="328" spans="6:12">
      <c r="F328" s="619"/>
      <c r="G328" s="619"/>
      <c r="H328" s="619"/>
      <c r="I328" s="619"/>
      <c r="J328" s="619"/>
      <c r="K328" s="619"/>
      <c r="L328" s="619"/>
    </row>
    <row r="329" spans="6:12">
      <c r="F329" s="619"/>
      <c r="G329" s="619"/>
      <c r="H329" s="619"/>
      <c r="I329" s="619"/>
      <c r="J329" s="619"/>
      <c r="K329" s="619"/>
      <c r="L329" s="619"/>
    </row>
    <row r="330" spans="6:12">
      <c r="F330" s="619"/>
      <c r="G330" s="619"/>
      <c r="H330" s="619"/>
      <c r="I330" s="619"/>
      <c r="J330" s="619"/>
      <c r="K330" s="619"/>
      <c r="L330" s="619"/>
    </row>
    <row r="331" spans="6:12">
      <c r="F331" s="619"/>
      <c r="G331" s="619"/>
      <c r="H331" s="619"/>
      <c r="I331" s="619"/>
      <c r="J331" s="619"/>
      <c r="K331" s="619"/>
      <c r="L331" s="619"/>
    </row>
    <row r="332" spans="6:12">
      <c r="F332" s="619"/>
      <c r="G332" s="619"/>
      <c r="H332" s="619"/>
      <c r="I332" s="619"/>
      <c r="J332" s="619"/>
      <c r="K332" s="619"/>
      <c r="L332" s="619"/>
    </row>
    <row r="333" spans="6:12">
      <c r="F333" s="619"/>
      <c r="G333" s="619"/>
      <c r="H333" s="619"/>
      <c r="I333" s="619"/>
      <c r="J333" s="619"/>
      <c r="K333" s="619"/>
      <c r="L333" s="619"/>
    </row>
    <row r="334" spans="6:12">
      <c r="F334" s="619"/>
      <c r="G334" s="619"/>
      <c r="H334" s="619"/>
      <c r="I334" s="619"/>
      <c r="J334" s="619"/>
      <c r="K334" s="619"/>
      <c r="L334" s="619"/>
    </row>
    <row r="335" spans="6:12">
      <c r="F335" s="619"/>
      <c r="G335" s="619"/>
      <c r="H335" s="619"/>
      <c r="I335" s="619"/>
      <c r="J335" s="619"/>
      <c r="K335" s="619"/>
      <c r="L335" s="619"/>
    </row>
    <row r="336" spans="6:12">
      <c r="F336" s="619"/>
      <c r="G336" s="619"/>
      <c r="H336" s="619"/>
      <c r="I336" s="619"/>
      <c r="J336" s="619"/>
      <c r="K336" s="619"/>
      <c r="L336" s="619"/>
    </row>
    <row r="337" spans="6:12">
      <c r="F337" s="619"/>
      <c r="G337" s="619"/>
      <c r="H337" s="619"/>
      <c r="I337" s="619"/>
      <c r="J337" s="619"/>
      <c r="K337" s="619"/>
      <c r="L337" s="619"/>
    </row>
    <row r="338" spans="6:12">
      <c r="F338" s="619"/>
      <c r="G338" s="619"/>
      <c r="H338" s="619"/>
      <c r="I338" s="619"/>
      <c r="J338" s="619"/>
      <c r="K338" s="619"/>
      <c r="L338" s="619"/>
    </row>
    <row r="339" spans="6:12">
      <c r="F339" s="619"/>
      <c r="G339" s="619"/>
      <c r="H339" s="619"/>
      <c r="I339" s="619"/>
      <c r="J339" s="619"/>
      <c r="K339" s="619"/>
      <c r="L339" s="619"/>
    </row>
    <row r="340" spans="6:12">
      <c r="F340" s="619"/>
      <c r="G340" s="619"/>
      <c r="H340" s="619"/>
      <c r="I340" s="619"/>
      <c r="J340" s="619"/>
      <c r="K340" s="619"/>
      <c r="L340" s="619"/>
    </row>
    <row r="341" spans="6:12">
      <c r="F341" s="619"/>
      <c r="G341" s="619"/>
      <c r="H341" s="619"/>
      <c r="I341" s="619"/>
      <c r="J341" s="619"/>
      <c r="K341" s="619"/>
      <c r="L341" s="619"/>
    </row>
    <row r="342" spans="6:12">
      <c r="F342" s="619"/>
      <c r="G342" s="619"/>
      <c r="H342" s="619"/>
      <c r="I342" s="619"/>
      <c r="J342" s="619"/>
      <c r="K342" s="619"/>
      <c r="L342" s="619"/>
    </row>
    <row r="343" spans="6:12">
      <c r="F343" s="619"/>
      <c r="G343" s="619"/>
      <c r="H343" s="619"/>
      <c r="I343" s="619"/>
      <c r="J343" s="619"/>
      <c r="K343" s="619"/>
      <c r="L343" s="619"/>
    </row>
    <row r="344" spans="6:12">
      <c r="F344" s="619"/>
      <c r="G344" s="619"/>
      <c r="H344" s="619"/>
      <c r="I344" s="619"/>
      <c r="J344" s="619"/>
      <c r="K344" s="619"/>
      <c r="L344" s="619"/>
    </row>
    <row r="345" spans="6:12">
      <c r="F345" s="619"/>
      <c r="G345" s="619"/>
      <c r="H345" s="619"/>
      <c r="I345" s="619"/>
      <c r="J345" s="619"/>
      <c r="K345" s="619"/>
      <c r="L345" s="619"/>
    </row>
    <row r="346" spans="6:12">
      <c r="F346" s="619"/>
      <c r="G346" s="619"/>
      <c r="H346" s="619"/>
      <c r="I346" s="619"/>
      <c r="J346" s="619"/>
      <c r="K346" s="619"/>
      <c r="L346" s="619"/>
    </row>
    <row r="347" spans="6:12">
      <c r="F347" s="619"/>
      <c r="G347" s="619"/>
      <c r="H347" s="619"/>
      <c r="I347" s="619"/>
      <c r="J347" s="619"/>
      <c r="K347" s="619"/>
      <c r="L347" s="619"/>
    </row>
    <row r="348" spans="6:12">
      <c r="F348" s="619"/>
      <c r="G348" s="619"/>
      <c r="H348" s="619"/>
      <c r="I348" s="619"/>
      <c r="J348" s="619"/>
      <c r="K348" s="619"/>
      <c r="L348" s="619"/>
    </row>
    <row r="349" spans="6:12">
      <c r="F349" s="619"/>
      <c r="G349" s="619"/>
      <c r="H349" s="619"/>
      <c r="I349" s="619"/>
      <c r="J349" s="619"/>
      <c r="K349" s="619"/>
      <c r="L349" s="619"/>
    </row>
    <row r="350" spans="6:12">
      <c r="F350" s="619"/>
      <c r="G350" s="619"/>
      <c r="H350" s="619"/>
      <c r="I350" s="619"/>
      <c r="J350" s="619"/>
      <c r="K350" s="619"/>
      <c r="L350" s="619"/>
    </row>
  </sheetData>
  <mergeCells count="13">
    <mergeCell ref="A1:O1"/>
    <mergeCell ref="A2:M2"/>
    <mergeCell ref="M3:M5"/>
    <mergeCell ref="O3:O5"/>
    <mergeCell ref="N3:N5"/>
    <mergeCell ref="C3:C5"/>
    <mergeCell ref="D3:D5"/>
    <mergeCell ref="E3:E5"/>
    <mergeCell ref="A3:A5"/>
    <mergeCell ref="N2:O2"/>
    <mergeCell ref="F3:L3"/>
    <mergeCell ref="F4:I4"/>
    <mergeCell ref="J4:L4"/>
  </mergeCells>
  <phoneticPr fontId="7" type="noConversion"/>
  <printOptions horizontalCentered="1" verticalCentered="1"/>
  <pageMargins left="0.31" right="0.23622047244094499" top="0.32" bottom="0.21" header="0.17" footer="0.18"/>
  <pageSetup paperSize="9" scale="49"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W122"/>
  <sheetViews>
    <sheetView showGridLines="0" zoomScaleNormal="100" workbookViewId="0">
      <selection activeCell="U3" sqref="U3:W3"/>
    </sheetView>
  </sheetViews>
  <sheetFormatPr defaultRowHeight="14.25"/>
  <cols>
    <col min="1" max="1" width="4.7109375" style="4" customWidth="1"/>
    <col min="2" max="2" width="16.85546875" style="4" customWidth="1"/>
    <col min="3" max="3" width="15.85546875" style="227" customWidth="1"/>
    <col min="4" max="4" width="13.85546875" style="227" bestFit="1" customWidth="1"/>
    <col min="5" max="5" width="14" style="227" customWidth="1"/>
    <col min="6" max="7" width="13.85546875" style="227" bestFit="1" customWidth="1"/>
    <col min="8" max="8" width="11.42578125" style="227" bestFit="1" customWidth="1"/>
    <col min="9" max="9" width="10.85546875" style="1693" customWidth="1"/>
    <col min="10" max="10" width="10.140625" style="1693" customWidth="1"/>
    <col min="11" max="11" width="11.7109375" style="1693" customWidth="1"/>
    <col min="12" max="12" width="11.42578125" style="1693" customWidth="1"/>
    <col min="13" max="13" width="10.28515625" style="1693" customWidth="1"/>
    <col min="14" max="14" width="9" style="1693" customWidth="1"/>
    <col min="15" max="15" width="12.5703125" style="4" customWidth="1"/>
    <col min="16" max="16" width="12.28515625" style="4" customWidth="1"/>
    <col min="17" max="17" width="12.85546875" style="4" customWidth="1"/>
    <col min="18" max="18" width="11.28515625" style="4" customWidth="1"/>
    <col min="19" max="19" width="10.5703125" style="4" customWidth="1"/>
    <col min="20" max="20" width="11.85546875" style="4" customWidth="1"/>
    <col min="21" max="21" width="9.28515625" style="4" customWidth="1"/>
    <col min="22" max="22" width="9.85546875" style="4" customWidth="1"/>
    <col min="23" max="23" width="9.28515625" style="4" bestFit="1" customWidth="1"/>
    <col min="24" max="16384" width="9.140625" style="4"/>
  </cols>
  <sheetData>
    <row r="1" spans="1:23" ht="15">
      <c r="A1" s="1885" t="s">
        <v>974</v>
      </c>
      <c r="B1" s="1885"/>
      <c r="C1" s="1885"/>
      <c r="D1" s="1885"/>
      <c r="E1" s="1885"/>
      <c r="F1" s="1885"/>
      <c r="G1" s="1885"/>
      <c r="H1" s="1885"/>
      <c r="I1" s="1885"/>
      <c r="J1" s="1885"/>
      <c r="K1" s="1885"/>
      <c r="L1" s="1885"/>
      <c r="M1" s="1885"/>
      <c r="N1" s="1885"/>
      <c r="O1" s="1885"/>
      <c r="P1" s="1885"/>
      <c r="Q1" s="1885"/>
    </row>
    <row r="2" spans="1:23" ht="15">
      <c r="A2" s="1627" t="s">
        <v>975</v>
      </c>
      <c r="B2" s="409"/>
      <c r="C2" s="1628"/>
      <c r="D2" s="1629"/>
      <c r="E2" s="1629"/>
      <c r="F2" s="1629"/>
      <c r="G2" s="1630"/>
      <c r="H2" s="1630"/>
      <c r="I2" s="1630"/>
      <c r="J2" s="1626"/>
      <c r="K2" s="1626"/>
      <c r="L2" s="1626"/>
      <c r="M2" s="1626"/>
      <c r="N2" s="1626"/>
      <c r="O2" s="1626"/>
      <c r="P2" s="1626"/>
      <c r="Q2" s="1626"/>
    </row>
    <row r="3" spans="1:23" ht="15.75" thickBot="1">
      <c r="A3" s="1626"/>
      <c r="B3" s="1626"/>
      <c r="C3" s="1626"/>
      <c r="D3" s="1626"/>
      <c r="E3" s="1626"/>
      <c r="F3" s="1626"/>
      <c r="G3" s="1626"/>
      <c r="H3" s="1626"/>
      <c r="I3" s="1626"/>
      <c r="J3" s="1626"/>
      <c r="K3" s="1626"/>
      <c r="L3" s="1626"/>
      <c r="M3" s="1626"/>
      <c r="N3" s="1626"/>
      <c r="O3" s="1626"/>
      <c r="Q3" s="1626"/>
      <c r="T3" s="1631"/>
      <c r="U3" s="1900" t="s">
        <v>1163</v>
      </c>
      <c r="V3" s="1901"/>
      <c r="W3" s="1901"/>
    </row>
    <row r="4" spans="1:23" s="409" customFormat="1" ht="15" customHeight="1">
      <c r="A4" s="1902" t="s">
        <v>1245</v>
      </c>
      <c r="B4" s="1905" t="s">
        <v>1246</v>
      </c>
      <c r="C4" s="1908" t="s">
        <v>1247</v>
      </c>
      <c r="D4" s="1909"/>
      <c r="E4" s="1909"/>
      <c r="F4" s="1909"/>
      <c r="G4" s="1909"/>
      <c r="H4" s="1909"/>
      <c r="I4" s="1909"/>
      <c r="J4" s="1909"/>
      <c r="K4" s="1909"/>
      <c r="L4" s="1909"/>
      <c r="M4" s="1909"/>
      <c r="N4" s="1632"/>
      <c r="O4" s="1908" t="s">
        <v>1248</v>
      </c>
      <c r="P4" s="1909"/>
      <c r="Q4" s="1909"/>
      <c r="R4" s="1909"/>
      <c r="S4" s="1909"/>
      <c r="T4" s="1909"/>
      <c r="U4" s="1909"/>
      <c r="V4" s="1909"/>
      <c r="W4" s="1920"/>
    </row>
    <row r="5" spans="1:23" s="409" customFormat="1" ht="15.75" customHeight="1" thickBot="1">
      <c r="A5" s="1903"/>
      <c r="B5" s="1906"/>
      <c r="C5" s="1910"/>
      <c r="D5" s="1911"/>
      <c r="E5" s="1911"/>
      <c r="F5" s="1911"/>
      <c r="G5" s="1911"/>
      <c r="H5" s="1911"/>
      <c r="I5" s="1911"/>
      <c r="J5" s="1911"/>
      <c r="K5" s="1911"/>
      <c r="L5" s="1911"/>
      <c r="M5" s="1911"/>
      <c r="N5" s="1633"/>
      <c r="O5" s="1910"/>
      <c r="P5" s="1911"/>
      <c r="Q5" s="1911"/>
      <c r="R5" s="1911"/>
      <c r="S5" s="1911"/>
      <c r="T5" s="1911"/>
      <c r="U5" s="1911"/>
      <c r="V5" s="1911"/>
      <c r="W5" s="1921"/>
    </row>
    <row r="6" spans="1:23" s="409" customFormat="1" ht="65.25" customHeight="1" thickBot="1">
      <c r="A6" s="1903"/>
      <c r="B6" s="1906"/>
      <c r="C6" s="1912" t="s">
        <v>1014</v>
      </c>
      <c r="D6" s="1913"/>
      <c r="E6" s="1914"/>
      <c r="F6" s="1915" t="s">
        <v>1249</v>
      </c>
      <c r="G6" s="1916"/>
      <c r="H6" s="1917"/>
      <c r="I6" s="1918" t="s">
        <v>1250</v>
      </c>
      <c r="J6" s="1916"/>
      <c r="K6" s="1917"/>
      <c r="L6" s="1918" t="s">
        <v>1251</v>
      </c>
      <c r="M6" s="1916"/>
      <c r="N6" s="1919"/>
      <c r="O6" s="1912" t="s">
        <v>1017</v>
      </c>
      <c r="P6" s="1913"/>
      <c r="Q6" s="1914"/>
      <c r="R6" s="1916" t="s">
        <v>1249</v>
      </c>
      <c r="S6" s="1916"/>
      <c r="T6" s="1917"/>
      <c r="U6" s="1918" t="s">
        <v>1250</v>
      </c>
      <c r="V6" s="1916"/>
      <c r="W6" s="1919"/>
    </row>
    <row r="7" spans="1:23" ht="14.25" customHeight="1">
      <c r="A7" s="1903"/>
      <c r="B7" s="1906"/>
      <c r="C7" s="1634" t="s">
        <v>519</v>
      </c>
      <c r="D7" s="1635" t="s">
        <v>9</v>
      </c>
      <c r="E7" s="1636" t="s">
        <v>970</v>
      </c>
      <c r="F7" s="1637" t="s">
        <v>519</v>
      </c>
      <c r="G7" s="1635" t="s">
        <v>9</v>
      </c>
      <c r="H7" s="1637" t="s">
        <v>970</v>
      </c>
      <c r="I7" s="1635" t="s">
        <v>519</v>
      </c>
      <c r="J7" s="1635" t="s">
        <v>9</v>
      </c>
      <c r="K7" s="1637" t="s">
        <v>970</v>
      </c>
      <c r="L7" s="1635" t="s">
        <v>519</v>
      </c>
      <c r="M7" s="1635" t="s">
        <v>9</v>
      </c>
      <c r="N7" s="1638" t="s">
        <v>970</v>
      </c>
      <c r="O7" s="1634" t="s">
        <v>519</v>
      </c>
      <c r="P7" s="1635" t="s">
        <v>9</v>
      </c>
      <c r="Q7" s="1636" t="s">
        <v>970</v>
      </c>
      <c r="R7" s="1637" t="s">
        <v>519</v>
      </c>
      <c r="S7" s="1635" t="s">
        <v>9</v>
      </c>
      <c r="T7" s="1637" t="s">
        <v>970</v>
      </c>
      <c r="U7" s="1635" t="s">
        <v>519</v>
      </c>
      <c r="V7" s="1635" t="s">
        <v>9</v>
      </c>
      <c r="W7" s="1638" t="s">
        <v>970</v>
      </c>
    </row>
    <row r="8" spans="1:23" ht="18" customHeight="1" thickBot="1">
      <c r="A8" s="1904"/>
      <c r="B8" s="1907"/>
      <c r="C8" s="1639" t="s">
        <v>879</v>
      </c>
      <c r="D8" s="1640" t="s">
        <v>447</v>
      </c>
      <c r="E8" s="1641" t="s">
        <v>460</v>
      </c>
      <c r="F8" s="1642" t="s">
        <v>879</v>
      </c>
      <c r="G8" s="1640" t="s">
        <v>447</v>
      </c>
      <c r="H8" s="1641" t="s">
        <v>460</v>
      </c>
      <c r="I8" s="1640" t="s">
        <v>879</v>
      </c>
      <c r="J8" s="1640" t="s">
        <v>447</v>
      </c>
      <c r="K8" s="1641" t="s">
        <v>460</v>
      </c>
      <c r="L8" s="1640" t="s">
        <v>879</v>
      </c>
      <c r="M8" s="1640" t="s">
        <v>447</v>
      </c>
      <c r="N8" s="1643" t="s">
        <v>460</v>
      </c>
      <c r="O8" s="1639" t="s">
        <v>879</v>
      </c>
      <c r="P8" s="1640" t="s">
        <v>447</v>
      </c>
      <c r="Q8" s="1641" t="s">
        <v>460</v>
      </c>
      <c r="R8" s="1642" t="s">
        <v>879</v>
      </c>
      <c r="S8" s="1640" t="s">
        <v>447</v>
      </c>
      <c r="T8" s="1641" t="s">
        <v>460</v>
      </c>
      <c r="U8" s="1640" t="s">
        <v>879</v>
      </c>
      <c r="V8" s="1640" t="s">
        <v>447</v>
      </c>
      <c r="W8" s="1643" t="s">
        <v>460</v>
      </c>
    </row>
    <row r="9" spans="1:23" ht="21.75" customHeight="1">
      <c r="A9" s="392" t="s">
        <v>195</v>
      </c>
      <c r="B9" s="1644" t="s">
        <v>196</v>
      </c>
      <c r="C9" s="1645">
        <f t="shared" ref="C9:E40" si="0">+F9+I9+L9</f>
        <v>52721</v>
      </c>
      <c r="D9" s="411">
        <f>+G9+J9+M9</f>
        <v>40505</v>
      </c>
      <c r="E9" s="1646">
        <f t="shared" si="0"/>
        <v>12216</v>
      </c>
      <c r="F9" s="411">
        <f>+G9+H9</f>
        <v>50022</v>
      </c>
      <c r="G9" s="1647">
        <v>38515</v>
      </c>
      <c r="H9" s="1647">
        <v>11507</v>
      </c>
      <c r="I9" s="1648">
        <f>+J9+K9</f>
        <v>2415</v>
      </c>
      <c r="J9" s="1647">
        <v>1712</v>
      </c>
      <c r="K9" s="1649">
        <v>703</v>
      </c>
      <c r="L9" s="1650">
        <f>+M9+N9</f>
        <v>284</v>
      </c>
      <c r="M9" s="1647">
        <v>278</v>
      </c>
      <c r="N9" s="1651">
        <v>6</v>
      </c>
      <c r="O9" s="1652">
        <f>+P9+Q9</f>
        <v>16448</v>
      </c>
      <c r="P9" s="1653">
        <f>+S9+V9</f>
        <v>13524</v>
      </c>
      <c r="Q9" s="1654">
        <f>+T9+W9</f>
        <v>2924</v>
      </c>
      <c r="R9" s="1652">
        <f>+S9+T9</f>
        <v>16437</v>
      </c>
      <c r="S9" s="1653">
        <v>13514</v>
      </c>
      <c r="T9" s="1654">
        <v>2923</v>
      </c>
      <c r="U9" s="1652">
        <f>+V9+W9</f>
        <v>11</v>
      </c>
      <c r="V9" s="1653">
        <v>10</v>
      </c>
      <c r="W9" s="1654">
        <v>1</v>
      </c>
    </row>
    <row r="10" spans="1:23" ht="21.75" customHeight="1">
      <c r="A10" s="400" t="s">
        <v>197</v>
      </c>
      <c r="B10" s="1655" t="s">
        <v>198</v>
      </c>
      <c r="C10" s="402">
        <f t="shared" si="0"/>
        <v>11537</v>
      </c>
      <c r="D10" s="1656">
        <f t="shared" si="0"/>
        <v>9819</v>
      </c>
      <c r="E10" s="1657">
        <f t="shared" si="0"/>
        <v>1718</v>
      </c>
      <c r="F10" s="403">
        <f t="shared" ref="F10:F73" si="1">+G10+H10</f>
        <v>11093</v>
      </c>
      <c r="G10" s="1658">
        <v>9406</v>
      </c>
      <c r="H10" s="1658">
        <v>1687</v>
      </c>
      <c r="I10" s="1659">
        <f t="shared" ref="I10:I73" si="2">+J10+K10</f>
        <v>128</v>
      </c>
      <c r="J10" s="1658">
        <v>98</v>
      </c>
      <c r="K10" s="1660">
        <v>30</v>
      </c>
      <c r="L10" s="1661">
        <f t="shared" ref="L10:L73" si="3">+M10+N10</f>
        <v>316</v>
      </c>
      <c r="M10" s="1658">
        <v>315</v>
      </c>
      <c r="N10" s="1662">
        <v>1</v>
      </c>
      <c r="O10" s="1663">
        <f>+P10+Q10</f>
        <v>4959</v>
      </c>
      <c r="P10" s="1664">
        <f t="shared" ref="P10:Q73" si="4">+S10+V10</f>
        <v>4357</v>
      </c>
      <c r="Q10" s="1665">
        <f t="shared" si="4"/>
        <v>602</v>
      </c>
      <c r="R10" s="1663">
        <f>+S10+T10</f>
        <v>4959</v>
      </c>
      <c r="S10" s="1664">
        <v>4357</v>
      </c>
      <c r="T10" s="1665">
        <v>602</v>
      </c>
      <c r="U10" s="1663">
        <f>+V10+W10</f>
        <v>0</v>
      </c>
      <c r="V10" s="1664">
        <v>0</v>
      </c>
      <c r="W10" s="1665">
        <v>0</v>
      </c>
    </row>
    <row r="11" spans="1:23" ht="21.75" customHeight="1">
      <c r="A11" s="400" t="s">
        <v>199</v>
      </c>
      <c r="B11" s="1655" t="s">
        <v>200</v>
      </c>
      <c r="C11" s="402">
        <f t="shared" si="0"/>
        <v>17806</v>
      </c>
      <c r="D11" s="1656">
        <f t="shared" si="0"/>
        <v>14753</v>
      </c>
      <c r="E11" s="1657">
        <f t="shared" si="0"/>
        <v>3053</v>
      </c>
      <c r="F11" s="403">
        <f t="shared" si="1"/>
        <v>17038</v>
      </c>
      <c r="G11" s="1658">
        <v>14192</v>
      </c>
      <c r="H11" s="1658">
        <v>2846</v>
      </c>
      <c r="I11" s="1659">
        <f t="shared" si="2"/>
        <v>527</v>
      </c>
      <c r="J11" s="1658">
        <v>325</v>
      </c>
      <c r="K11" s="1660">
        <v>202</v>
      </c>
      <c r="L11" s="1661">
        <f t="shared" si="3"/>
        <v>241</v>
      </c>
      <c r="M11" s="1658">
        <v>236</v>
      </c>
      <c r="N11" s="1662">
        <v>5</v>
      </c>
      <c r="O11" s="1663">
        <f t="shared" ref="O11:O74" si="5">+P11+Q11</f>
        <v>17641</v>
      </c>
      <c r="P11" s="1664">
        <f t="shared" si="4"/>
        <v>14912</v>
      </c>
      <c r="Q11" s="1665">
        <f t="shared" si="4"/>
        <v>2729</v>
      </c>
      <c r="R11" s="1663">
        <f t="shared" ref="R11:R74" si="6">+S11+T11</f>
        <v>17640</v>
      </c>
      <c r="S11" s="1664">
        <v>14912</v>
      </c>
      <c r="T11" s="1665">
        <v>2728</v>
      </c>
      <c r="U11" s="1663">
        <f t="shared" ref="U11:U74" si="7">+V11+W11</f>
        <v>1</v>
      </c>
      <c r="V11" s="1664">
        <v>0</v>
      </c>
      <c r="W11" s="1665">
        <v>1</v>
      </c>
    </row>
    <row r="12" spans="1:23" ht="21.75" customHeight="1">
      <c r="A12" s="400" t="s">
        <v>201</v>
      </c>
      <c r="B12" s="1655" t="s">
        <v>202</v>
      </c>
      <c r="C12" s="402">
        <f t="shared" si="0"/>
        <v>6150</v>
      </c>
      <c r="D12" s="1656">
        <f t="shared" si="0"/>
        <v>5604</v>
      </c>
      <c r="E12" s="1657">
        <f t="shared" si="0"/>
        <v>546</v>
      </c>
      <c r="F12" s="403">
        <f t="shared" si="1"/>
        <v>5751</v>
      </c>
      <c r="G12" s="1658">
        <v>5215</v>
      </c>
      <c r="H12" s="1658">
        <v>536</v>
      </c>
      <c r="I12" s="1659">
        <f t="shared" si="2"/>
        <v>65</v>
      </c>
      <c r="J12" s="1658">
        <v>55</v>
      </c>
      <c r="K12" s="1660">
        <v>10</v>
      </c>
      <c r="L12" s="1661">
        <f t="shared" si="3"/>
        <v>334</v>
      </c>
      <c r="M12" s="1658">
        <v>334</v>
      </c>
      <c r="N12" s="1662">
        <v>0</v>
      </c>
      <c r="O12" s="1663">
        <f t="shared" si="5"/>
        <v>3378</v>
      </c>
      <c r="P12" s="1664">
        <f t="shared" si="4"/>
        <v>3149</v>
      </c>
      <c r="Q12" s="1665">
        <f t="shared" si="4"/>
        <v>229</v>
      </c>
      <c r="R12" s="1663">
        <f t="shared" si="6"/>
        <v>3378</v>
      </c>
      <c r="S12" s="1664">
        <v>3149</v>
      </c>
      <c r="T12" s="1665">
        <v>229</v>
      </c>
      <c r="U12" s="1663">
        <f t="shared" si="7"/>
        <v>0</v>
      </c>
      <c r="V12" s="1664">
        <v>0</v>
      </c>
      <c r="W12" s="1665">
        <v>0</v>
      </c>
    </row>
    <row r="13" spans="1:23" ht="21.75" customHeight="1">
      <c r="A13" s="400" t="s">
        <v>185</v>
      </c>
      <c r="B13" s="1655" t="s">
        <v>186</v>
      </c>
      <c r="C13" s="402">
        <f t="shared" si="0"/>
        <v>8073</v>
      </c>
      <c r="D13" s="1656">
        <f t="shared" si="0"/>
        <v>6070</v>
      </c>
      <c r="E13" s="1657">
        <f t="shared" si="0"/>
        <v>2003</v>
      </c>
      <c r="F13" s="403">
        <f t="shared" si="1"/>
        <v>7559</v>
      </c>
      <c r="G13" s="1658">
        <v>5756</v>
      </c>
      <c r="H13" s="1658">
        <v>1803</v>
      </c>
      <c r="I13" s="1659">
        <f t="shared" si="2"/>
        <v>409</v>
      </c>
      <c r="J13" s="1658">
        <v>212</v>
      </c>
      <c r="K13" s="1660">
        <v>197</v>
      </c>
      <c r="L13" s="1661">
        <f t="shared" si="3"/>
        <v>105</v>
      </c>
      <c r="M13" s="1658">
        <v>102</v>
      </c>
      <c r="N13" s="1662">
        <v>3</v>
      </c>
      <c r="O13" s="1663">
        <f t="shared" si="5"/>
        <v>5254</v>
      </c>
      <c r="P13" s="1664">
        <f t="shared" si="4"/>
        <v>4017</v>
      </c>
      <c r="Q13" s="1665">
        <f t="shared" si="4"/>
        <v>1237</v>
      </c>
      <c r="R13" s="1663">
        <f t="shared" si="6"/>
        <v>5249</v>
      </c>
      <c r="S13" s="1664">
        <v>4016</v>
      </c>
      <c r="T13" s="1665">
        <v>1233</v>
      </c>
      <c r="U13" s="1663">
        <f t="shared" si="7"/>
        <v>5</v>
      </c>
      <c r="V13" s="1664">
        <v>1</v>
      </c>
      <c r="W13" s="1665">
        <v>4</v>
      </c>
    </row>
    <row r="14" spans="1:23" ht="21.75" customHeight="1">
      <c r="A14" s="400" t="s">
        <v>187</v>
      </c>
      <c r="B14" s="1655" t="s">
        <v>188</v>
      </c>
      <c r="C14" s="402">
        <f t="shared" si="0"/>
        <v>138534</v>
      </c>
      <c r="D14" s="1656">
        <f t="shared" si="0"/>
        <v>102436</v>
      </c>
      <c r="E14" s="1657">
        <f t="shared" si="0"/>
        <v>36098</v>
      </c>
      <c r="F14" s="403">
        <f t="shared" si="1"/>
        <v>127174</v>
      </c>
      <c r="G14" s="1658">
        <v>95523</v>
      </c>
      <c r="H14" s="1658">
        <v>31651</v>
      </c>
      <c r="I14" s="1666">
        <f t="shared" si="2"/>
        <v>11060</v>
      </c>
      <c r="J14" s="1658">
        <v>6646</v>
      </c>
      <c r="K14" s="1660">
        <v>4414</v>
      </c>
      <c r="L14" s="1661">
        <f t="shared" si="3"/>
        <v>300</v>
      </c>
      <c r="M14" s="1658">
        <v>267</v>
      </c>
      <c r="N14" s="1662">
        <v>33</v>
      </c>
      <c r="O14" s="1663">
        <f t="shared" si="5"/>
        <v>15633</v>
      </c>
      <c r="P14" s="1664">
        <f t="shared" si="4"/>
        <v>13057</v>
      </c>
      <c r="Q14" s="1665">
        <f t="shared" si="4"/>
        <v>2576</v>
      </c>
      <c r="R14" s="1663">
        <f t="shared" si="6"/>
        <v>15630</v>
      </c>
      <c r="S14" s="1664">
        <v>13056</v>
      </c>
      <c r="T14" s="1665">
        <v>2574</v>
      </c>
      <c r="U14" s="1663">
        <f t="shared" si="7"/>
        <v>3</v>
      </c>
      <c r="V14" s="1664">
        <v>1</v>
      </c>
      <c r="W14" s="1665">
        <v>2</v>
      </c>
    </row>
    <row r="15" spans="1:23" ht="21.75" customHeight="1">
      <c r="A15" s="400" t="s">
        <v>189</v>
      </c>
      <c r="B15" s="1655" t="s">
        <v>190</v>
      </c>
      <c r="C15" s="402">
        <f t="shared" si="0"/>
        <v>92537</v>
      </c>
      <c r="D15" s="1656">
        <f t="shared" si="0"/>
        <v>70078</v>
      </c>
      <c r="E15" s="1657">
        <f t="shared" si="0"/>
        <v>22459</v>
      </c>
      <c r="F15" s="403">
        <f t="shared" si="1"/>
        <v>88205</v>
      </c>
      <c r="G15" s="1658">
        <v>67137</v>
      </c>
      <c r="H15" s="1658">
        <v>21068</v>
      </c>
      <c r="I15" s="1666">
        <f t="shared" si="2"/>
        <v>4095</v>
      </c>
      <c r="J15" s="1658">
        <v>2708</v>
      </c>
      <c r="K15" s="1660">
        <v>1387</v>
      </c>
      <c r="L15" s="1661">
        <f t="shared" si="3"/>
        <v>237</v>
      </c>
      <c r="M15" s="1658">
        <v>233</v>
      </c>
      <c r="N15" s="1662">
        <v>4</v>
      </c>
      <c r="O15" s="1663">
        <f t="shared" si="5"/>
        <v>37898</v>
      </c>
      <c r="P15" s="1664">
        <f t="shared" si="4"/>
        <v>31621</v>
      </c>
      <c r="Q15" s="1665">
        <f t="shared" si="4"/>
        <v>6277</v>
      </c>
      <c r="R15" s="1663">
        <f t="shared" si="6"/>
        <v>37895</v>
      </c>
      <c r="S15" s="1664">
        <v>31618</v>
      </c>
      <c r="T15" s="1665">
        <v>6277</v>
      </c>
      <c r="U15" s="1663">
        <f t="shared" si="7"/>
        <v>3</v>
      </c>
      <c r="V15" s="1664">
        <v>3</v>
      </c>
      <c r="W15" s="1665">
        <v>0</v>
      </c>
    </row>
    <row r="16" spans="1:23" ht="21.75" customHeight="1">
      <c r="A16" s="400" t="s">
        <v>643</v>
      </c>
      <c r="B16" s="1655" t="s">
        <v>644</v>
      </c>
      <c r="C16" s="402">
        <f t="shared" si="0"/>
        <v>4466</v>
      </c>
      <c r="D16" s="1656">
        <f t="shared" si="0"/>
        <v>3480</v>
      </c>
      <c r="E16" s="1657">
        <f t="shared" si="0"/>
        <v>986</v>
      </c>
      <c r="F16" s="403">
        <f t="shared" si="1"/>
        <v>4289</v>
      </c>
      <c r="G16" s="1658">
        <v>3352</v>
      </c>
      <c r="H16" s="1658">
        <v>937</v>
      </c>
      <c r="I16" s="1659">
        <f t="shared" si="2"/>
        <v>112</v>
      </c>
      <c r="J16" s="1658">
        <v>64</v>
      </c>
      <c r="K16" s="1660">
        <v>48</v>
      </c>
      <c r="L16" s="1661">
        <f t="shared" si="3"/>
        <v>65</v>
      </c>
      <c r="M16" s="1658">
        <v>64</v>
      </c>
      <c r="N16" s="1662">
        <v>1</v>
      </c>
      <c r="O16" s="1663">
        <f t="shared" si="5"/>
        <v>1288</v>
      </c>
      <c r="P16" s="1664">
        <f t="shared" si="4"/>
        <v>1071</v>
      </c>
      <c r="Q16" s="1665">
        <f t="shared" si="4"/>
        <v>217</v>
      </c>
      <c r="R16" s="1663">
        <f t="shared" si="6"/>
        <v>1286</v>
      </c>
      <c r="S16" s="1664">
        <v>1071</v>
      </c>
      <c r="T16" s="1665">
        <v>215</v>
      </c>
      <c r="U16" s="1663">
        <f t="shared" si="7"/>
        <v>2</v>
      </c>
      <c r="V16" s="1664">
        <v>0</v>
      </c>
      <c r="W16" s="1665">
        <v>2</v>
      </c>
    </row>
    <row r="17" spans="1:23" ht="21.75" customHeight="1">
      <c r="A17" s="400" t="s">
        <v>645</v>
      </c>
      <c r="B17" s="1655" t="s">
        <v>476</v>
      </c>
      <c r="C17" s="402">
        <f t="shared" si="0"/>
        <v>36377</v>
      </c>
      <c r="D17" s="1656">
        <f t="shared" si="0"/>
        <v>28061</v>
      </c>
      <c r="E17" s="1657">
        <f t="shared" si="0"/>
        <v>8316</v>
      </c>
      <c r="F17" s="403">
        <f t="shared" si="1"/>
        <v>35220</v>
      </c>
      <c r="G17" s="1658">
        <v>27466</v>
      </c>
      <c r="H17" s="1658">
        <v>7754</v>
      </c>
      <c r="I17" s="1666">
        <f t="shared" si="2"/>
        <v>980</v>
      </c>
      <c r="J17" s="1658">
        <v>419</v>
      </c>
      <c r="K17" s="1660">
        <v>561</v>
      </c>
      <c r="L17" s="1661">
        <f t="shared" si="3"/>
        <v>177</v>
      </c>
      <c r="M17" s="1658">
        <v>176</v>
      </c>
      <c r="N17" s="1662">
        <v>1</v>
      </c>
      <c r="O17" s="1663">
        <f t="shared" si="5"/>
        <v>21254</v>
      </c>
      <c r="P17" s="1664">
        <f t="shared" si="4"/>
        <v>17475</v>
      </c>
      <c r="Q17" s="1665">
        <f t="shared" si="4"/>
        <v>3779</v>
      </c>
      <c r="R17" s="1663">
        <f t="shared" si="6"/>
        <v>21242</v>
      </c>
      <c r="S17" s="1664">
        <v>17471</v>
      </c>
      <c r="T17" s="1665">
        <v>3771</v>
      </c>
      <c r="U17" s="1663">
        <f t="shared" si="7"/>
        <v>12</v>
      </c>
      <c r="V17" s="1664">
        <v>4</v>
      </c>
      <c r="W17" s="1665">
        <v>8</v>
      </c>
    </row>
    <row r="18" spans="1:23" ht="21.75" customHeight="1">
      <c r="A18" s="400">
        <f t="shared" ref="A18:A65" si="8">+A17+1</f>
        <v>10</v>
      </c>
      <c r="B18" s="1655" t="s">
        <v>405</v>
      </c>
      <c r="C18" s="402">
        <f t="shared" si="0"/>
        <v>36415</v>
      </c>
      <c r="D18" s="1656">
        <f t="shared" si="0"/>
        <v>26051</v>
      </c>
      <c r="E18" s="1657">
        <f t="shared" si="0"/>
        <v>10364</v>
      </c>
      <c r="F18" s="403">
        <f t="shared" si="1"/>
        <v>34588</v>
      </c>
      <c r="G18" s="1658">
        <v>25037</v>
      </c>
      <c r="H18" s="1658">
        <v>9551</v>
      </c>
      <c r="I18" s="1666">
        <f t="shared" si="2"/>
        <v>1523</v>
      </c>
      <c r="J18" s="1658">
        <v>729</v>
      </c>
      <c r="K18" s="1660">
        <v>794</v>
      </c>
      <c r="L18" s="1661">
        <f t="shared" si="3"/>
        <v>304</v>
      </c>
      <c r="M18" s="1658">
        <v>285</v>
      </c>
      <c r="N18" s="1662">
        <v>19</v>
      </c>
      <c r="O18" s="1663">
        <f t="shared" si="5"/>
        <v>23623</v>
      </c>
      <c r="P18" s="1664">
        <f t="shared" si="4"/>
        <v>18696</v>
      </c>
      <c r="Q18" s="1665">
        <f t="shared" si="4"/>
        <v>4927</v>
      </c>
      <c r="R18" s="1663">
        <f t="shared" si="6"/>
        <v>23604</v>
      </c>
      <c r="S18" s="1664">
        <v>18688</v>
      </c>
      <c r="T18" s="1665">
        <v>4916</v>
      </c>
      <c r="U18" s="1663">
        <f t="shared" si="7"/>
        <v>19</v>
      </c>
      <c r="V18" s="1664">
        <v>8</v>
      </c>
      <c r="W18" s="1665">
        <v>11</v>
      </c>
    </row>
    <row r="19" spans="1:23" ht="21.75" customHeight="1">
      <c r="A19" s="405">
        <f t="shared" si="8"/>
        <v>11</v>
      </c>
      <c r="B19" s="1655" t="s">
        <v>406</v>
      </c>
      <c r="C19" s="402">
        <f t="shared" si="0"/>
        <v>4205</v>
      </c>
      <c r="D19" s="1656">
        <f t="shared" si="0"/>
        <v>3039</v>
      </c>
      <c r="E19" s="1657">
        <f t="shared" si="0"/>
        <v>1166</v>
      </c>
      <c r="F19" s="403">
        <f t="shared" si="1"/>
        <v>4039</v>
      </c>
      <c r="G19" s="1658">
        <v>2933</v>
      </c>
      <c r="H19" s="1658">
        <v>1106</v>
      </c>
      <c r="I19" s="1659">
        <f t="shared" si="2"/>
        <v>102</v>
      </c>
      <c r="J19" s="1658">
        <v>45</v>
      </c>
      <c r="K19" s="1660">
        <v>57</v>
      </c>
      <c r="L19" s="1661">
        <f t="shared" si="3"/>
        <v>64</v>
      </c>
      <c r="M19" s="1658">
        <v>61</v>
      </c>
      <c r="N19" s="1662">
        <v>3</v>
      </c>
      <c r="O19" s="1663">
        <f t="shared" si="5"/>
        <v>2100</v>
      </c>
      <c r="P19" s="1664">
        <f t="shared" si="4"/>
        <v>1725</v>
      </c>
      <c r="Q19" s="1665">
        <f t="shared" si="4"/>
        <v>375</v>
      </c>
      <c r="R19" s="1663">
        <f t="shared" si="6"/>
        <v>2096</v>
      </c>
      <c r="S19" s="1664">
        <v>1725</v>
      </c>
      <c r="T19" s="1665">
        <v>371</v>
      </c>
      <c r="U19" s="1663">
        <f t="shared" si="7"/>
        <v>4</v>
      </c>
      <c r="V19" s="1664">
        <v>0</v>
      </c>
      <c r="W19" s="1665">
        <v>4</v>
      </c>
    </row>
    <row r="20" spans="1:23" ht="21.75" customHeight="1">
      <c r="A20" s="405">
        <f t="shared" si="8"/>
        <v>12</v>
      </c>
      <c r="B20" s="1655" t="s">
        <v>407</v>
      </c>
      <c r="C20" s="402">
        <f t="shared" si="0"/>
        <v>3432</v>
      </c>
      <c r="D20" s="1656">
        <f t="shared" si="0"/>
        <v>3062</v>
      </c>
      <c r="E20" s="1657">
        <f t="shared" si="0"/>
        <v>370</v>
      </c>
      <c r="F20" s="403">
        <f t="shared" si="1"/>
        <v>3180</v>
      </c>
      <c r="G20" s="1658">
        <v>2824</v>
      </c>
      <c r="H20" s="1658">
        <v>356</v>
      </c>
      <c r="I20" s="1667">
        <f t="shared" si="2"/>
        <v>47</v>
      </c>
      <c r="J20" s="1658">
        <v>37</v>
      </c>
      <c r="K20" s="1660">
        <v>10</v>
      </c>
      <c r="L20" s="1661">
        <f t="shared" si="3"/>
        <v>205</v>
      </c>
      <c r="M20" s="1658">
        <v>201</v>
      </c>
      <c r="N20" s="1662">
        <v>4</v>
      </c>
      <c r="O20" s="1663">
        <f t="shared" si="5"/>
        <v>819</v>
      </c>
      <c r="P20" s="1664">
        <f t="shared" si="4"/>
        <v>778</v>
      </c>
      <c r="Q20" s="1665">
        <f t="shared" si="4"/>
        <v>41</v>
      </c>
      <c r="R20" s="1663">
        <f t="shared" si="6"/>
        <v>819</v>
      </c>
      <c r="S20" s="1664">
        <v>778</v>
      </c>
      <c r="T20" s="1665">
        <v>41</v>
      </c>
      <c r="U20" s="1663">
        <f t="shared" si="7"/>
        <v>0</v>
      </c>
      <c r="V20" s="1664">
        <v>0</v>
      </c>
      <c r="W20" s="1665">
        <v>0</v>
      </c>
    </row>
    <row r="21" spans="1:23" ht="21.75" customHeight="1">
      <c r="A21" s="405">
        <f t="shared" si="8"/>
        <v>13</v>
      </c>
      <c r="B21" s="1655" t="s">
        <v>408</v>
      </c>
      <c r="C21" s="402">
        <f t="shared" si="0"/>
        <v>5092</v>
      </c>
      <c r="D21" s="1656">
        <f t="shared" si="0"/>
        <v>4699</v>
      </c>
      <c r="E21" s="1657">
        <f t="shared" si="0"/>
        <v>393</v>
      </c>
      <c r="F21" s="403">
        <f t="shared" si="1"/>
        <v>4759</v>
      </c>
      <c r="G21" s="1658">
        <v>4369</v>
      </c>
      <c r="H21" s="1658">
        <v>390</v>
      </c>
      <c r="I21" s="1659">
        <f t="shared" si="2"/>
        <v>89</v>
      </c>
      <c r="J21" s="1658">
        <v>86</v>
      </c>
      <c r="K21" s="1660">
        <v>3</v>
      </c>
      <c r="L21" s="1661">
        <f t="shared" si="3"/>
        <v>244</v>
      </c>
      <c r="M21" s="1658">
        <v>244</v>
      </c>
      <c r="N21" s="1662">
        <v>0</v>
      </c>
      <c r="O21" s="1663">
        <f t="shared" si="5"/>
        <v>2792</v>
      </c>
      <c r="P21" s="1664">
        <f t="shared" si="4"/>
        <v>2572</v>
      </c>
      <c r="Q21" s="1665">
        <f t="shared" si="4"/>
        <v>220</v>
      </c>
      <c r="R21" s="1663">
        <f t="shared" si="6"/>
        <v>2792</v>
      </c>
      <c r="S21" s="1664">
        <v>2572</v>
      </c>
      <c r="T21" s="1665">
        <v>220</v>
      </c>
      <c r="U21" s="1663">
        <f t="shared" si="7"/>
        <v>0</v>
      </c>
      <c r="V21" s="1664">
        <v>0</v>
      </c>
      <c r="W21" s="1665">
        <v>0</v>
      </c>
    </row>
    <row r="22" spans="1:23" ht="21.75" customHeight="1">
      <c r="A22" s="405">
        <f t="shared" si="8"/>
        <v>14</v>
      </c>
      <c r="B22" s="1655" t="s">
        <v>409</v>
      </c>
      <c r="C22" s="402">
        <f t="shared" si="0"/>
        <v>7199</v>
      </c>
      <c r="D22" s="1656">
        <f t="shared" si="0"/>
        <v>5289</v>
      </c>
      <c r="E22" s="1657">
        <f t="shared" si="0"/>
        <v>1910</v>
      </c>
      <c r="F22" s="403">
        <f t="shared" si="1"/>
        <v>6589</v>
      </c>
      <c r="G22" s="1658">
        <v>4913</v>
      </c>
      <c r="H22" s="1658">
        <v>1676</v>
      </c>
      <c r="I22" s="1659">
        <f t="shared" si="2"/>
        <v>519</v>
      </c>
      <c r="J22" s="1658">
        <v>285</v>
      </c>
      <c r="K22" s="1660">
        <v>234</v>
      </c>
      <c r="L22" s="1661">
        <f t="shared" si="3"/>
        <v>91</v>
      </c>
      <c r="M22" s="1658">
        <v>91</v>
      </c>
      <c r="N22" s="1662">
        <v>0</v>
      </c>
      <c r="O22" s="1663">
        <f t="shared" si="5"/>
        <v>3557</v>
      </c>
      <c r="P22" s="1668">
        <f t="shared" si="4"/>
        <v>2596</v>
      </c>
      <c r="Q22" s="1665">
        <f t="shared" si="4"/>
        <v>961</v>
      </c>
      <c r="R22" s="1663">
        <f t="shared" si="6"/>
        <v>3557</v>
      </c>
      <c r="S22" s="1668">
        <v>2596</v>
      </c>
      <c r="T22" s="1665">
        <v>961</v>
      </c>
      <c r="U22" s="1663">
        <f t="shared" si="7"/>
        <v>0</v>
      </c>
      <c r="V22" s="1668">
        <v>0</v>
      </c>
      <c r="W22" s="1665">
        <v>0</v>
      </c>
    </row>
    <row r="23" spans="1:23" ht="21.75" customHeight="1">
      <c r="A23" s="405">
        <f t="shared" si="8"/>
        <v>15</v>
      </c>
      <c r="B23" s="1655" t="s">
        <v>410</v>
      </c>
      <c r="C23" s="402">
        <f t="shared" si="0"/>
        <v>8898</v>
      </c>
      <c r="D23" s="1656">
        <f t="shared" si="0"/>
        <v>6594</v>
      </c>
      <c r="E23" s="1657">
        <f t="shared" si="0"/>
        <v>2304</v>
      </c>
      <c r="F23" s="403">
        <f t="shared" si="1"/>
        <v>8288</v>
      </c>
      <c r="G23" s="1658">
        <v>6238</v>
      </c>
      <c r="H23" s="1658">
        <v>2050</v>
      </c>
      <c r="I23" s="1659">
        <f t="shared" si="2"/>
        <v>542</v>
      </c>
      <c r="J23" s="1658">
        <v>288</v>
      </c>
      <c r="K23" s="1660">
        <v>254</v>
      </c>
      <c r="L23" s="1661">
        <f t="shared" si="3"/>
        <v>68</v>
      </c>
      <c r="M23" s="1658">
        <v>68</v>
      </c>
      <c r="N23" s="1662">
        <v>0</v>
      </c>
      <c r="O23" s="1663">
        <f t="shared" si="5"/>
        <v>7186</v>
      </c>
      <c r="P23" s="1668">
        <f t="shared" si="4"/>
        <v>4826</v>
      </c>
      <c r="Q23" s="1665">
        <f t="shared" si="4"/>
        <v>2360</v>
      </c>
      <c r="R23" s="1663">
        <f t="shared" si="6"/>
        <v>7180</v>
      </c>
      <c r="S23" s="1668">
        <v>4823</v>
      </c>
      <c r="T23" s="1665">
        <v>2357</v>
      </c>
      <c r="U23" s="1663">
        <f t="shared" si="7"/>
        <v>6</v>
      </c>
      <c r="V23" s="1668">
        <v>3</v>
      </c>
      <c r="W23" s="1665">
        <v>3</v>
      </c>
    </row>
    <row r="24" spans="1:23" ht="21.75" customHeight="1">
      <c r="A24" s="405">
        <f t="shared" si="8"/>
        <v>16</v>
      </c>
      <c r="B24" s="1655" t="s">
        <v>411</v>
      </c>
      <c r="C24" s="402">
        <f t="shared" si="0"/>
        <v>86031</v>
      </c>
      <c r="D24" s="1656">
        <f t="shared" si="0"/>
        <v>62185</v>
      </c>
      <c r="E24" s="1657">
        <f t="shared" si="0"/>
        <v>23846</v>
      </c>
      <c r="F24" s="403">
        <f t="shared" si="1"/>
        <v>79840</v>
      </c>
      <c r="G24" s="1658">
        <v>59554</v>
      </c>
      <c r="H24" s="1658">
        <v>20286</v>
      </c>
      <c r="I24" s="1659">
        <f t="shared" si="2"/>
        <v>5956</v>
      </c>
      <c r="J24" s="1658">
        <v>2406</v>
      </c>
      <c r="K24" s="1660">
        <v>3550</v>
      </c>
      <c r="L24" s="1661">
        <f t="shared" si="3"/>
        <v>235</v>
      </c>
      <c r="M24" s="1658">
        <v>225</v>
      </c>
      <c r="N24" s="1662">
        <v>10</v>
      </c>
      <c r="O24" s="1663">
        <f t="shared" si="5"/>
        <v>18603</v>
      </c>
      <c r="P24" s="1668">
        <f t="shared" si="4"/>
        <v>15310</v>
      </c>
      <c r="Q24" s="1665">
        <f t="shared" si="4"/>
        <v>3293</v>
      </c>
      <c r="R24" s="1663">
        <f t="shared" si="6"/>
        <v>18589</v>
      </c>
      <c r="S24" s="1668">
        <v>15302</v>
      </c>
      <c r="T24" s="1665">
        <v>3287</v>
      </c>
      <c r="U24" s="1663">
        <f t="shared" si="7"/>
        <v>14</v>
      </c>
      <c r="V24" s="1668">
        <v>8</v>
      </c>
      <c r="W24" s="1665">
        <v>6</v>
      </c>
    </row>
    <row r="25" spans="1:23" ht="21.75" customHeight="1">
      <c r="A25" s="405">
        <f t="shared" si="8"/>
        <v>17</v>
      </c>
      <c r="B25" s="1655" t="s">
        <v>412</v>
      </c>
      <c r="C25" s="402">
        <f t="shared" si="0"/>
        <v>16688</v>
      </c>
      <c r="D25" s="1656">
        <f t="shared" si="0"/>
        <v>11690</v>
      </c>
      <c r="E25" s="1657">
        <f t="shared" si="0"/>
        <v>4998</v>
      </c>
      <c r="F25" s="403">
        <f t="shared" si="1"/>
        <v>15544</v>
      </c>
      <c r="G25" s="1658">
        <v>11217</v>
      </c>
      <c r="H25" s="1658">
        <v>4327</v>
      </c>
      <c r="I25" s="1666">
        <f t="shared" si="2"/>
        <v>1040</v>
      </c>
      <c r="J25" s="1658">
        <v>375</v>
      </c>
      <c r="K25" s="1660">
        <v>665</v>
      </c>
      <c r="L25" s="1661">
        <f t="shared" si="3"/>
        <v>104</v>
      </c>
      <c r="M25" s="1658">
        <v>98</v>
      </c>
      <c r="N25" s="1662">
        <v>6</v>
      </c>
      <c r="O25" s="1663">
        <f t="shared" si="5"/>
        <v>11214</v>
      </c>
      <c r="P25" s="1668">
        <f t="shared" si="4"/>
        <v>8247</v>
      </c>
      <c r="Q25" s="1665">
        <f t="shared" si="4"/>
        <v>2967</v>
      </c>
      <c r="R25" s="1663">
        <f t="shared" si="6"/>
        <v>11203</v>
      </c>
      <c r="S25" s="1668">
        <v>8247</v>
      </c>
      <c r="T25" s="1665">
        <v>2956</v>
      </c>
      <c r="U25" s="1663">
        <f t="shared" si="7"/>
        <v>11</v>
      </c>
      <c r="V25" s="1668">
        <v>0</v>
      </c>
      <c r="W25" s="1665">
        <v>11</v>
      </c>
    </row>
    <row r="26" spans="1:23" ht="21.75" customHeight="1">
      <c r="A26" s="405">
        <f t="shared" si="8"/>
        <v>18</v>
      </c>
      <c r="B26" s="1655" t="s">
        <v>413</v>
      </c>
      <c r="C26" s="402">
        <f t="shared" si="0"/>
        <v>3125</v>
      </c>
      <c r="D26" s="1656">
        <f t="shared" si="0"/>
        <v>2555</v>
      </c>
      <c r="E26" s="1657">
        <f t="shared" si="0"/>
        <v>570</v>
      </c>
      <c r="F26" s="403">
        <f t="shared" si="1"/>
        <v>2828</v>
      </c>
      <c r="G26" s="1658">
        <v>2314</v>
      </c>
      <c r="H26" s="1658">
        <v>514</v>
      </c>
      <c r="I26" s="1659">
        <f t="shared" si="2"/>
        <v>187</v>
      </c>
      <c r="J26" s="1658">
        <v>133</v>
      </c>
      <c r="K26" s="1660">
        <v>54</v>
      </c>
      <c r="L26" s="1661">
        <f t="shared" si="3"/>
        <v>110</v>
      </c>
      <c r="M26" s="1658">
        <v>108</v>
      </c>
      <c r="N26" s="1662">
        <v>2</v>
      </c>
      <c r="O26" s="1663">
        <f t="shared" si="5"/>
        <v>3771</v>
      </c>
      <c r="P26" s="1668">
        <f t="shared" si="4"/>
        <v>3208</v>
      </c>
      <c r="Q26" s="1665">
        <f t="shared" si="4"/>
        <v>563</v>
      </c>
      <c r="R26" s="1663">
        <f t="shared" si="6"/>
        <v>3771</v>
      </c>
      <c r="S26" s="1668">
        <v>3208</v>
      </c>
      <c r="T26" s="1665">
        <v>563</v>
      </c>
      <c r="U26" s="1663">
        <f t="shared" si="7"/>
        <v>0</v>
      </c>
      <c r="V26" s="1668">
        <v>0</v>
      </c>
      <c r="W26" s="1665">
        <v>0</v>
      </c>
    </row>
    <row r="27" spans="1:23" ht="21.75" customHeight="1">
      <c r="A27" s="405">
        <f t="shared" si="8"/>
        <v>19</v>
      </c>
      <c r="B27" s="1669" t="s">
        <v>414</v>
      </c>
      <c r="C27" s="402">
        <f t="shared" si="0"/>
        <v>12642</v>
      </c>
      <c r="D27" s="1656">
        <f t="shared" si="0"/>
        <v>9811</v>
      </c>
      <c r="E27" s="1657">
        <f t="shared" si="0"/>
        <v>2831</v>
      </c>
      <c r="F27" s="403">
        <f t="shared" si="1"/>
        <v>11494</v>
      </c>
      <c r="G27" s="1658">
        <v>9071</v>
      </c>
      <c r="H27" s="1658">
        <v>2423</v>
      </c>
      <c r="I27" s="1659">
        <f t="shared" si="2"/>
        <v>851</v>
      </c>
      <c r="J27" s="1658">
        <v>447</v>
      </c>
      <c r="K27" s="1660">
        <v>404</v>
      </c>
      <c r="L27" s="1661">
        <f t="shared" si="3"/>
        <v>297</v>
      </c>
      <c r="M27" s="1658">
        <v>293</v>
      </c>
      <c r="N27" s="1662">
        <v>4</v>
      </c>
      <c r="O27" s="1663">
        <f t="shared" si="5"/>
        <v>7123</v>
      </c>
      <c r="P27" s="1668">
        <f t="shared" si="4"/>
        <v>5594</v>
      </c>
      <c r="Q27" s="1665">
        <f t="shared" si="4"/>
        <v>1529</v>
      </c>
      <c r="R27" s="1663">
        <f t="shared" si="6"/>
        <v>7121</v>
      </c>
      <c r="S27" s="1668">
        <v>5594</v>
      </c>
      <c r="T27" s="1665">
        <v>1527</v>
      </c>
      <c r="U27" s="1663">
        <f t="shared" si="7"/>
        <v>2</v>
      </c>
      <c r="V27" s="1668">
        <v>0</v>
      </c>
      <c r="W27" s="1665">
        <v>2</v>
      </c>
    </row>
    <row r="28" spans="1:23" ht="21.75" customHeight="1">
      <c r="A28" s="405">
        <f t="shared" si="8"/>
        <v>20</v>
      </c>
      <c r="B28" s="1669" t="s">
        <v>415</v>
      </c>
      <c r="C28" s="402">
        <f t="shared" si="0"/>
        <v>34176</v>
      </c>
      <c r="D28" s="1656">
        <f t="shared" si="0"/>
        <v>25257</v>
      </c>
      <c r="E28" s="1657">
        <f t="shared" si="0"/>
        <v>8919</v>
      </c>
      <c r="F28" s="403">
        <f t="shared" si="1"/>
        <v>32171</v>
      </c>
      <c r="G28" s="1658">
        <v>24432</v>
      </c>
      <c r="H28" s="1658">
        <v>7739</v>
      </c>
      <c r="I28" s="1659">
        <f t="shared" si="2"/>
        <v>1863</v>
      </c>
      <c r="J28" s="1658">
        <v>686</v>
      </c>
      <c r="K28" s="1660">
        <v>1177</v>
      </c>
      <c r="L28" s="1661">
        <f t="shared" si="3"/>
        <v>142</v>
      </c>
      <c r="M28" s="1658">
        <v>139</v>
      </c>
      <c r="N28" s="1662">
        <v>3</v>
      </c>
      <c r="O28" s="1663">
        <f t="shared" si="5"/>
        <v>16213</v>
      </c>
      <c r="P28" s="1668">
        <f t="shared" si="4"/>
        <v>11466</v>
      </c>
      <c r="Q28" s="1665">
        <f t="shared" si="4"/>
        <v>4747</v>
      </c>
      <c r="R28" s="1663">
        <f t="shared" si="6"/>
        <v>16206</v>
      </c>
      <c r="S28" s="1668">
        <v>11466</v>
      </c>
      <c r="T28" s="1665">
        <v>4740</v>
      </c>
      <c r="U28" s="1663">
        <f t="shared" si="7"/>
        <v>7</v>
      </c>
      <c r="V28" s="1668">
        <v>0</v>
      </c>
      <c r="W28" s="1665">
        <v>7</v>
      </c>
    </row>
    <row r="29" spans="1:23" ht="21.75" customHeight="1">
      <c r="A29" s="405">
        <f t="shared" si="8"/>
        <v>21</v>
      </c>
      <c r="B29" s="1669" t="s">
        <v>502</v>
      </c>
      <c r="C29" s="402">
        <f t="shared" si="0"/>
        <v>20766</v>
      </c>
      <c r="D29" s="1656">
        <f t="shared" si="0"/>
        <v>18130</v>
      </c>
      <c r="E29" s="1657">
        <f t="shared" si="0"/>
        <v>2636</v>
      </c>
      <c r="F29" s="403">
        <f t="shared" si="1"/>
        <v>19789</v>
      </c>
      <c r="G29" s="1658">
        <v>17264</v>
      </c>
      <c r="H29" s="1658">
        <v>2525</v>
      </c>
      <c r="I29" s="1659">
        <f t="shared" si="2"/>
        <v>441</v>
      </c>
      <c r="J29" s="1658">
        <v>331</v>
      </c>
      <c r="K29" s="1660">
        <v>110</v>
      </c>
      <c r="L29" s="1661">
        <f t="shared" si="3"/>
        <v>536</v>
      </c>
      <c r="M29" s="1658">
        <v>535</v>
      </c>
      <c r="N29" s="1662">
        <v>1</v>
      </c>
      <c r="O29" s="1663">
        <f t="shared" si="5"/>
        <v>6556</v>
      </c>
      <c r="P29" s="1668">
        <f t="shared" si="4"/>
        <v>6196</v>
      </c>
      <c r="Q29" s="1665">
        <f t="shared" si="4"/>
        <v>360</v>
      </c>
      <c r="R29" s="1663">
        <f t="shared" si="6"/>
        <v>6556</v>
      </c>
      <c r="S29" s="1668">
        <v>6196</v>
      </c>
      <c r="T29" s="1665">
        <v>360</v>
      </c>
      <c r="U29" s="1663">
        <f t="shared" si="7"/>
        <v>0</v>
      </c>
      <c r="V29" s="1668">
        <v>0</v>
      </c>
      <c r="W29" s="1665">
        <v>0</v>
      </c>
    </row>
    <row r="30" spans="1:23" ht="21.75" customHeight="1">
      <c r="A30" s="405">
        <f t="shared" si="8"/>
        <v>22</v>
      </c>
      <c r="B30" s="1669" t="s">
        <v>503</v>
      </c>
      <c r="C30" s="402">
        <f t="shared" si="0"/>
        <v>11667</v>
      </c>
      <c r="D30" s="1656">
        <f t="shared" si="0"/>
        <v>8730</v>
      </c>
      <c r="E30" s="1657">
        <f t="shared" si="0"/>
        <v>2937</v>
      </c>
      <c r="F30" s="403">
        <f t="shared" si="1"/>
        <v>11069</v>
      </c>
      <c r="G30" s="1658">
        <v>8370</v>
      </c>
      <c r="H30" s="1658">
        <v>2699</v>
      </c>
      <c r="I30" s="1659">
        <f t="shared" si="2"/>
        <v>525</v>
      </c>
      <c r="J30" s="1658">
        <v>287</v>
      </c>
      <c r="K30" s="1660">
        <v>238</v>
      </c>
      <c r="L30" s="1661">
        <f t="shared" si="3"/>
        <v>73</v>
      </c>
      <c r="M30" s="1658">
        <v>73</v>
      </c>
      <c r="N30" s="1662">
        <v>0</v>
      </c>
      <c r="O30" s="1663">
        <f t="shared" si="5"/>
        <v>9064</v>
      </c>
      <c r="P30" s="1668">
        <f t="shared" si="4"/>
        <v>7463</v>
      </c>
      <c r="Q30" s="1665">
        <f t="shared" si="4"/>
        <v>1601</v>
      </c>
      <c r="R30" s="1663">
        <f t="shared" si="6"/>
        <v>9053</v>
      </c>
      <c r="S30" s="1668">
        <v>7454</v>
      </c>
      <c r="T30" s="1665">
        <v>1599</v>
      </c>
      <c r="U30" s="1663">
        <f t="shared" si="7"/>
        <v>11</v>
      </c>
      <c r="V30" s="1668">
        <v>9</v>
      </c>
      <c r="W30" s="1665">
        <v>2</v>
      </c>
    </row>
    <row r="31" spans="1:23" ht="21.75" customHeight="1">
      <c r="A31" s="405">
        <f t="shared" si="8"/>
        <v>23</v>
      </c>
      <c r="B31" s="1669" t="s">
        <v>504</v>
      </c>
      <c r="C31" s="402">
        <f t="shared" si="0"/>
        <v>10594</v>
      </c>
      <c r="D31" s="1656">
        <f t="shared" si="0"/>
        <v>8918</v>
      </c>
      <c r="E31" s="1657">
        <f t="shared" si="0"/>
        <v>1676</v>
      </c>
      <c r="F31" s="403">
        <f t="shared" si="1"/>
        <v>9974</v>
      </c>
      <c r="G31" s="1658">
        <v>8362</v>
      </c>
      <c r="H31" s="1658">
        <v>1612</v>
      </c>
      <c r="I31" s="1659">
        <f t="shared" si="2"/>
        <v>375</v>
      </c>
      <c r="J31" s="1658">
        <v>313</v>
      </c>
      <c r="K31" s="1660">
        <v>62</v>
      </c>
      <c r="L31" s="1661">
        <f t="shared" si="3"/>
        <v>245</v>
      </c>
      <c r="M31" s="1658">
        <v>243</v>
      </c>
      <c r="N31" s="1662">
        <v>2</v>
      </c>
      <c r="O31" s="1663">
        <f t="shared" si="5"/>
        <v>5746</v>
      </c>
      <c r="P31" s="1668">
        <f t="shared" si="4"/>
        <v>4994</v>
      </c>
      <c r="Q31" s="1665">
        <f t="shared" si="4"/>
        <v>752</v>
      </c>
      <c r="R31" s="1663">
        <f t="shared" si="6"/>
        <v>5746</v>
      </c>
      <c r="S31" s="1668">
        <v>4994</v>
      </c>
      <c r="T31" s="1665">
        <v>752</v>
      </c>
      <c r="U31" s="1663">
        <f t="shared" si="7"/>
        <v>0</v>
      </c>
      <c r="V31" s="1668">
        <v>0</v>
      </c>
      <c r="W31" s="1665">
        <v>0</v>
      </c>
    </row>
    <row r="32" spans="1:23" ht="21.75" customHeight="1">
      <c r="A32" s="405">
        <f t="shared" si="8"/>
        <v>24</v>
      </c>
      <c r="B32" s="1669" t="s">
        <v>700</v>
      </c>
      <c r="C32" s="402">
        <f t="shared" si="0"/>
        <v>5022</v>
      </c>
      <c r="D32" s="1656">
        <f t="shared" si="0"/>
        <v>4129</v>
      </c>
      <c r="E32" s="1657">
        <f t="shared" si="0"/>
        <v>893</v>
      </c>
      <c r="F32" s="403">
        <f t="shared" si="1"/>
        <v>4352</v>
      </c>
      <c r="G32" s="1658">
        <v>3565</v>
      </c>
      <c r="H32" s="1658">
        <v>787</v>
      </c>
      <c r="I32" s="1659">
        <f t="shared" si="2"/>
        <v>412</v>
      </c>
      <c r="J32" s="1658">
        <v>307</v>
      </c>
      <c r="K32" s="1660">
        <v>105</v>
      </c>
      <c r="L32" s="1661">
        <f t="shared" si="3"/>
        <v>258</v>
      </c>
      <c r="M32" s="1658">
        <v>257</v>
      </c>
      <c r="N32" s="1662">
        <v>1</v>
      </c>
      <c r="O32" s="1663">
        <f t="shared" si="5"/>
        <v>4031</v>
      </c>
      <c r="P32" s="1668">
        <f t="shared" si="4"/>
        <v>3376</v>
      </c>
      <c r="Q32" s="1665">
        <f t="shared" si="4"/>
        <v>655</v>
      </c>
      <c r="R32" s="1663">
        <f t="shared" si="6"/>
        <v>4028</v>
      </c>
      <c r="S32" s="1668">
        <v>3375</v>
      </c>
      <c r="T32" s="1665">
        <v>653</v>
      </c>
      <c r="U32" s="1663">
        <f t="shared" si="7"/>
        <v>3</v>
      </c>
      <c r="V32" s="1668">
        <v>1</v>
      </c>
      <c r="W32" s="1665">
        <v>2</v>
      </c>
    </row>
    <row r="33" spans="1:23" ht="21.75" customHeight="1">
      <c r="A33" s="405">
        <f t="shared" si="8"/>
        <v>25</v>
      </c>
      <c r="B33" s="1669" t="s">
        <v>701</v>
      </c>
      <c r="C33" s="402">
        <f t="shared" si="0"/>
        <v>13294</v>
      </c>
      <c r="D33" s="1656">
        <f t="shared" si="0"/>
        <v>11547</v>
      </c>
      <c r="E33" s="1657">
        <f t="shared" si="0"/>
        <v>1747</v>
      </c>
      <c r="F33" s="403">
        <f t="shared" si="1"/>
        <v>12241</v>
      </c>
      <c r="G33" s="1658">
        <v>10556</v>
      </c>
      <c r="H33" s="1658">
        <v>1685</v>
      </c>
      <c r="I33" s="1659">
        <f t="shared" si="2"/>
        <v>414</v>
      </c>
      <c r="J33" s="1658">
        <v>355</v>
      </c>
      <c r="K33" s="1660">
        <v>59</v>
      </c>
      <c r="L33" s="1661">
        <f t="shared" si="3"/>
        <v>639</v>
      </c>
      <c r="M33" s="1658">
        <v>636</v>
      </c>
      <c r="N33" s="1662">
        <v>3</v>
      </c>
      <c r="O33" s="1663">
        <f t="shared" si="5"/>
        <v>7091</v>
      </c>
      <c r="P33" s="1668">
        <f t="shared" si="4"/>
        <v>6672</v>
      </c>
      <c r="Q33" s="1665">
        <f t="shared" si="4"/>
        <v>419</v>
      </c>
      <c r="R33" s="1663">
        <f t="shared" si="6"/>
        <v>7091</v>
      </c>
      <c r="S33" s="1668">
        <v>6672</v>
      </c>
      <c r="T33" s="1665">
        <v>419</v>
      </c>
      <c r="U33" s="1663">
        <f t="shared" si="7"/>
        <v>0</v>
      </c>
      <c r="V33" s="1668">
        <v>0</v>
      </c>
      <c r="W33" s="1665">
        <v>0</v>
      </c>
    </row>
    <row r="34" spans="1:23" ht="21.75" customHeight="1">
      <c r="A34" s="405">
        <f t="shared" si="8"/>
        <v>26</v>
      </c>
      <c r="B34" s="1669" t="s">
        <v>26</v>
      </c>
      <c r="C34" s="402">
        <f t="shared" si="0"/>
        <v>18940</v>
      </c>
      <c r="D34" s="1656">
        <f t="shared" si="0"/>
        <v>13203</v>
      </c>
      <c r="E34" s="1657">
        <f t="shared" si="0"/>
        <v>5737</v>
      </c>
      <c r="F34" s="403">
        <f t="shared" si="1"/>
        <v>17956</v>
      </c>
      <c r="G34" s="1658">
        <v>12756</v>
      </c>
      <c r="H34" s="1658">
        <v>5200</v>
      </c>
      <c r="I34" s="1659">
        <f t="shared" si="2"/>
        <v>848</v>
      </c>
      <c r="J34" s="1658">
        <v>322</v>
      </c>
      <c r="K34" s="1660">
        <v>526</v>
      </c>
      <c r="L34" s="1661">
        <f t="shared" si="3"/>
        <v>136</v>
      </c>
      <c r="M34" s="1658">
        <v>125</v>
      </c>
      <c r="N34" s="1662">
        <v>11</v>
      </c>
      <c r="O34" s="1663">
        <f t="shared" si="5"/>
        <v>7072</v>
      </c>
      <c r="P34" s="1668">
        <f t="shared" si="4"/>
        <v>5883</v>
      </c>
      <c r="Q34" s="1665">
        <f t="shared" si="4"/>
        <v>1189</v>
      </c>
      <c r="R34" s="1663">
        <f t="shared" si="6"/>
        <v>7044</v>
      </c>
      <c r="S34" s="1668">
        <v>5864</v>
      </c>
      <c r="T34" s="1665">
        <v>1180</v>
      </c>
      <c r="U34" s="1663">
        <f t="shared" si="7"/>
        <v>28</v>
      </c>
      <c r="V34" s="1668">
        <v>19</v>
      </c>
      <c r="W34" s="1665">
        <v>9</v>
      </c>
    </row>
    <row r="35" spans="1:23" ht="21.75" customHeight="1">
      <c r="A35" s="405">
        <f>+A34+1</f>
        <v>27</v>
      </c>
      <c r="B35" s="1669" t="s">
        <v>95</v>
      </c>
      <c r="C35" s="402">
        <f t="shared" si="0"/>
        <v>45083</v>
      </c>
      <c r="D35" s="1656">
        <f t="shared" si="0"/>
        <v>38197</v>
      </c>
      <c r="E35" s="1657">
        <f t="shared" si="0"/>
        <v>6886</v>
      </c>
      <c r="F35" s="403">
        <f t="shared" si="1"/>
        <v>43677</v>
      </c>
      <c r="G35" s="1658">
        <v>37039</v>
      </c>
      <c r="H35" s="1658">
        <v>6638</v>
      </c>
      <c r="I35" s="1659">
        <f t="shared" si="2"/>
        <v>1147</v>
      </c>
      <c r="J35" s="1658">
        <v>902</v>
      </c>
      <c r="K35" s="1660">
        <v>245</v>
      </c>
      <c r="L35" s="1661">
        <f t="shared" si="3"/>
        <v>259</v>
      </c>
      <c r="M35" s="1658">
        <v>256</v>
      </c>
      <c r="N35" s="1662">
        <v>3</v>
      </c>
      <c r="O35" s="1663">
        <f t="shared" si="5"/>
        <v>16122</v>
      </c>
      <c r="P35" s="1668">
        <f t="shared" si="4"/>
        <v>14326</v>
      </c>
      <c r="Q35" s="1665">
        <f t="shared" si="4"/>
        <v>1796</v>
      </c>
      <c r="R35" s="1663">
        <f t="shared" si="6"/>
        <v>16122</v>
      </c>
      <c r="S35" s="1668">
        <v>14326</v>
      </c>
      <c r="T35" s="1665">
        <v>1796</v>
      </c>
      <c r="U35" s="1663">
        <f t="shared" si="7"/>
        <v>0</v>
      </c>
      <c r="V35" s="1668">
        <v>0</v>
      </c>
      <c r="W35" s="1665">
        <v>0</v>
      </c>
    </row>
    <row r="36" spans="1:23" ht="21.75" customHeight="1">
      <c r="A36" s="400">
        <f>+A35+1</f>
        <v>28</v>
      </c>
      <c r="B36" s="1655" t="s">
        <v>773</v>
      </c>
      <c r="C36" s="402">
        <f t="shared" si="0"/>
        <v>10150</v>
      </c>
      <c r="D36" s="1656">
        <f t="shared" si="0"/>
        <v>8057</v>
      </c>
      <c r="E36" s="1657">
        <f t="shared" si="0"/>
        <v>2093</v>
      </c>
      <c r="F36" s="403">
        <f t="shared" si="1"/>
        <v>9613</v>
      </c>
      <c r="G36" s="1658">
        <v>7681</v>
      </c>
      <c r="H36" s="1658">
        <v>1932</v>
      </c>
      <c r="I36" s="1659">
        <f t="shared" si="2"/>
        <v>393</v>
      </c>
      <c r="J36" s="1658">
        <v>232</v>
      </c>
      <c r="K36" s="1660">
        <v>161</v>
      </c>
      <c r="L36" s="1661">
        <f t="shared" si="3"/>
        <v>144</v>
      </c>
      <c r="M36" s="1658">
        <v>144</v>
      </c>
      <c r="N36" s="1662">
        <v>0</v>
      </c>
      <c r="O36" s="1663">
        <f t="shared" si="5"/>
        <v>6937</v>
      </c>
      <c r="P36" s="1668">
        <f t="shared" si="4"/>
        <v>4932</v>
      </c>
      <c r="Q36" s="1665">
        <f t="shared" si="4"/>
        <v>2005</v>
      </c>
      <c r="R36" s="1663">
        <f t="shared" si="6"/>
        <v>6911</v>
      </c>
      <c r="S36" s="1668">
        <v>4928</v>
      </c>
      <c r="T36" s="1665">
        <v>1983</v>
      </c>
      <c r="U36" s="1663">
        <f t="shared" si="7"/>
        <v>26</v>
      </c>
      <c r="V36" s="1668">
        <v>4</v>
      </c>
      <c r="W36" s="1665">
        <v>22</v>
      </c>
    </row>
    <row r="37" spans="1:23" ht="21.75" customHeight="1">
      <c r="A37" s="400">
        <f t="shared" si="8"/>
        <v>29</v>
      </c>
      <c r="B37" s="1655" t="s">
        <v>774</v>
      </c>
      <c r="C37" s="402">
        <f t="shared" si="0"/>
        <v>2632</v>
      </c>
      <c r="D37" s="1656">
        <f t="shared" si="0"/>
        <v>2145</v>
      </c>
      <c r="E37" s="1657">
        <f t="shared" si="0"/>
        <v>487</v>
      </c>
      <c r="F37" s="403">
        <f t="shared" si="1"/>
        <v>2475</v>
      </c>
      <c r="G37" s="1658">
        <v>2008</v>
      </c>
      <c r="H37" s="1658">
        <v>467</v>
      </c>
      <c r="I37" s="1659">
        <f t="shared" si="2"/>
        <v>62</v>
      </c>
      <c r="J37" s="1658">
        <v>46</v>
      </c>
      <c r="K37" s="1660">
        <v>16</v>
      </c>
      <c r="L37" s="1661">
        <f t="shared" si="3"/>
        <v>95</v>
      </c>
      <c r="M37" s="1658">
        <v>91</v>
      </c>
      <c r="N37" s="1662">
        <v>4</v>
      </c>
      <c r="O37" s="1663">
        <f t="shared" si="5"/>
        <v>2327</v>
      </c>
      <c r="P37" s="1668">
        <f t="shared" si="4"/>
        <v>1765</v>
      </c>
      <c r="Q37" s="1665">
        <f t="shared" si="4"/>
        <v>562</v>
      </c>
      <c r="R37" s="1663">
        <f t="shared" si="6"/>
        <v>2327</v>
      </c>
      <c r="S37" s="1668">
        <v>1765</v>
      </c>
      <c r="T37" s="1665">
        <v>562</v>
      </c>
      <c r="U37" s="1663">
        <f t="shared" si="7"/>
        <v>0</v>
      </c>
      <c r="V37" s="1668">
        <v>0</v>
      </c>
      <c r="W37" s="1665">
        <v>0</v>
      </c>
    </row>
    <row r="38" spans="1:23" ht="21.75" customHeight="1">
      <c r="A38" s="400">
        <f t="shared" si="8"/>
        <v>30</v>
      </c>
      <c r="B38" s="1655" t="s">
        <v>775</v>
      </c>
      <c r="C38" s="402">
        <f t="shared" si="0"/>
        <v>3413</v>
      </c>
      <c r="D38" s="1656">
        <f t="shared" si="0"/>
        <v>3084</v>
      </c>
      <c r="E38" s="1657">
        <f t="shared" si="0"/>
        <v>329</v>
      </c>
      <c r="F38" s="403">
        <f t="shared" si="1"/>
        <v>3242</v>
      </c>
      <c r="G38" s="1658">
        <v>2917</v>
      </c>
      <c r="H38" s="1658">
        <v>325</v>
      </c>
      <c r="I38" s="1670">
        <f t="shared" si="2"/>
        <v>42</v>
      </c>
      <c r="J38" s="1658">
        <v>38</v>
      </c>
      <c r="K38" s="1660">
        <v>4</v>
      </c>
      <c r="L38" s="1661">
        <f t="shared" si="3"/>
        <v>129</v>
      </c>
      <c r="M38" s="1658">
        <v>129</v>
      </c>
      <c r="N38" s="1662">
        <v>0</v>
      </c>
      <c r="O38" s="1663">
        <f t="shared" si="5"/>
        <v>2126</v>
      </c>
      <c r="P38" s="1668">
        <f t="shared" si="4"/>
        <v>1916</v>
      </c>
      <c r="Q38" s="1665">
        <f t="shared" si="4"/>
        <v>210</v>
      </c>
      <c r="R38" s="1663">
        <f t="shared" si="6"/>
        <v>2126</v>
      </c>
      <c r="S38" s="1668">
        <v>1916</v>
      </c>
      <c r="T38" s="1665">
        <v>210</v>
      </c>
      <c r="U38" s="1663">
        <f t="shared" si="7"/>
        <v>0</v>
      </c>
      <c r="V38" s="1668">
        <v>0</v>
      </c>
      <c r="W38" s="1665">
        <v>0</v>
      </c>
    </row>
    <row r="39" spans="1:23" ht="21.75" customHeight="1">
      <c r="A39" s="400">
        <f t="shared" si="8"/>
        <v>31</v>
      </c>
      <c r="B39" s="1655" t="s">
        <v>371</v>
      </c>
      <c r="C39" s="402">
        <f t="shared" si="0"/>
        <v>39805</v>
      </c>
      <c r="D39" s="1656">
        <f t="shared" si="0"/>
        <v>31884</v>
      </c>
      <c r="E39" s="1657">
        <f t="shared" si="0"/>
        <v>7921</v>
      </c>
      <c r="F39" s="403">
        <f t="shared" si="1"/>
        <v>38112</v>
      </c>
      <c r="G39" s="1658">
        <v>30547</v>
      </c>
      <c r="H39" s="1658">
        <v>7565</v>
      </c>
      <c r="I39" s="1659">
        <f t="shared" si="2"/>
        <v>1500</v>
      </c>
      <c r="J39" s="1658">
        <v>1146</v>
      </c>
      <c r="K39" s="1660">
        <v>354</v>
      </c>
      <c r="L39" s="1661">
        <f t="shared" si="3"/>
        <v>193</v>
      </c>
      <c r="M39" s="1658">
        <v>191</v>
      </c>
      <c r="N39" s="1662">
        <v>2</v>
      </c>
      <c r="O39" s="1663">
        <f t="shared" si="5"/>
        <v>18160</v>
      </c>
      <c r="P39" s="1668">
        <f t="shared" si="4"/>
        <v>14958</v>
      </c>
      <c r="Q39" s="1665">
        <f t="shared" si="4"/>
        <v>3202</v>
      </c>
      <c r="R39" s="1663">
        <f t="shared" si="6"/>
        <v>18153</v>
      </c>
      <c r="S39" s="1668">
        <v>14957</v>
      </c>
      <c r="T39" s="1665">
        <v>3196</v>
      </c>
      <c r="U39" s="1663">
        <f t="shared" si="7"/>
        <v>7</v>
      </c>
      <c r="V39" s="1668">
        <v>1</v>
      </c>
      <c r="W39" s="1665">
        <v>6</v>
      </c>
    </row>
    <row r="40" spans="1:23" ht="21.75" customHeight="1">
      <c r="A40" s="400">
        <f t="shared" si="8"/>
        <v>32</v>
      </c>
      <c r="B40" s="1655" t="s">
        <v>459</v>
      </c>
      <c r="C40" s="402">
        <f t="shared" si="0"/>
        <v>11448</v>
      </c>
      <c r="D40" s="1656">
        <f t="shared" si="0"/>
        <v>8597</v>
      </c>
      <c r="E40" s="1657">
        <f t="shared" si="0"/>
        <v>2851</v>
      </c>
      <c r="F40" s="403">
        <f t="shared" si="1"/>
        <v>10484</v>
      </c>
      <c r="G40" s="1658">
        <v>7994</v>
      </c>
      <c r="H40" s="1658">
        <v>2490</v>
      </c>
      <c r="I40" s="1659">
        <f t="shared" si="2"/>
        <v>887</v>
      </c>
      <c r="J40" s="1658">
        <v>533</v>
      </c>
      <c r="K40" s="1660">
        <v>354</v>
      </c>
      <c r="L40" s="1661">
        <f t="shared" si="3"/>
        <v>77</v>
      </c>
      <c r="M40" s="1658">
        <v>70</v>
      </c>
      <c r="N40" s="1662">
        <v>7</v>
      </c>
      <c r="O40" s="1663">
        <f t="shared" si="5"/>
        <v>5997</v>
      </c>
      <c r="P40" s="1668">
        <f t="shared" si="4"/>
        <v>4499</v>
      </c>
      <c r="Q40" s="1665">
        <f t="shared" si="4"/>
        <v>1498</v>
      </c>
      <c r="R40" s="1663">
        <f t="shared" si="6"/>
        <v>5995</v>
      </c>
      <c r="S40" s="1668">
        <v>4498</v>
      </c>
      <c r="T40" s="1665">
        <v>1497</v>
      </c>
      <c r="U40" s="1663">
        <f t="shared" si="7"/>
        <v>2</v>
      </c>
      <c r="V40" s="1668">
        <v>1</v>
      </c>
      <c r="W40" s="1665">
        <v>1</v>
      </c>
    </row>
    <row r="41" spans="1:23" ht="21.75" customHeight="1">
      <c r="A41" s="400">
        <f t="shared" si="8"/>
        <v>33</v>
      </c>
      <c r="B41" s="1655" t="s">
        <v>33</v>
      </c>
      <c r="C41" s="402">
        <f t="shared" ref="C41:E72" si="9">+F41+I41+L41</f>
        <v>48247</v>
      </c>
      <c r="D41" s="1656">
        <f t="shared" si="9"/>
        <v>38099</v>
      </c>
      <c r="E41" s="1657">
        <f t="shared" si="9"/>
        <v>10148</v>
      </c>
      <c r="F41" s="403">
        <f t="shared" si="1"/>
        <v>46588</v>
      </c>
      <c r="G41" s="1658">
        <v>36952</v>
      </c>
      <c r="H41" s="1658">
        <v>9636</v>
      </c>
      <c r="I41" s="1659">
        <f t="shared" si="2"/>
        <v>1369</v>
      </c>
      <c r="J41" s="1658">
        <v>860</v>
      </c>
      <c r="K41" s="1660">
        <v>509</v>
      </c>
      <c r="L41" s="1661">
        <f t="shared" si="3"/>
        <v>290</v>
      </c>
      <c r="M41" s="1658">
        <v>287</v>
      </c>
      <c r="N41" s="1662">
        <v>3</v>
      </c>
      <c r="O41" s="1663">
        <f t="shared" si="5"/>
        <v>28458</v>
      </c>
      <c r="P41" s="1668">
        <f t="shared" si="4"/>
        <v>24601</v>
      </c>
      <c r="Q41" s="1665">
        <f t="shared" si="4"/>
        <v>3857</v>
      </c>
      <c r="R41" s="1663">
        <f t="shared" si="6"/>
        <v>28457</v>
      </c>
      <c r="S41" s="1668">
        <v>24600</v>
      </c>
      <c r="T41" s="1665">
        <v>3857</v>
      </c>
      <c r="U41" s="1663">
        <f t="shared" si="7"/>
        <v>1</v>
      </c>
      <c r="V41" s="1668">
        <v>1</v>
      </c>
      <c r="W41" s="1665">
        <v>0</v>
      </c>
    </row>
    <row r="42" spans="1:23" ht="21.75" customHeight="1">
      <c r="A42" s="400">
        <f t="shared" si="8"/>
        <v>34</v>
      </c>
      <c r="B42" s="1655" t="s">
        <v>34</v>
      </c>
      <c r="C42" s="402">
        <f t="shared" si="9"/>
        <v>518486</v>
      </c>
      <c r="D42" s="1656">
        <f t="shared" si="9"/>
        <v>382570</v>
      </c>
      <c r="E42" s="1657">
        <f t="shared" si="9"/>
        <v>135916</v>
      </c>
      <c r="F42" s="403">
        <f t="shared" si="1"/>
        <v>498999</v>
      </c>
      <c r="G42" s="1658">
        <v>374881</v>
      </c>
      <c r="H42" s="1658">
        <v>124118</v>
      </c>
      <c r="I42" s="1659">
        <f t="shared" si="2"/>
        <v>19317</v>
      </c>
      <c r="J42" s="1658">
        <v>7556</v>
      </c>
      <c r="K42" s="1660">
        <v>11761</v>
      </c>
      <c r="L42" s="1661">
        <f t="shared" si="3"/>
        <v>170</v>
      </c>
      <c r="M42" s="1658">
        <v>133</v>
      </c>
      <c r="N42" s="1662">
        <v>37</v>
      </c>
      <c r="O42" s="1663">
        <f t="shared" si="5"/>
        <v>5155</v>
      </c>
      <c r="P42" s="1664">
        <f t="shared" si="4"/>
        <v>3921</v>
      </c>
      <c r="Q42" s="1665">
        <f t="shared" si="4"/>
        <v>1234</v>
      </c>
      <c r="R42" s="1663">
        <f t="shared" si="6"/>
        <v>5155</v>
      </c>
      <c r="S42" s="1664">
        <v>3921</v>
      </c>
      <c r="T42" s="1665">
        <v>1234</v>
      </c>
      <c r="U42" s="1663">
        <f t="shared" si="7"/>
        <v>0</v>
      </c>
      <c r="V42" s="1664">
        <v>0</v>
      </c>
      <c r="W42" s="1665">
        <v>0</v>
      </c>
    </row>
    <row r="43" spans="1:23" ht="21.75" customHeight="1">
      <c r="A43" s="400">
        <f t="shared" si="8"/>
        <v>35</v>
      </c>
      <c r="B43" s="1655" t="s">
        <v>35</v>
      </c>
      <c r="C43" s="402">
        <f t="shared" si="9"/>
        <v>124112</v>
      </c>
      <c r="D43" s="1656">
        <f t="shared" si="9"/>
        <v>88691</v>
      </c>
      <c r="E43" s="1657">
        <f t="shared" si="9"/>
        <v>35421</v>
      </c>
      <c r="F43" s="403">
        <f t="shared" si="1"/>
        <v>118875</v>
      </c>
      <c r="G43" s="1658">
        <v>86482</v>
      </c>
      <c r="H43" s="1658">
        <v>32393</v>
      </c>
      <c r="I43" s="1666">
        <f t="shared" si="2"/>
        <v>4925</v>
      </c>
      <c r="J43" s="1658">
        <v>1930</v>
      </c>
      <c r="K43" s="1660">
        <v>2995</v>
      </c>
      <c r="L43" s="1661">
        <f t="shared" si="3"/>
        <v>312</v>
      </c>
      <c r="M43" s="1658">
        <v>279</v>
      </c>
      <c r="N43" s="1662">
        <v>33</v>
      </c>
      <c r="O43" s="1663">
        <f t="shared" si="5"/>
        <v>27462</v>
      </c>
      <c r="P43" s="1664">
        <f t="shared" si="4"/>
        <v>23657</v>
      </c>
      <c r="Q43" s="1665">
        <f t="shared" si="4"/>
        <v>3805</v>
      </c>
      <c r="R43" s="1663">
        <f t="shared" si="6"/>
        <v>27461</v>
      </c>
      <c r="S43" s="1664">
        <v>23657</v>
      </c>
      <c r="T43" s="1665">
        <v>3804</v>
      </c>
      <c r="U43" s="1663">
        <f t="shared" si="7"/>
        <v>1</v>
      </c>
      <c r="V43" s="1664">
        <v>0</v>
      </c>
      <c r="W43" s="1665">
        <v>1</v>
      </c>
    </row>
    <row r="44" spans="1:23" ht="21.75" customHeight="1">
      <c r="A44" s="400">
        <f t="shared" si="8"/>
        <v>36</v>
      </c>
      <c r="B44" s="1655" t="s">
        <v>36</v>
      </c>
      <c r="C44" s="402">
        <f t="shared" si="9"/>
        <v>4743</v>
      </c>
      <c r="D44" s="1656">
        <f t="shared" si="9"/>
        <v>4048</v>
      </c>
      <c r="E44" s="1657">
        <f t="shared" si="9"/>
        <v>695</v>
      </c>
      <c r="F44" s="403">
        <f t="shared" si="1"/>
        <v>4316</v>
      </c>
      <c r="G44" s="1658">
        <v>3682</v>
      </c>
      <c r="H44" s="1658">
        <v>634</v>
      </c>
      <c r="I44" s="1666">
        <f t="shared" si="2"/>
        <v>216</v>
      </c>
      <c r="J44" s="1658">
        <v>156</v>
      </c>
      <c r="K44" s="1660">
        <v>60</v>
      </c>
      <c r="L44" s="1661">
        <f t="shared" si="3"/>
        <v>211</v>
      </c>
      <c r="M44" s="1658">
        <v>210</v>
      </c>
      <c r="N44" s="1662">
        <v>1</v>
      </c>
      <c r="O44" s="1663">
        <f t="shared" si="5"/>
        <v>4546</v>
      </c>
      <c r="P44" s="1668">
        <f t="shared" si="4"/>
        <v>4318</v>
      </c>
      <c r="Q44" s="1665">
        <f t="shared" si="4"/>
        <v>228</v>
      </c>
      <c r="R44" s="1663">
        <f t="shared" si="6"/>
        <v>4546</v>
      </c>
      <c r="S44" s="1668">
        <v>4318</v>
      </c>
      <c r="T44" s="1665">
        <v>228</v>
      </c>
      <c r="U44" s="1663">
        <f t="shared" si="7"/>
        <v>0</v>
      </c>
      <c r="V44" s="1668">
        <v>0</v>
      </c>
      <c r="W44" s="1665">
        <v>0</v>
      </c>
    </row>
    <row r="45" spans="1:23" ht="21.75" customHeight="1">
      <c r="A45" s="405">
        <f t="shared" si="8"/>
        <v>37</v>
      </c>
      <c r="B45" s="1655" t="s">
        <v>37</v>
      </c>
      <c r="C45" s="402">
        <f t="shared" si="9"/>
        <v>9994</v>
      </c>
      <c r="D45" s="1656">
        <f t="shared" si="9"/>
        <v>7891</v>
      </c>
      <c r="E45" s="1657">
        <f t="shared" si="9"/>
        <v>2103</v>
      </c>
      <c r="F45" s="403">
        <f t="shared" si="1"/>
        <v>9048</v>
      </c>
      <c r="G45" s="1658">
        <v>7301</v>
      </c>
      <c r="H45" s="1658">
        <v>1747</v>
      </c>
      <c r="I45" s="1666">
        <f t="shared" si="2"/>
        <v>764</v>
      </c>
      <c r="J45" s="1658">
        <v>409</v>
      </c>
      <c r="K45" s="1660">
        <v>355</v>
      </c>
      <c r="L45" s="1661">
        <f t="shared" si="3"/>
        <v>182</v>
      </c>
      <c r="M45" s="1658">
        <v>181</v>
      </c>
      <c r="N45" s="1662">
        <v>1</v>
      </c>
      <c r="O45" s="1663">
        <f t="shared" si="5"/>
        <v>8902</v>
      </c>
      <c r="P45" s="1664">
        <f t="shared" si="4"/>
        <v>7134</v>
      </c>
      <c r="Q45" s="1665">
        <f t="shared" si="4"/>
        <v>1768</v>
      </c>
      <c r="R45" s="1663">
        <f t="shared" si="6"/>
        <v>8899</v>
      </c>
      <c r="S45" s="1664">
        <v>7134</v>
      </c>
      <c r="T45" s="1665">
        <v>1765</v>
      </c>
      <c r="U45" s="1663">
        <f t="shared" si="7"/>
        <v>3</v>
      </c>
      <c r="V45" s="1664">
        <v>0</v>
      </c>
      <c r="W45" s="1665">
        <v>3</v>
      </c>
    </row>
    <row r="46" spans="1:23" ht="21.75" customHeight="1">
      <c r="A46" s="405">
        <f t="shared" si="8"/>
        <v>38</v>
      </c>
      <c r="B46" s="1655" t="s">
        <v>38</v>
      </c>
      <c r="C46" s="402">
        <f t="shared" si="9"/>
        <v>33246</v>
      </c>
      <c r="D46" s="1656">
        <f t="shared" si="9"/>
        <v>25682</v>
      </c>
      <c r="E46" s="1657">
        <f t="shared" si="9"/>
        <v>7564</v>
      </c>
      <c r="F46" s="403">
        <f t="shared" si="1"/>
        <v>30967</v>
      </c>
      <c r="G46" s="1658">
        <v>24050</v>
      </c>
      <c r="H46" s="1658">
        <v>6917</v>
      </c>
      <c r="I46" s="1659">
        <f t="shared" si="2"/>
        <v>2042</v>
      </c>
      <c r="J46" s="1658">
        <v>1402</v>
      </c>
      <c r="K46" s="1660">
        <v>640</v>
      </c>
      <c r="L46" s="1661">
        <f t="shared" si="3"/>
        <v>237</v>
      </c>
      <c r="M46" s="1658">
        <v>230</v>
      </c>
      <c r="N46" s="1662">
        <v>7</v>
      </c>
      <c r="O46" s="1663">
        <f t="shared" si="5"/>
        <v>11936</v>
      </c>
      <c r="P46" s="1664">
        <f t="shared" si="4"/>
        <v>10369</v>
      </c>
      <c r="Q46" s="1665">
        <f t="shared" si="4"/>
        <v>1567</v>
      </c>
      <c r="R46" s="1663">
        <f t="shared" si="6"/>
        <v>11935</v>
      </c>
      <c r="S46" s="1664">
        <v>10369</v>
      </c>
      <c r="T46" s="1665">
        <v>1566</v>
      </c>
      <c r="U46" s="1663">
        <f t="shared" si="7"/>
        <v>1</v>
      </c>
      <c r="V46" s="1664">
        <v>0</v>
      </c>
      <c r="W46" s="1665">
        <v>1</v>
      </c>
    </row>
    <row r="47" spans="1:23" ht="21.75" customHeight="1">
      <c r="A47" s="405">
        <f t="shared" si="8"/>
        <v>39</v>
      </c>
      <c r="B47" s="1655" t="s">
        <v>39</v>
      </c>
      <c r="C47" s="402">
        <f t="shared" si="9"/>
        <v>10023</v>
      </c>
      <c r="D47" s="1656">
        <f t="shared" si="9"/>
        <v>7276</v>
      </c>
      <c r="E47" s="1657">
        <f t="shared" si="9"/>
        <v>2747</v>
      </c>
      <c r="F47" s="403">
        <f t="shared" si="1"/>
        <v>9368</v>
      </c>
      <c r="G47" s="1658">
        <v>6965</v>
      </c>
      <c r="H47" s="1658">
        <v>2403</v>
      </c>
      <c r="I47" s="1659">
        <f t="shared" si="2"/>
        <v>604</v>
      </c>
      <c r="J47" s="1658">
        <v>263</v>
      </c>
      <c r="K47" s="1660">
        <v>341</v>
      </c>
      <c r="L47" s="1661">
        <f t="shared" si="3"/>
        <v>51</v>
      </c>
      <c r="M47" s="1658">
        <v>48</v>
      </c>
      <c r="N47" s="1662">
        <v>3</v>
      </c>
      <c r="O47" s="1663">
        <f t="shared" si="5"/>
        <v>4687</v>
      </c>
      <c r="P47" s="1664">
        <f t="shared" si="4"/>
        <v>3597</v>
      </c>
      <c r="Q47" s="1665">
        <f t="shared" si="4"/>
        <v>1090</v>
      </c>
      <c r="R47" s="1663">
        <f t="shared" si="6"/>
        <v>4685</v>
      </c>
      <c r="S47" s="1664">
        <v>3596</v>
      </c>
      <c r="T47" s="1665">
        <v>1089</v>
      </c>
      <c r="U47" s="1663">
        <f t="shared" si="7"/>
        <v>2</v>
      </c>
      <c r="V47" s="1664">
        <v>1</v>
      </c>
      <c r="W47" s="1665">
        <v>1</v>
      </c>
    </row>
    <row r="48" spans="1:23" ht="21.75" customHeight="1">
      <c r="A48" s="405">
        <f t="shared" si="8"/>
        <v>40</v>
      </c>
      <c r="B48" s="1655" t="s">
        <v>40</v>
      </c>
      <c r="C48" s="402">
        <f t="shared" si="9"/>
        <v>5725</v>
      </c>
      <c r="D48" s="1656">
        <f t="shared" si="9"/>
        <v>4278</v>
      </c>
      <c r="E48" s="1657">
        <f t="shared" si="9"/>
        <v>1447</v>
      </c>
      <c r="F48" s="403">
        <f t="shared" si="1"/>
        <v>5025</v>
      </c>
      <c r="G48" s="1658">
        <v>3906</v>
      </c>
      <c r="H48" s="1658">
        <v>1119</v>
      </c>
      <c r="I48" s="1666">
        <f t="shared" si="2"/>
        <v>582</v>
      </c>
      <c r="J48" s="1658">
        <v>257</v>
      </c>
      <c r="K48" s="1660">
        <v>325</v>
      </c>
      <c r="L48" s="1661">
        <f t="shared" si="3"/>
        <v>118</v>
      </c>
      <c r="M48" s="1658">
        <v>115</v>
      </c>
      <c r="N48" s="1662">
        <v>3</v>
      </c>
      <c r="O48" s="1663">
        <f t="shared" si="5"/>
        <v>3734</v>
      </c>
      <c r="P48" s="1664">
        <f t="shared" si="4"/>
        <v>2948</v>
      </c>
      <c r="Q48" s="1665">
        <f t="shared" si="4"/>
        <v>786</v>
      </c>
      <c r="R48" s="1663">
        <f t="shared" si="6"/>
        <v>3732</v>
      </c>
      <c r="S48" s="1664">
        <v>2947</v>
      </c>
      <c r="T48" s="1665">
        <v>785</v>
      </c>
      <c r="U48" s="1663">
        <f t="shared" si="7"/>
        <v>2</v>
      </c>
      <c r="V48" s="1664">
        <v>1</v>
      </c>
      <c r="W48" s="1665">
        <v>1</v>
      </c>
    </row>
    <row r="49" spans="1:23" ht="21.75" customHeight="1">
      <c r="A49" s="405">
        <f t="shared" si="8"/>
        <v>41</v>
      </c>
      <c r="B49" s="1655" t="s">
        <v>248</v>
      </c>
      <c r="C49" s="402">
        <f t="shared" si="9"/>
        <v>38020</v>
      </c>
      <c r="D49" s="1656">
        <f t="shared" si="9"/>
        <v>27658</v>
      </c>
      <c r="E49" s="1657">
        <f t="shared" si="9"/>
        <v>10362</v>
      </c>
      <c r="F49" s="403">
        <f t="shared" si="1"/>
        <v>36697</v>
      </c>
      <c r="G49" s="1658">
        <v>26902</v>
      </c>
      <c r="H49" s="1658">
        <v>9795</v>
      </c>
      <c r="I49" s="1659">
        <f t="shared" si="2"/>
        <v>1246</v>
      </c>
      <c r="J49" s="1658">
        <v>695</v>
      </c>
      <c r="K49" s="1660">
        <v>551</v>
      </c>
      <c r="L49" s="1661">
        <f t="shared" si="3"/>
        <v>77</v>
      </c>
      <c r="M49" s="1658">
        <v>61</v>
      </c>
      <c r="N49" s="1662">
        <v>16</v>
      </c>
      <c r="O49" s="1663">
        <f t="shared" si="5"/>
        <v>2587</v>
      </c>
      <c r="P49" s="1664">
        <f t="shared" si="4"/>
        <v>2137</v>
      </c>
      <c r="Q49" s="1665">
        <f t="shared" si="4"/>
        <v>450</v>
      </c>
      <c r="R49" s="1663">
        <f t="shared" si="6"/>
        <v>2587</v>
      </c>
      <c r="S49" s="1664">
        <v>2137</v>
      </c>
      <c r="T49" s="1665">
        <v>450</v>
      </c>
      <c r="U49" s="1663">
        <f t="shared" si="7"/>
        <v>0</v>
      </c>
      <c r="V49" s="1664">
        <v>0</v>
      </c>
      <c r="W49" s="1665">
        <v>0</v>
      </c>
    </row>
    <row r="50" spans="1:23" ht="21.75" customHeight="1">
      <c r="A50" s="405">
        <f t="shared" si="8"/>
        <v>42</v>
      </c>
      <c r="B50" s="1655" t="s">
        <v>781</v>
      </c>
      <c r="C50" s="402">
        <f t="shared" si="9"/>
        <v>62324</v>
      </c>
      <c r="D50" s="1656">
        <f t="shared" si="9"/>
        <v>52791</v>
      </c>
      <c r="E50" s="1657">
        <f t="shared" si="9"/>
        <v>9533</v>
      </c>
      <c r="F50" s="403">
        <f t="shared" si="1"/>
        <v>59769</v>
      </c>
      <c r="G50" s="1658">
        <v>50633</v>
      </c>
      <c r="H50" s="1658">
        <v>9136</v>
      </c>
      <c r="I50" s="1659">
        <f t="shared" si="2"/>
        <v>2204</v>
      </c>
      <c r="J50" s="1658">
        <v>1812</v>
      </c>
      <c r="K50" s="1660">
        <v>392</v>
      </c>
      <c r="L50" s="1661">
        <f t="shared" si="3"/>
        <v>351</v>
      </c>
      <c r="M50" s="1658">
        <v>346</v>
      </c>
      <c r="N50" s="1662">
        <v>5</v>
      </c>
      <c r="O50" s="1663">
        <f t="shared" si="5"/>
        <v>42294</v>
      </c>
      <c r="P50" s="1664">
        <f t="shared" si="4"/>
        <v>35957</v>
      </c>
      <c r="Q50" s="1665">
        <f t="shared" si="4"/>
        <v>6337</v>
      </c>
      <c r="R50" s="1663">
        <f t="shared" si="6"/>
        <v>42291</v>
      </c>
      <c r="S50" s="1664">
        <v>35954</v>
      </c>
      <c r="T50" s="1665">
        <v>6337</v>
      </c>
      <c r="U50" s="1663">
        <f t="shared" si="7"/>
        <v>3</v>
      </c>
      <c r="V50" s="1664">
        <v>3</v>
      </c>
      <c r="W50" s="1665">
        <v>0</v>
      </c>
    </row>
    <row r="51" spans="1:23" ht="21.75" customHeight="1">
      <c r="A51" s="405">
        <f t="shared" si="8"/>
        <v>43</v>
      </c>
      <c r="B51" s="1655" t="s">
        <v>240</v>
      </c>
      <c r="C51" s="402">
        <f t="shared" si="9"/>
        <v>12818</v>
      </c>
      <c r="D51" s="1656">
        <f t="shared" si="9"/>
        <v>9679</v>
      </c>
      <c r="E51" s="1657">
        <f t="shared" si="9"/>
        <v>3139</v>
      </c>
      <c r="F51" s="403">
        <f t="shared" si="1"/>
        <v>12170</v>
      </c>
      <c r="G51" s="1658">
        <v>9237</v>
      </c>
      <c r="H51" s="1658">
        <v>2933</v>
      </c>
      <c r="I51" s="1666">
        <f t="shared" si="2"/>
        <v>475</v>
      </c>
      <c r="J51" s="1658">
        <v>273</v>
      </c>
      <c r="K51" s="1660">
        <v>202</v>
      </c>
      <c r="L51" s="1661">
        <f t="shared" si="3"/>
        <v>173</v>
      </c>
      <c r="M51" s="1658">
        <v>169</v>
      </c>
      <c r="N51" s="1662">
        <v>4</v>
      </c>
      <c r="O51" s="1663">
        <f t="shared" si="5"/>
        <v>7027</v>
      </c>
      <c r="P51" s="1664">
        <f t="shared" si="4"/>
        <v>5348</v>
      </c>
      <c r="Q51" s="1665">
        <f t="shared" si="4"/>
        <v>1679</v>
      </c>
      <c r="R51" s="1663">
        <f t="shared" si="6"/>
        <v>7012</v>
      </c>
      <c r="S51" s="1664">
        <v>5340</v>
      </c>
      <c r="T51" s="1665">
        <v>1672</v>
      </c>
      <c r="U51" s="1663">
        <f t="shared" si="7"/>
        <v>15</v>
      </c>
      <c r="V51" s="1664">
        <v>8</v>
      </c>
      <c r="W51" s="1665">
        <v>7</v>
      </c>
    </row>
    <row r="52" spans="1:23" ht="21.75" customHeight="1">
      <c r="A52" s="405">
        <f t="shared" si="8"/>
        <v>44</v>
      </c>
      <c r="B52" s="1655" t="s">
        <v>241</v>
      </c>
      <c r="C52" s="402">
        <f t="shared" si="9"/>
        <v>15890</v>
      </c>
      <c r="D52" s="1656">
        <f t="shared" si="9"/>
        <v>13120</v>
      </c>
      <c r="E52" s="1657">
        <f t="shared" si="9"/>
        <v>2770</v>
      </c>
      <c r="F52" s="403">
        <f t="shared" si="1"/>
        <v>15274</v>
      </c>
      <c r="G52" s="1658">
        <v>12622</v>
      </c>
      <c r="H52" s="1658">
        <v>2652</v>
      </c>
      <c r="I52" s="1666">
        <f t="shared" si="2"/>
        <v>335</v>
      </c>
      <c r="J52" s="1658">
        <v>219</v>
      </c>
      <c r="K52" s="1660">
        <v>116</v>
      </c>
      <c r="L52" s="1661">
        <f t="shared" si="3"/>
        <v>281</v>
      </c>
      <c r="M52" s="1658">
        <v>279</v>
      </c>
      <c r="N52" s="1662">
        <v>2</v>
      </c>
      <c r="O52" s="1663">
        <f t="shared" si="5"/>
        <v>12493</v>
      </c>
      <c r="P52" s="1664">
        <f t="shared" si="4"/>
        <v>10467</v>
      </c>
      <c r="Q52" s="1665">
        <f t="shared" si="4"/>
        <v>2026</v>
      </c>
      <c r="R52" s="1663">
        <f t="shared" si="6"/>
        <v>12486</v>
      </c>
      <c r="S52" s="1664">
        <v>10464</v>
      </c>
      <c r="T52" s="1665">
        <v>2022</v>
      </c>
      <c r="U52" s="1663">
        <f t="shared" si="7"/>
        <v>7</v>
      </c>
      <c r="V52" s="1664">
        <v>3</v>
      </c>
      <c r="W52" s="1665">
        <v>4</v>
      </c>
    </row>
    <row r="53" spans="1:23" ht="21.75" customHeight="1">
      <c r="A53" s="405">
        <f t="shared" si="8"/>
        <v>45</v>
      </c>
      <c r="B53" s="1669" t="s">
        <v>242</v>
      </c>
      <c r="C53" s="402">
        <f t="shared" si="9"/>
        <v>39510</v>
      </c>
      <c r="D53" s="1656">
        <f t="shared" si="9"/>
        <v>31098</v>
      </c>
      <c r="E53" s="1657">
        <f t="shared" si="9"/>
        <v>8412</v>
      </c>
      <c r="F53" s="403">
        <f t="shared" si="1"/>
        <v>38183</v>
      </c>
      <c r="G53" s="1658">
        <v>30212</v>
      </c>
      <c r="H53" s="1658">
        <v>7971</v>
      </c>
      <c r="I53" s="1659">
        <f t="shared" si="2"/>
        <v>904</v>
      </c>
      <c r="J53" s="1658">
        <v>469</v>
      </c>
      <c r="K53" s="1660">
        <v>435</v>
      </c>
      <c r="L53" s="1661">
        <f t="shared" si="3"/>
        <v>423</v>
      </c>
      <c r="M53" s="1658">
        <v>417</v>
      </c>
      <c r="N53" s="1662">
        <v>6</v>
      </c>
      <c r="O53" s="1663">
        <f t="shared" si="5"/>
        <v>33097</v>
      </c>
      <c r="P53" s="1664">
        <f t="shared" si="4"/>
        <v>27516</v>
      </c>
      <c r="Q53" s="1665">
        <f t="shared" si="4"/>
        <v>5581</v>
      </c>
      <c r="R53" s="1663">
        <f t="shared" si="6"/>
        <v>33087</v>
      </c>
      <c r="S53" s="1664">
        <v>27516</v>
      </c>
      <c r="T53" s="1665">
        <v>5571</v>
      </c>
      <c r="U53" s="1663">
        <f t="shared" si="7"/>
        <v>10</v>
      </c>
      <c r="V53" s="1664">
        <v>0</v>
      </c>
      <c r="W53" s="1665">
        <v>10</v>
      </c>
    </row>
    <row r="54" spans="1:23" ht="21.75" customHeight="1">
      <c r="A54" s="405">
        <f t="shared" si="8"/>
        <v>46</v>
      </c>
      <c r="B54" s="1669" t="s">
        <v>243</v>
      </c>
      <c r="C54" s="402">
        <f t="shared" si="9"/>
        <v>23402</v>
      </c>
      <c r="D54" s="1656">
        <f t="shared" si="9"/>
        <v>19436</v>
      </c>
      <c r="E54" s="1657">
        <f t="shared" si="9"/>
        <v>3966</v>
      </c>
      <c r="F54" s="403">
        <f t="shared" si="1"/>
        <v>22613</v>
      </c>
      <c r="G54" s="1658">
        <v>18771</v>
      </c>
      <c r="H54" s="1658">
        <v>3842</v>
      </c>
      <c r="I54" s="1659">
        <f t="shared" si="2"/>
        <v>573</v>
      </c>
      <c r="J54" s="1658">
        <v>450</v>
      </c>
      <c r="K54" s="1660">
        <v>123</v>
      </c>
      <c r="L54" s="1661">
        <f t="shared" si="3"/>
        <v>216</v>
      </c>
      <c r="M54" s="1658">
        <v>215</v>
      </c>
      <c r="N54" s="1662">
        <v>1</v>
      </c>
      <c r="O54" s="1663">
        <f t="shared" si="5"/>
        <v>10027</v>
      </c>
      <c r="P54" s="1664">
        <f t="shared" si="4"/>
        <v>8679</v>
      </c>
      <c r="Q54" s="1665">
        <f t="shared" si="4"/>
        <v>1348</v>
      </c>
      <c r="R54" s="1663">
        <f t="shared" si="6"/>
        <v>10027</v>
      </c>
      <c r="S54" s="1664">
        <v>8679</v>
      </c>
      <c r="T54" s="1665">
        <v>1348</v>
      </c>
      <c r="U54" s="1663">
        <f t="shared" si="7"/>
        <v>0</v>
      </c>
      <c r="V54" s="1664">
        <v>0</v>
      </c>
      <c r="W54" s="1665">
        <v>0</v>
      </c>
    </row>
    <row r="55" spans="1:23" ht="21.75" customHeight="1">
      <c r="A55" s="405">
        <f t="shared" si="8"/>
        <v>47</v>
      </c>
      <c r="B55" s="1669" t="s">
        <v>244</v>
      </c>
      <c r="C55" s="402">
        <f t="shared" si="9"/>
        <v>10380</v>
      </c>
      <c r="D55" s="1656">
        <f t="shared" si="9"/>
        <v>8895</v>
      </c>
      <c r="E55" s="1657">
        <f t="shared" si="9"/>
        <v>1485</v>
      </c>
      <c r="F55" s="403">
        <f t="shared" si="1"/>
        <v>9957</v>
      </c>
      <c r="G55" s="1658">
        <v>8483</v>
      </c>
      <c r="H55" s="1658">
        <v>1474</v>
      </c>
      <c r="I55" s="1659">
        <f t="shared" si="2"/>
        <v>87</v>
      </c>
      <c r="J55" s="1658">
        <v>79</v>
      </c>
      <c r="K55" s="1660">
        <v>8</v>
      </c>
      <c r="L55" s="1661">
        <f t="shared" si="3"/>
        <v>336</v>
      </c>
      <c r="M55" s="1658">
        <v>333</v>
      </c>
      <c r="N55" s="1662">
        <v>3</v>
      </c>
      <c r="O55" s="1663">
        <f t="shared" si="5"/>
        <v>7618</v>
      </c>
      <c r="P55" s="1664">
        <f t="shared" si="4"/>
        <v>6888</v>
      </c>
      <c r="Q55" s="1665">
        <f t="shared" si="4"/>
        <v>730</v>
      </c>
      <c r="R55" s="1663">
        <f t="shared" si="6"/>
        <v>7618</v>
      </c>
      <c r="S55" s="1664">
        <v>6888</v>
      </c>
      <c r="T55" s="1665">
        <v>730</v>
      </c>
      <c r="U55" s="1663">
        <f t="shared" si="7"/>
        <v>0</v>
      </c>
      <c r="V55" s="1664">
        <v>0</v>
      </c>
      <c r="W55" s="1665">
        <v>0</v>
      </c>
    </row>
    <row r="56" spans="1:23" ht="21.75" customHeight="1">
      <c r="A56" s="405">
        <f t="shared" si="8"/>
        <v>48</v>
      </c>
      <c r="B56" s="1669" t="s">
        <v>491</v>
      </c>
      <c r="C56" s="402">
        <f t="shared" si="9"/>
        <v>36954</v>
      </c>
      <c r="D56" s="1656">
        <f t="shared" si="9"/>
        <v>27442</v>
      </c>
      <c r="E56" s="1657">
        <f t="shared" si="9"/>
        <v>9512</v>
      </c>
      <c r="F56" s="403">
        <f t="shared" si="1"/>
        <v>36143</v>
      </c>
      <c r="G56" s="1658">
        <v>27029</v>
      </c>
      <c r="H56" s="1658">
        <v>9114</v>
      </c>
      <c r="I56" s="1659">
        <f t="shared" si="2"/>
        <v>740</v>
      </c>
      <c r="J56" s="1658">
        <v>347</v>
      </c>
      <c r="K56" s="1660">
        <v>393</v>
      </c>
      <c r="L56" s="1661">
        <f t="shared" si="3"/>
        <v>71</v>
      </c>
      <c r="M56" s="1658">
        <v>66</v>
      </c>
      <c r="N56" s="1662">
        <v>5</v>
      </c>
      <c r="O56" s="1663">
        <f t="shared" si="5"/>
        <v>8706</v>
      </c>
      <c r="P56" s="1664">
        <f t="shared" si="4"/>
        <v>6789</v>
      </c>
      <c r="Q56" s="1665">
        <f t="shared" si="4"/>
        <v>1917</v>
      </c>
      <c r="R56" s="1663">
        <f t="shared" si="6"/>
        <v>8705</v>
      </c>
      <c r="S56" s="1664">
        <v>6789</v>
      </c>
      <c r="T56" s="1665">
        <v>1916</v>
      </c>
      <c r="U56" s="1663">
        <f t="shared" si="7"/>
        <v>1</v>
      </c>
      <c r="V56" s="1664">
        <v>0</v>
      </c>
      <c r="W56" s="1665">
        <v>1</v>
      </c>
    </row>
    <row r="57" spans="1:23" ht="21.75" customHeight="1">
      <c r="A57" s="405">
        <f t="shared" si="8"/>
        <v>49</v>
      </c>
      <c r="B57" s="1669" t="s">
        <v>492</v>
      </c>
      <c r="C57" s="402">
        <f t="shared" si="9"/>
        <v>4452</v>
      </c>
      <c r="D57" s="1656">
        <f t="shared" si="9"/>
        <v>3946</v>
      </c>
      <c r="E57" s="1657">
        <f t="shared" si="9"/>
        <v>506</v>
      </c>
      <c r="F57" s="403">
        <f t="shared" si="1"/>
        <v>4063</v>
      </c>
      <c r="G57" s="1658">
        <v>3594</v>
      </c>
      <c r="H57" s="1658">
        <v>469</v>
      </c>
      <c r="I57" s="1659">
        <f t="shared" si="2"/>
        <v>63</v>
      </c>
      <c r="J57" s="1658">
        <v>26</v>
      </c>
      <c r="K57" s="1660">
        <v>37</v>
      </c>
      <c r="L57" s="1661">
        <f t="shared" si="3"/>
        <v>326</v>
      </c>
      <c r="M57" s="1658">
        <v>326</v>
      </c>
      <c r="N57" s="1662">
        <v>0</v>
      </c>
      <c r="O57" s="1663">
        <f t="shared" si="5"/>
        <v>2239</v>
      </c>
      <c r="P57" s="1664">
        <f t="shared" si="4"/>
        <v>2096</v>
      </c>
      <c r="Q57" s="1665">
        <f t="shared" si="4"/>
        <v>143</v>
      </c>
      <c r="R57" s="1663">
        <f t="shared" si="6"/>
        <v>2239</v>
      </c>
      <c r="S57" s="1664">
        <v>2096</v>
      </c>
      <c r="T57" s="1665">
        <v>143</v>
      </c>
      <c r="U57" s="1663">
        <f t="shared" si="7"/>
        <v>0</v>
      </c>
      <c r="V57" s="1664">
        <v>0</v>
      </c>
      <c r="W57" s="1665">
        <v>0</v>
      </c>
    </row>
    <row r="58" spans="1:23" ht="21.75" customHeight="1">
      <c r="A58" s="405">
        <f t="shared" si="8"/>
        <v>50</v>
      </c>
      <c r="B58" s="1669" t="s">
        <v>493</v>
      </c>
      <c r="C58" s="402">
        <f t="shared" si="9"/>
        <v>9544</v>
      </c>
      <c r="D58" s="1656">
        <f t="shared" si="9"/>
        <v>7984</v>
      </c>
      <c r="E58" s="1657">
        <f t="shared" si="9"/>
        <v>1560</v>
      </c>
      <c r="F58" s="403">
        <f t="shared" si="1"/>
        <v>9131</v>
      </c>
      <c r="G58" s="1658">
        <v>7657</v>
      </c>
      <c r="H58" s="1658">
        <v>1474</v>
      </c>
      <c r="I58" s="1659">
        <f t="shared" si="2"/>
        <v>358</v>
      </c>
      <c r="J58" s="1658">
        <v>273</v>
      </c>
      <c r="K58" s="1660">
        <v>85</v>
      </c>
      <c r="L58" s="1661">
        <f t="shared" si="3"/>
        <v>55</v>
      </c>
      <c r="M58" s="1658">
        <v>54</v>
      </c>
      <c r="N58" s="1662">
        <v>1</v>
      </c>
      <c r="O58" s="1663">
        <f t="shared" si="5"/>
        <v>7898</v>
      </c>
      <c r="P58" s="1664">
        <f t="shared" si="4"/>
        <v>6626</v>
      </c>
      <c r="Q58" s="1665">
        <f t="shared" si="4"/>
        <v>1272</v>
      </c>
      <c r="R58" s="1663">
        <f t="shared" si="6"/>
        <v>7898</v>
      </c>
      <c r="S58" s="1664">
        <v>6626</v>
      </c>
      <c r="T58" s="1665">
        <v>1272</v>
      </c>
      <c r="U58" s="1663">
        <f t="shared" si="7"/>
        <v>0</v>
      </c>
      <c r="V58" s="1664">
        <v>0</v>
      </c>
      <c r="W58" s="1665">
        <v>0</v>
      </c>
    </row>
    <row r="59" spans="1:23" ht="21.75" customHeight="1">
      <c r="A59" s="405">
        <f t="shared" si="8"/>
        <v>51</v>
      </c>
      <c r="B59" s="1669" t="s">
        <v>494</v>
      </c>
      <c r="C59" s="402">
        <f t="shared" si="9"/>
        <v>9026</v>
      </c>
      <c r="D59" s="1656">
        <f t="shared" si="9"/>
        <v>7550</v>
      </c>
      <c r="E59" s="1657">
        <f t="shared" si="9"/>
        <v>1476</v>
      </c>
      <c r="F59" s="403">
        <f t="shared" si="1"/>
        <v>8556</v>
      </c>
      <c r="G59" s="1658">
        <v>7156</v>
      </c>
      <c r="H59" s="1658">
        <v>1400</v>
      </c>
      <c r="I59" s="1659">
        <f t="shared" si="2"/>
        <v>372</v>
      </c>
      <c r="J59" s="1658">
        <v>300</v>
      </c>
      <c r="K59" s="1660">
        <v>72</v>
      </c>
      <c r="L59" s="1661">
        <f t="shared" si="3"/>
        <v>98</v>
      </c>
      <c r="M59" s="1658">
        <v>94</v>
      </c>
      <c r="N59" s="1662">
        <v>4</v>
      </c>
      <c r="O59" s="1663">
        <f t="shared" si="5"/>
        <v>12741</v>
      </c>
      <c r="P59" s="1664">
        <f t="shared" si="4"/>
        <v>11444</v>
      </c>
      <c r="Q59" s="1665">
        <f t="shared" si="4"/>
        <v>1297</v>
      </c>
      <c r="R59" s="1663">
        <f t="shared" si="6"/>
        <v>12738</v>
      </c>
      <c r="S59" s="1664">
        <v>11443</v>
      </c>
      <c r="T59" s="1665">
        <v>1295</v>
      </c>
      <c r="U59" s="1663">
        <f t="shared" si="7"/>
        <v>3</v>
      </c>
      <c r="V59" s="1664">
        <v>1</v>
      </c>
      <c r="W59" s="1665">
        <v>2</v>
      </c>
    </row>
    <row r="60" spans="1:23" ht="21.75" customHeight="1">
      <c r="A60" s="405">
        <f t="shared" si="8"/>
        <v>52</v>
      </c>
      <c r="B60" s="1669" t="s">
        <v>495</v>
      </c>
      <c r="C60" s="402">
        <f t="shared" si="9"/>
        <v>15813</v>
      </c>
      <c r="D60" s="1656">
        <f t="shared" si="9"/>
        <v>12724</v>
      </c>
      <c r="E60" s="1657">
        <f t="shared" si="9"/>
        <v>3089</v>
      </c>
      <c r="F60" s="403">
        <f t="shared" si="1"/>
        <v>15256</v>
      </c>
      <c r="G60" s="1658">
        <v>12350</v>
      </c>
      <c r="H60" s="1658">
        <v>2906</v>
      </c>
      <c r="I60" s="1659">
        <f t="shared" si="2"/>
        <v>422</v>
      </c>
      <c r="J60" s="1658">
        <v>244</v>
      </c>
      <c r="K60" s="1660">
        <v>178</v>
      </c>
      <c r="L60" s="1661">
        <f t="shared" si="3"/>
        <v>135</v>
      </c>
      <c r="M60" s="1658">
        <v>130</v>
      </c>
      <c r="N60" s="1662">
        <v>5</v>
      </c>
      <c r="O60" s="1663">
        <f t="shared" si="5"/>
        <v>10394</v>
      </c>
      <c r="P60" s="1664">
        <f t="shared" si="4"/>
        <v>8349</v>
      </c>
      <c r="Q60" s="1665">
        <f t="shared" si="4"/>
        <v>2045</v>
      </c>
      <c r="R60" s="1663">
        <f t="shared" si="6"/>
        <v>10383</v>
      </c>
      <c r="S60" s="1664">
        <v>8348</v>
      </c>
      <c r="T60" s="1665">
        <v>2035</v>
      </c>
      <c r="U60" s="1663">
        <f t="shared" si="7"/>
        <v>11</v>
      </c>
      <c r="V60" s="1664">
        <v>1</v>
      </c>
      <c r="W60" s="1665">
        <v>10</v>
      </c>
    </row>
    <row r="61" spans="1:23" ht="21.75" customHeight="1">
      <c r="A61" s="405">
        <f t="shared" si="8"/>
        <v>53</v>
      </c>
      <c r="B61" s="1669" t="s">
        <v>496</v>
      </c>
      <c r="C61" s="402">
        <f t="shared" si="9"/>
        <v>7704</v>
      </c>
      <c r="D61" s="1656">
        <f t="shared" si="9"/>
        <v>6339</v>
      </c>
      <c r="E61" s="1657">
        <f t="shared" si="9"/>
        <v>1365</v>
      </c>
      <c r="F61" s="403">
        <f t="shared" si="1"/>
        <v>7350</v>
      </c>
      <c r="G61" s="1658">
        <v>6091</v>
      </c>
      <c r="H61" s="1658">
        <v>1259</v>
      </c>
      <c r="I61" s="1659">
        <f t="shared" si="2"/>
        <v>286</v>
      </c>
      <c r="J61" s="1658">
        <v>180</v>
      </c>
      <c r="K61" s="1660">
        <v>106</v>
      </c>
      <c r="L61" s="1661">
        <f t="shared" si="3"/>
        <v>68</v>
      </c>
      <c r="M61" s="1658">
        <v>68</v>
      </c>
      <c r="N61" s="1662">
        <v>0</v>
      </c>
      <c r="O61" s="1663">
        <f t="shared" si="5"/>
        <v>8209</v>
      </c>
      <c r="P61" s="1664">
        <f t="shared" si="4"/>
        <v>4274</v>
      </c>
      <c r="Q61" s="1665">
        <f t="shared" si="4"/>
        <v>3935</v>
      </c>
      <c r="R61" s="1663">
        <f t="shared" si="6"/>
        <v>8195</v>
      </c>
      <c r="S61" s="1664">
        <v>4273</v>
      </c>
      <c r="T61" s="1665">
        <v>3922</v>
      </c>
      <c r="U61" s="1663">
        <f t="shared" si="7"/>
        <v>14</v>
      </c>
      <c r="V61" s="1664">
        <v>1</v>
      </c>
      <c r="W61" s="1665">
        <v>13</v>
      </c>
    </row>
    <row r="62" spans="1:23" ht="21.75" customHeight="1">
      <c r="A62" s="400">
        <f t="shared" si="8"/>
        <v>54</v>
      </c>
      <c r="B62" s="1655" t="s">
        <v>901</v>
      </c>
      <c r="C62" s="402">
        <f t="shared" si="9"/>
        <v>27036</v>
      </c>
      <c r="D62" s="1656">
        <f t="shared" si="9"/>
        <v>20735</v>
      </c>
      <c r="E62" s="1657">
        <f t="shared" si="9"/>
        <v>6301</v>
      </c>
      <c r="F62" s="403">
        <f t="shared" si="1"/>
        <v>25938</v>
      </c>
      <c r="G62" s="1658">
        <v>20091</v>
      </c>
      <c r="H62" s="1658">
        <v>5847</v>
      </c>
      <c r="I62" s="1659">
        <f t="shared" si="2"/>
        <v>977</v>
      </c>
      <c r="J62" s="1658">
        <v>523</v>
      </c>
      <c r="K62" s="1660">
        <v>454</v>
      </c>
      <c r="L62" s="1661">
        <f t="shared" si="3"/>
        <v>121</v>
      </c>
      <c r="M62" s="1658">
        <v>121</v>
      </c>
      <c r="N62" s="1662">
        <v>0</v>
      </c>
      <c r="O62" s="1663">
        <f t="shared" si="5"/>
        <v>9134</v>
      </c>
      <c r="P62" s="1664">
        <f t="shared" si="4"/>
        <v>7518</v>
      </c>
      <c r="Q62" s="1665">
        <f t="shared" si="4"/>
        <v>1616</v>
      </c>
      <c r="R62" s="1663">
        <f t="shared" si="6"/>
        <v>9131</v>
      </c>
      <c r="S62" s="1664">
        <v>7517</v>
      </c>
      <c r="T62" s="1665">
        <v>1614</v>
      </c>
      <c r="U62" s="1663">
        <f t="shared" si="7"/>
        <v>3</v>
      </c>
      <c r="V62" s="1664">
        <v>1</v>
      </c>
      <c r="W62" s="1665">
        <v>2</v>
      </c>
    </row>
    <row r="63" spans="1:23" ht="21.75" customHeight="1">
      <c r="A63" s="400">
        <f t="shared" si="8"/>
        <v>55</v>
      </c>
      <c r="B63" s="1655" t="s">
        <v>902</v>
      </c>
      <c r="C63" s="402">
        <f t="shared" si="9"/>
        <v>31727</v>
      </c>
      <c r="D63" s="1656">
        <f t="shared" si="9"/>
        <v>23334</v>
      </c>
      <c r="E63" s="1657">
        <f t="shared" si="9"/>
        <v>8393</v>
      </c>
      <c r="F63" s="403">
        <f t="shared" si="1"/>
        <v>29423</v>
      </c>
      <c r="G63" s="1658">
        <v>22085</v>
      </c>
      <c r="H63" s="1658">
        <v>7338</v>
      </c>
      <c r="I63" s="1659">
        <f t="shared" si="2"/>
        <v>2051</v>
      </c>
      <c r="J63" s="1658">
        <v>1001</v>
      </c>
      <c r="K63" s="1660">
        <v>1050</v>
      </c>
      <c r="L63" s="1661">
        <f t="shared" si="3"/>
        <v>253</v>
      </c>
      <c r="M63" s="1658">
        <v>248</v>
      </c>
      <c r="N63" s="1662">
        <v>5</v>
      </c>
      <c r="O63" s="1663">
        <f t="shared" si="5"/>
        <v>21129</v>
      </c>
      <c r="P63" s="1664">
        <f t="shared" si="4"/>
        <v>16523</v>
      </c>
      <c r="Q63" s="1665">
        <f t="shared" si="4"/>
        <v>4606</v>
      </c>
      <c r="R63" s="1663">
        <f t="shared" si="6"/>
        <v>21121</v>
      </c>
      <c r="S63" s="1664">
        <v>16523</v>
      </c>
      <c r="T63" s="1665">
        <v>4598</v>
      </c>
      <c r="U63" s="1663">
        <f t="shared" si="7"/>
        <v>8</v>
      </c>
      <c r="V63" s="1664">
        <v>0</v>
      </c>
      <c r="W63" s="1665">
        <v>8</v>
      </c>
    </row>
    <row r="64" spans="1:23" ht="21.75" customHeight="1">
      <c r="A64" s="400">
        <f t="shared" si="8"/>
        <v>56</v>
      </c>
      <c r="B64" s="1655" t="s">
        <v>642</v>
      </c>
      <c r="C64" s="402">
        <f t="shared" si="9"/>
        <v>3517</v>
      </c>
      <c r="D64" s="1656">
        <f t="shared" si="9"/>
        <v>3265</v>
      </c>
      <c r="E64" s="1657">
        <f t="shared" si="9"/>
        <v>252</v>
      </c>
      <c r="F64" s="403">
        <f t="shared" si="1"/>
        <v>3271</v>
      </c>
      <c r="G64" s="1658">
        <v>3023</v>
      </c>
      <c r="H64" s="1658">
        <v>248</v>
      </c>
      <c r="I64" s="1659">
        <f t="shared" si="2"/>
        <v>81</v>
      </c>
      <c r="J64" s="1658">
        <v>78</v>
      </c>
      <c r="K64" s="1660">
        <v>3</v>
      </c>
      <c r="L64" s="1661">
        <f t="shared" si="3"/>
        <v>165</v>
      </c>
      <c r="M64" s="1658">
        <v>164</v>
      </c>
      <c r="N64" s="1662">
        <v>1</v>
      </c>
      <c r="O64" s="1663">
        <f t="shared" si="5"/>
        <v>1784</v>
      </c>
      <c r="P64" s="1664">
        <f t="shared" si="4"/>
        <v>1723</v>
      </c>
      <c r="Q64" s="1665">
        <f t="shared" si="4"/>
        <v>61</v>
      </c>
      <c r="R64" s="1663">
        <f t="shared" si="6"/>
        <v>1784</v>
      </c>
      <c r="S64" s="1664">
        <v>1723</v>
      </c>
      <c r="T64" s="1665">
        <v>61</v>
      </c>
      <c r="U64" s="1663">
        <f t="shared" si="7"/>
        <v>0</v>
      </c>
      <c r="V64" s="1664">
        <v>0</v>
      </c>
      <c r="W64" s="1665">
        <v>0</v>
      </c>
    </row>
    <row r="65" spans="1:23" ht="21.75" customHeight="1">
      <c r="A65" s="400">
        <f t="shared" si="8"/>
        <v>57</v>
      </c>
      <c r="B65" s="1655" t="s">
        <v>109</v>
      </c>
      <c r="C65" s="402">
        <f t="shared" si="9"/>
        <v>5066</v>
      </c>
      <c r="D65" s="1656">
        <f t="shared" si="9"/>
        <v>3632</v>
      </c>
      <c r="E65" s="1657">
        <f t="shared" si="9"/>
        <v>1434</v>
      </c>
      <c r="F65" s="403">
        <f t="shared" si="1"/>
        <v>4466</v>
      </c>
      <c r="G65" s="1658">
        <v>3327</v>
      </c>
      <c r="H65" s="1658">
        <v>1139</v>
      </c>
      <c r="I65" s="1666">
        <f t="shared" si="2"/>
        <v>487</v>
      </c>
      <c r="J65" s="1658">
        <v>192</v>
      </c>
      <c r="K65" s="1660">
        <v>295</v>
      </c>
      <c r="L65" s="1661">
        <f t="shared" si="3"/>
        <v>113</v>
      </c>
      <c r="M65" s="1658">
        <v>113</v>
      </c>
      <c r="N65" s="1662">
        <v>0</v>
      </c>
      <c r="O65" s="1663">
        <f t="shared" si="5"/>
        <v>3258</v>
      </c>
      <c r="P65" s="1664">
        <f t="shared" si="4"/>
        <v>2650</v>
      </c>
      <c r="Q65" s="1665">
        <f t="shared" si="4"/>
        <v>608</v>
      </c>
      <c r="R65" s="1663">
        <f t="shared" si="6"/>
        <v>3254</v>
      </c>
      <c r="S65" s="1664">
        <v>2650</v>
      </c>
      <c r="T65" s="1665">
        <v>604</v>
      </c>
      <c r="U65" s="1663">
        <f t="shared" si="7"/>
        <v>4</v>
      </c>
      <c r="V65" s="1664">
        <v>0</v>
      </c>
      <c r="W65" s="1665">
        <v>4</v>
      </c>
    </row>
    <row r="66" spans="1:23" ht="21.75" customHeight="1">
      <c r="A66" s="400">
        <f>+A65+1</f>
        <v>58</v>
      </c>
      <c r="B66" s="1655" t="s">
        <v>110</v>
      </c>
      <c r="C66" s="402">
        <f t="shared" si="9"/>
        <v>13030</v>
      </c>
      <c r="D66" s="1656">
        <f t="shared" si="9"/>
        <v>10709</v>
      </c>
      <c r="E66" s="1657">
        <f t="shared" si="9"/>
        <v>2321</v>
      </c>
      <c r="F66" s="403">
        <f t="shared" si="1"/>
        <v>11512</v>
      </c>
      <c r="G66" s="1658">
        <v>9390</v>
      </c>
      <c r="H66" s="1658">
        <v>2122</v>
      </c>
      <c r="I66" s="1659">
        <f t="shared" si="2"/>
        <v>950</v>
      </c>
      <c r="J66" s="1658">
        <v>754</v>
      </c>
      <c r="K66" s="1660">
        <v>196</v>
      </c>
      <c r="L66" s="1661">
        <f t="shared" si="3"/>
        <v>568</v>
      </c>
      <c r="M66" s="1658">
        <v>565</v>
      </c>
      <c r="N66" s="1662">
        <v>3</v>
      </c>
      <c r="O66" s="1663">
        <f t="shared" si="5"/>
        <v>13166</v>
      </c>
      <c r="P66" s="1664">
        <f t="shared" si="4"/>
        <v>11291</v>
      </c>
      <c r="Q66" s="1665">
        <f t="shared" si="4"/>
        <v>1875</v>
      </c>
      <c r="R66" s="1663">
        <f t="shared" si="6"/>
        <v>13162</v>
      </c>
      <c r="S66" s="1664">
        <v>11290</v>
      </c>
      <c r="T66" s="1665">
        <v>1872</v>
      </c>
      <c r="U66" s="1663">
        <f t="shared" si="7"/>
        <v>4</v>
      </c>
      <c r="V66" s="1664">
        <v>1</v>
      </c>
      <c r="W66" s="1665">
        <v>3</v>
      </c>
    </row>
    <row r="67" spans="1:23" ht="21.75" customHeight="1">
      <c r="A67" s="400">
        <f>+A66+1</f>
        <v>59</v>
      </c>
      <c r="B67" s="1655" t="s">
        <v>111</v>
      </c>
      <c r="C67" s="402">
        <f t="shared" si="9"/>
        <v>25152</v>
      </c>
      <c r="D67" s="1656">
        <f t="shared" si="9"/>
        <v>18398</v>
      </c>
      <c r="E67" s="1657">
        <f t="shared" si="9"/>
        <v>6754</v>
      </c>
      <c r="F67" s="403">
        <f t="shared" si="1"/>
        <v>24143</v>
      </c>
      <c r="G67" s="1658">
        <v>17978</v>
      </c>
      <c r="H67" s="1658">
        <v>6165</v>
      </c>
      <c r="I67" s="1659">
        <f t="shared" si="2"/>
        <v>921</v>
      </c>
      <c r="J67" s="1658">
        <v>338</v>
      </c>
      <c r="K67" s="1660">
        <v>583</v>
      </c>
      <c r="L67" s="1661">
        <f t="shared" si="3"/>
        <v>88</v>
      </c>
      <c r="M67" s="1658">
        <v>82</v>
      </c>
      <c r="N67" s="1662">
        <v>6</v>
      </c>
      <c r="O67" s="1663">
        <f t="shared" si="5"/>
        <v>7221</v>
      </c>
      <c r="P67" s="1664">
        <f t="shared" si="4"/>
        <v>5578</v>
      </c>
      <c r="Q67" s="1665">
        <f t="shared" si="4"/>
        <v>1643</v>
      </c>
      <c r="R67" s="1663">
        <f t="shared" si="6"/>
        <v>7212</v>
      </c>
      <c r="S67" s="1664">
        <v>5572</v>
      </c>
      <c r="T67" s="1665">
        <v>1640</v>
      </c>
      <c r="U67" s="1663">
        <f t="shared" si="7"/>
        <v>9</v>
      </c>
      <c r="V67" s="1664">
        <v>6</v>
      </c>
      <c r="W67" s="1665">
        <v>3</v>
      </c>
    </row>
    <row r="68" spans="1:23" ht="21.75" customHeight="1">
      <c r="A68" s="400">
        <f t="shared" ref="A68:A89" si="10">+A67+1</f>
        <v>60</v>
      </c>
      <c r="B68" s="1655" t="s">
        <v>528</v>
      </c>
      <c r="C68" s="402">
        <f t="shared" si="9"/>
        <v>13229</v>
      </c>
      <c r="D68" s="1656">
        <f t="shared" si="9"/>
        <v>10613</v>
      </c>
      <c r="E68" s="1657">
        <f t="shared" si="9"/>
        <v>2616</v>
      </c>
      <c r="F68" s="403">
        <f t="shared" si="1"/>
        <v>12150</v>
      </c>
      <c r="G68" s="1658">
        <v>9704</v>
      </c>
      <c r="H68" s="1658">
        <v>2446</v>
      </c>
      <c r="I68" s="1659">
        <f t="shared" si="2"/>
        <v>731</v>
      </c>
      <c r="J68" s="1658">
        <v>564</v>
      </c>
      <c r="K68" s="1660">
        <v>167</v>
      </c>
      <c r="L68" s="1661">
        <f t="shared" si="3"/>
        <v>348</v>
      </c>
      <c r="M68" s="1658">
        <v>345</v>
      </c>
      <c r="N68" s="1662">
        <v>3</v>
      </c>
      <c r="O68" s="1663">
        <f t="shared" si="5"/>
        <v>9465</v>
      </c>
      <c r="P68" s="1664">
        <f t="shared" si="4"/>
        <v>8402</v>
      </c>
      <c r="Q68" s="1665">
        <f t="shared" si="4"/>
        <v>1063</v>
      </c>
      <c r="R68" s="1663">
        <f t="shared" si="6"/>
        <v>9463</v>
      </c>
      <c r="S68" s="1664">
        <v>8400</v>
      </c>
      <c r="T68" s="1665">
        <v>1063</v>
      </c>
      <c r="U68" s="1663">
        <f t="shared" si="7"/>
        <v>2</v>
      </c>
      <c r="V68" s="1664">
        <v>2</v>
      </c>
      <c r="W68" s="1665">
        <v>0</v>
      </c>
    </row>
    <row r="69" spans="1:23" ht="21.75" customHeight="1">
      <c r="A69" s="400">
        <f t="shared" si="10"/>
        <v>61</v>
      </c>
      <c r="B69" s="1655" t="s">
        <v>529</v>
      </c>
      <c r="C69" s="402">
        <f t="shared" si="9"/>
        <v>18667</v>
      </c>
      <c r="D69" s="1656">
        <f t="shared" si="9"/>
        <v>14812</v>
      </c>
      <c r="E69" s="1657">
        <f t="shared" si="9"/>
        <v>3855</v>
      </c>
      <c r="F69" s="403">
        <f t="shared" si="1"/>
        <v>17925</v>
      </c>
      <c r="G69" s="1658">
        <v>14385</v>
      </c>
      <c r="H69" s="1658">
        <v>3540</v>
      </c>
      <c r="I69" s="1659">
        <f t="shared" si="2"/>
        <v>665</v>
      </c>
      <c r="J69" s="1658">
        <v>351</v>
      </c>
      <c r="K69" s="1660">
        <v>314</v>
      </c>
      <c r="L69" s="1661">
        <f t="shared" si="3"/>
        <v>77</v>
      </c>
      <c r="M69" s="1658">
        <v>76</v>
      </c>
      <c r="N69" s="1662">
        <v>1</v>
      </c>
      <c r="O69" s="1663">
        <f t="shared" si="5"/>
        <v>5118</v>
      </c>
      <c r="P69" s="1664">
        <f t="shared" si="4"/>
        <v>3417</v>
      </c>
      <c r="Q69" s="1665">
        <f t="shared" si="4"/>
        <v>1701</v>
      </c>
      <c r="R69" s="1663">
        <f t="shared" si="6"/>
        <v>5102</v>
      </c>
      <c r="S69" s="1664">
        <v>3417</v>
      </c>
      <c r="T69" s="1665">
        <v>1685</v>
      </c>
      <c r="U69" s="1663">
        <f t="shared" si="7"/>
        <v>16</v>
      </c>
      <c r="V69" s="1664">
        <v>0</v>
      </c>
      <c r="W69" s="1665">
        <v>16</v>
      </c>
    </row>
    <row r="70" spans="1:23" ht="21.75" customHeight="1">
      <c r="A70" s="400">
        <f t="shared" si="10"/>
        <v>62</v>
      </c>
      <c r="B70" s="1655" t="s">
        <v>530</v>
      </c>
      <c r="C70" s="402">
        <f t="shared" si="9"/>
        <v>1937</v>
      </c>
      <c r="D70" s="1656">
        <f t="shared" si="9"/>
        <v>1612</v>
      </c>
      <c r="E70" s="1657">
        <f t="shared" si="9"/>
        <v>325</v>
      </c>
      <c r="F70" s="403">
        <f t="shared" si="1"/>
        <v>1744</v>
      </c>
      <c r="G70" s="1658">
        <v>1426</v>
      </c>
      <c r="H70" s="1658">
        <v>318</v>
      </c>
      <c r="I70" s="1659">
        <f t="shared" si="2"/>
        <v>16</v>
      </c>
      <c r="J70" s="1658">
        <v>13</v>
      </c>
      <c r="K70" s="1660">
        <v>3</v>
      </c>
      <c r="L70" s="1661">
        <f t="shared" si="3"/>
        <v>177</v>
      </c>
      <c r="M70" s="1658">
        <v>173</v>
      </c>
      <c r="N70" s="1662">
        <v>4</v>
      </c>
      <c r="O70" s="1663">
        <f t="shared" si="5"/>
        <v>1080</v>
      </c>
      <c r="P70" s="1664">
        <f t="shared" si="4"/>
        <v>1000</v>
      </c>
      <c r="Q70" s="1665">
        <f t="shared" si="4"/>
        <v>80</v>
      </c>
      <c r="R70" s="1663">
        <f t="shared" si="6"/>
        <v>1080</v>
      </c>
      <c r="S70" s="1664">
        <v>1000</v>
      </c>
      <c r="T70" s="1665">
        <v>80</v>
      </c>
      <c r="U70" s="1663">
        <f t="shared" si="7"/>
        <v>0</v>
      </c>
      <c r="V70" s="1664">
        <v>0</v>
      </c>
      <c r="W70" s="1665">
        <v>0</v>
      </c>
    </row>
    <row r="71" spans="1:23" ht="21.75" customHeight="1">
      <c r="A71" s="400">
        <f t="shared" si="10"/>
        <v>63</v>
      </c>
      <c r="B71" s="1655" t="s">
        <v>510</v>
      </c>
      <c r="C71" s="402">
        <f t="shared" si="9"/>
        <v>31244</v>
      </c>
      <c r="D71" s="1656">
        <f t="shared" si="9"/>
        <v>28109</v>
      </c>
      <c r="E71" s="1657">
        <f t="shared" si="9"/>
        <v>3135</v>
      </c>
      <c r="F71" s="403">
        <f t="shared" si="1"/>
        <v>30283</v>
      </c>
      <c r="G71" s="1658">
        <v>27176</v>
      </c>
      <c r="H71" s="1658">
        <v>3107</v>
      </c>
      <c r="I71" s="1666">
        <f t="shared" si="2"/>
        <v>267</v>
      </c>
      <c r="J71" s="1658">
        <v>241</v>
      </c>
      <c r="K71" s="1660">
        <v>26</v>
      </c>
      <c r="L71" s="1661">
        <f t="shared" si="3"/>
        <v>694</v>
      </c>
      <c r="M71" s="1658">
        <v>692</v>
      </c>
      <c r="N71" s="1662">
        <v>2</v>
      </c>
      <c r="O71" s="1663">
        <f t="shared" si="5"/>
        <v>19041</v>
      </c>
      <c r="P71" s="1664">
        <f t="shared" si="4"/>
        <v>17016</v>
      </c>
      <c r="Q71" s="1665">
        <f t="shared" si="4"/>
        <v>2025</v>
      </c>
      <c r="R71" s="1663">
        <f t="shared" si="6"/>
        <v>19041</v>
      </c>
      <c r="S71" s="1664">
        <v>17016</v>
      </c>
      <c r="T71" s="1665">
        <v>2025</v>
      </c>
      <c r="U71" s="1663">
        <f t="shared" si="7"/>
        <v>0</v>
      </c>
      <c r="V71" s="1664">
        <v>0</v>
      </c>
      <c r="W71" s="1665">
        <v>0</v>
      </c>
    </row>
    <row r="72" spans="1:23" ht="21.75" customHeight="1">
      <c r="A72" s="400">
        <f t="shared" si="10"/>
        <v>64</v>
      </c>
      <c r="B72" s="1655" t="s">
        <v>511</v>
      </c>
      <c r="C72" s="402">
        <f t="shared" si="9"/>
        <v>12156</v>
      </c>
      <c r="D72" s="1656">
        <f t="shared" si="9"/>
        <v>8458</v>
      </c>
      <c r="E72" s="1657">
        <f t="shared" si="9"/>
        <v>3698</v>
      </c>
      <c r="F72" s="403">
        <f t="shared" si="1"/>
        <v>11106</v>
      </c>
      <c r="G72" s="1658">
        <v>8006</v>
      </c>
      <c r="H72" s="1658">
        <v>3100</v>
      </c>
      <c r="I72" s="1659">
        <f t="shared" si="2"/>
        <v>959</v>
      </c>
      <c r="J72" s="1658">
        <v>362</v>
      </c>
      <c r="K72" s="1660">
        <v>597</v>
      </c>
      <c r="L72" s="1661">
        <f t="shared" si="3"/>
        <v>91</v>
      </c>
      <c r="M72" s="1658">
        <v>90</v>
      </c>
      <c r="N72" s="1662">
        <v>1</v>
      </c>
      <c r="O72" s="1663">
        <f t="shared" si="5"/>
        <v>7260</v>
      </c>
      <c r="P72" s="1664">
        <f t="shared" si="4"/>
        <v>5170</v>
      </c>
      <c r="Q72" s="1665">
        <f t="shared" si="4"/>
        <v>2090</v>
      </c>
      <c r="R72" s="1663">
        <f t="shared" si="6"/>
        <v>7237</v>
      </c>
      <c r="S72" s="1664">
        <v>5169</v>
      </c>
      <c r="T72" s="1665">
        <v>2068</v>
      </c>
      <c r="U72" s="1663">
        <f t="shared" si="7"/>
        <v>23</v>
      </c>
      <c r="V72" s="1664">
        <v>1</v>
      </c>
      <c r="W72" s="1665">
        <v>22</v>
      </c>
    </row>
    <row r="73" spans="1:23" ht="21.75" customHeight="1">
      <c r="A73" s="400">
        <f t="shared" si="10"/>
        <v>65</v>
      </c>
      <c r="B73" s="1655" t="s">
        <v>512</v>
      </c>
      <c r="C73" s="402">
        <f t="shared" ref="C73:E89" si="11">+F73+I73+L73</f>
        <v>13841</v>
      </c>
      <c r="D73" s="1656">
        <f t="shared" si="11"/>
        <v>12559</v>
      </c>
      <c r="E73" s="1657">
        <f t="shared" si="11"/>
        <v>1282</v>
      </c>
      <c r="F73" s="403">
        <f t="shared" si="1"/>
        <v>13211</v>
      </c>
      <c r="G73" s="1658">
        <v>11956</v>
      </c>
      <c r="H73" s="1658">
        <v>1255</v>
      </c>
      <c r="I73" s="1670">
        <f t="shared" si="2"/>
        <v>262</v>
      </c>
      <c r="J73" s="1658">
        <v>235</v>
      </c>
      <c r="K73" s="1660">
        <v>27</v>
      </c>
      <c r="L73" s="1661">
        <f t="shared" si="3"/>
        <v>368</v>
      </c>
      <c r="M73" s="1658">
        <v>368</v>
      </c>
      <c r="N73" s="1662">
        <v>0</v>
      </c>
      <c r="O73" s="1663">
        <f t="shared" si="5"/>
        <v>2797</v>
      </c>
      <c r="P73" s="1664">
        <f t="shared" si="4"/>
        <v>2661</v>
      </c>
      <c r="Q73" s="1665">
        <f t="shared" si="4"/>
        <v>136</v>
      </c>
      <c r="R73" s="1663">
        <f t="shared" si="6"/>
        <v>2797</v>
      </c>
      <c r="S73" s="1664">
        <v>2661</v>
      </c>
      <c r="T73" s="1665">
        <v>136</v>
      </c>
      <c r="U73" s="1663">
        <f t="shared" si="7"/>
        <v>0</v>
      </c>
      <c r="V73" s="1664">
        <v>0</v>
      </c>
      <c r="W73" s="1665">
        <v>0</v>
      </c>
    </row>
    <row r="74" spans="1:23" ht="21.75" customHeight="1">
      <c r="A74" s="400">
        <f t="shared" si="10"/>
        <v>66</v>
      </c>
      <c r="B74" s="1655" t="s">
        <v>427</v>
      </c>
      <c r="C74" s="402">
        <f t="shared" si="11"/>
        <v>10502</v>
      </c>
      <c r="D74" s="1656">
        <f t="shared" si="11"/>
        <v>8844</v>
      </c>
      <c r="E74" s="1657">
        <f t="shared" si="11"/>
        <v>1658</v>
      </c>
      <c r="F74" s="403">
        <f t="shared" ref="F74:F89" si="12">+G74+H74</f>
        <v>9779</v>
      </c>
      <c r="G74" s="1658">
        <v>8204</v>
      </c>
      <c r="H74" s="1658">
        <v>1575</v>
      </c>
      <c r="I74" s="1659">
        <f t="shared" ref="I74:I89" si="13">+J74+K74</f>
        <v>413</v>
      </c>
      <c r="J74" s="1658">
        <v>334</v>
      </c>
      <c r="K74" s="1660">
        <v>79</v>
      </c>
      <c r="L74" s="1661">
        <f t="shared" ref="L74:L89" si="14">+M74+N74</f>
        <v>310</v>
      </c>
      <c r="M74" s="1658">
        <v>306</v>
      </c>
      <c r="N74" s="1662">
        <v>4</v>
      </c>
      <c r="O74" s="1663">
        <f t="shared" si="5"/>
        <v>12031</v>
      </c>
      <c r="P74" s="1664">
        <f t="shared" ref="P74:Q89" si="15">+S74+V74</f>
        <v>10100</v>
      </c>
      <c r="Q74" s="1665">
        <f t="shared" si="15"/>
        <v>1931</v>
      </c>
      <c r="R74" s="1663">
        <f t="shared" si="6"/>
        <v>12031</v>
      </c>
      <c r="S74" s="1664">
        <v>10100</v>
      </c>
      <c r="T74" s="1665">
        <v>1931</v>
      </c>
      <c r="U74" s="1663">
        <f t="shared" si="7"/>
        <v>0</v>
      </c>
      <c r="V74" s="1664">
        <v>0</v>
      </c>
      <c r="W74" s="1665">
        <v>0</v>
      </c>
    </row>
    <row r="75" spans="1:23" ht="21.75" customHeight="1">
      <c r="A75" s="400">
        <f t="shared" si="10"/>
        <v>67</v>
      </c>
      <c r="B75" s="1655" t="s">
        <v>428</v>
      </c>
      <c r="C75" s="402">
        <f t="shared" si="11"/>
        <v>11300</v>
      </c>
      <c r="D75" s="1656">
        <f t="shared" si="11"/>
        <v>8398</v>
      </c>
      <c r="E75" s="1657">
        <f t="shared" si="11"/>
        <v>2902</v>
      </c>
      <c r="F75" s="403">
        <f t="shared" si="12"/>
        <v>10631</v>
      </c>
      <c r="G75" s="1658">
        <v>7983</v>
      </c>
      <c r="H75" s="1658">
        <v>2648</v>
      </c>
      <c r="I75" s="1659">
        <f t="shared" si="13"/>
        <v>642</v>
      </c>
      <c r="J75" s="1658">
        <v>390</v>
      </c>
      <c r="K75" s="1660">
        <v>252</v>
      </c>
      <c r="L75" s="1661">
        <f t="shared" si="14"/>
        <v>27</v>
      </c>
      <c r="M75" s="1658">
        <v>25</v>
      </c>
      <c r="N75" s="1662">
        <v>2</v>
      </c>
      <c r="O75" s="1663">
        <f t="shared" ref="O75:O90" si="16">+P75+Q75</f>
        <v>1471</v>
      </c>
      <c r="P75" s="1664">
        <f t="shared" si="15"/>
        <v>995</v>
      </c>
      <c r="Q75" s="1665">
        <f t="shared" si="15"/>
        <v>476</v>
      </c>
      <c r="R75" s="1663">
        <f t="shared" ref="R75:R90" si="17">+S75+T75</f>
        <v>1470</v>
      </c>
      <c r="S75" s="1664">
        <v>995</v>
      </c>
      <c r="T75" s="1665">
        <v>475</v>
      </c>
      <c r="U75" s="1663">
        <f t="shared" ref="U75:U90" si="18">+V75+W75</f>
        <v>1</v>
      </c>
      <c r="V75" s="1664">
        <v>0</v>
      </c>
      <c r="W75" s="1665">
        <v>1</v>
      </c>
    </row>
    <row r="76" spans="1:23" ht="21.75" customHeight="1">
      <c r="A76" s="405">
        <f t="shared" si="10"/>
        <v>68</v>
      </c>
      <c r="B76" s="1655" t="s">
        <v>429</v>
      </c>
      <c r="C76" s="402">
        <f t="shared" si="11"/>
        <v>11119</v>
      </c>
      <c r="D76" s="1656">
        <f t="shared" si="11"/>
        <v>9099</v>
      </c>
      <c r="E76" s="1657">
        <f t="shared" si="11"/>
        <v>2020</v>
      </c>
      <c r="F76" s="403">
        <f t="shared" si="12"/>
        <v>10587</v>
      </c>
      <c r="G76" s="1658">
        <v>8651</v>
      </c>
      <c r="H76" s="1658">
        <v>1936</v>
      </c>
      <c r="I76" s="1659">
        <f t="shared" si="13"/>
        <v>405</v>
      </c>
      <c r="J76" s="1658">
        <v>323</v>
      </c>
      <c r="K76" s="1660">
        <v>82</v>
      </c>
      <c r="L76" s="1661">
        <f t="shared" si="14"/>
        <v>127</v>
      </c>
      <c r="M76" s="1658">
        <v>125</v>
      </c>
      <c r="N76" s="1662">
        <v>2</v>
      </c>
      <c r="O76" s="1663">
        <f t="shared" si="16"/>
        <v>9811</v>
      </c>
      <c r="P76" s="1664">
        <f t="shared" si="15"/>
        <v>8410</v>
      </c>
      <c r="Q76" s="1665">
        <f t="shared" si="15"/>
        <v>1401</v>
      </c>
      <c r="R76" s="1663">
        <f t="shared" si="17"/>
        <v>9811</v>
      </c>
      <c r="S76" s="1664">
        <v>8410</v>
      </c>
      <c r="T76" s="1665">
        <v>1401</v>
      </c>
      <c r="U76" s="1663">
        <f t="shared" si="18"/>
        <v>0</v>
      </c>
      <c r="V76" s="1664">
        <v>0</v>
      </c>
      <c r="W76" s="1665">
        <v>0</v>
      </c>
    </row>
    <row r="77" spans="1:23" ht="21.75" customHeight="1">
      <c r="A77" s="405">
        <f t="shared" si="10"/>
        <v>69</v>
      </c>
      <c r="B77" s="1655" t="s">
        <v>705</v>
      </c>
      <c r="C77" s="402">
        <f t="shared" si="11"/>
        <v>1651</v>
      </c>
      <c r="D77" s="1656">
        <f t="shared" si="11"/>
        <v>1452</v>
      </c>
      <c r="E77" s="1657">
        <f t="shared" si="11"/>
        <v>199</v>
      </c>
      <c r="F77" s="403">
        <f t="shared" si="12"/>
        <v>1528</v>
      </c>
      <c r="G77" s="1658">
        <v>1335</v>
      </c>
      <c r="H77" s="1658">
        <v>193</v>
      </c>
      <c r="I77" s="1659">
        <f t="shared" si="13"/>
        <v>61</v>
      </c>
      <c r="J77" s="1658">
        <v>55</v>
      </c>
      <c r="K77" s="1660">
        <v>6</v>
      </c>
      <c r="L77" s="1661">
        <f t="shared" si="14"/>
        <v>62</v>
      </c>
      <c r="M77" s="1658">
        <v>62</v>
      </c>
      <c r="N77" s="1662">
        <v>0</v>
      </c>
      <c r="O77" s="1663">
        <f t="shared" si="16"/>
        <v>1634</v>
      </c>
      <c r="P77" s="1664">
        <f t="shared" si="15"/>
        <v>1461</v>
      </c>
      <c r="Q77" s="1665">
        <f t="shared" si="15"/>
        <v>173</v>
      </c>
      <c r="R77" s="1663">
        <f t="shared" si="17"/>
        <v>1634</v>
      </c>
      <c r="S77" s="1664">
        <v>1461</v>
      </c>
      <c r="T77" s="1665">
        <v>173</v>
      </c>
      <c r="U77" s="1663">
        <f t="shared" si="18"/>
        <v>0</v>
      </c>
      <c r="V77" s="1664">
        <v>0</v>
      </c>
      <c r="W77" s="1665">
        <v>0</v>
      </c>
    </row>
    <row r="78" spans="1:23" ht="21.75" customHeight="1">
      <c r="A78" s="405">
        <f t="shared" si="10"/>
        <v>70</v>
      </c>
      <c r="B78" s="1655" t="s">
        <v>706</v>
      </c>
      <c r="C78" s="402">
        <f t="shared" si="11"/>
        <v>6794</v>
      </c>
      <c r="D78" s="1656">
        <f t="shared" si="11"/>
        <v>5560</v>
      </c>
      <c r="E78" s="1657">
        <f t="shared" si="11"/>
        <v>1234</v>
      </c>
      <c r="F78" s="403">
        <f t="shared" si="12"/>
        <v>6551</v>
      </c>
      <c r="G78" s="1658">
        <v>5399</v>
      </c>
      <c r="H78" s="1658">
        <v>1152</v>
      </c>
      <c r="I78" s="1659">
        <f t="shared" si="13"/>
        <v>155</v>
      </c>
      <c r="J78" s="1658">
        <v>76</v>
      </c>
      <c r="K78" s="1660">
        <v>79</v>
      </c>
      <c r="L78" s="1661">
        <f t="shared" si="14"/>
        <v>88</v>
      </c>
      <c r="M78" s="1658">
        <v>85</v>
      </c>
      <c r="N78" s="1662">
        <v>3</v>
      </c>
      <c r="O78" s="1663">
        <f t="shared" si="16"/>
        <v>5746</v>
      </c>
      <c r="P78" s="1664">
        <f t="shared" si="15"/>
        <v>4881</v>
      </c>
      <c r="Q78" s="1665">
        <f t="shared" si="15"/>
        <v>865</v>
      </c>
      <c r="R78" s="1663">
        <f t="shared" si="17"/>
        <v>5746</v>
      </c>
      <c r="S78" s="1664">
        <v>4881</v>
      </c>
      <c r="T78" s="1665">
        <v>865</v>
      </c>
      <c r="U78" s="1663">
        <f t="shared" si="18"/>
        <v>0</v>
      </c>
      <c r="V78" s="1664">
        <v>0</v>
      </c>
      <c r="W78" s="1665">
        <v>0</v>
      </c>
    </row>
    <row r="79" spans="1:23" ht="21.75" customHeight="1">
      <c r="A79" s="405">
        <f t="shared" si="10"/>
        <v>71</v>
      </c>
      <c r="B79" s="1655" t="s">
        <v>707</v>
      </c>
      <c r="C79" s="402">
        <f t="shared" si="11"/>
        <v>5809</v>
      </c>
      <c r="D79" s="1656">
        <f t="shared" si="11"/>
        <v>4702</v>
      </c>
      <c r="E79" s="1657">
        <f t="shared" si="11"/>
        <v>1107</v>
      </c>
      <c r="F79" s="403">
        <f t="shared" si="12"/>
        <v>5446</v>
      </c>
      <c r="G79" s="1658">
        <v>4413</v>
      </c>
      <c r="H79" s="1658">
        <v>1033</v>
      </c>
      <c r="I79" s="1659">
        <f t="shared" si="13"/>
        <v>272</v>
      </c>
      <c r="J79" s="1658">
        <v>200</v>
      </c>
      <c r="K79" s="1660">
        <v>72</v>
      </c>
      <c r="L79" s="1661">
        <f t="shared" si="14"/>
        <v>91</v>
      </c>
      <c r="M79" s="1658">
        <v>89</v>
      </c>
      <c r="N79" s="1662">
        <v>2</v>
      </c>
      <c r="O79" s="1663">
        <f t="shared" si="16"/>
        <v>3239</v>
      </c>
      <c r="P79" s="1664">
        <f t="shared" si="15"/>
        <v>2719</v>
      </c>
      <c r="Q79" s="1665">
        <f t="shared" si="15"/>
        <v>520</v>
      </c>
      <c r="R79" s="1663">
        <f t="shared" si="17"/>
        <v>3239</v>
      </c>
      <c r="S79" s="1664">
        <v>2719</v>
      </c>
      <c r="T79" s="1665">
        <v>520</v>
      </c>
      <c r="U79" s="1663">
        <f t="shared" si="18"/>
        <v>0</v>
      </c>
      <c r="V79" s="1664">
        <v>0</v>
      </c>
      <c r="W79" s="1665">
        <v>0</v>
      </c>
    </row>
    <row r="80" spans="1:23" ht="21.75" customHeight="1">
      <c r="A80" s="405">
        <f t="shared" si="10"/>
        <v>72</v>
      </c>
      <c r="B80" s="1655" t="s">
        <v>708</v>
      </c>
      <c r="C80" s="402">
        <f t="shared" si="11"/>
        <v>6041</v>
      </c>
      <c r="D80" s="1656">
        <f t="shared" si="11"/>
        <v>5418</v>
      </c>
      <c r="E80" s="1657">
        <f t="shared" si="11"/>
        <v>623</v>
      </c>
      <c r="F80" s="403">
        <f t="shared" si="12"/>
        <v>5803</v>
      </c>
      <c r="G80" s="1658">
        <v>5186</v>
      </c>
      <c r="H80" s="1658">
        <v>617</v>
      </c>
      <c r="I80" s="1659">
        <f t="shared" si="13"/>
        <v>34</v>
      </c>
      <c r="J80" s="1658">
        <v>28</v>
      </c>
      <c r="K80" s="1660">
        <v>6</v>
      </c>
      <c r="L80" s="1661">
        <f t="shared" si="14"/>
        <v>204</v>
      </c>
      <c r="M80" s="1658">
        <v>204</v>
      </c>
      <c r="N80" s="1662">
        <v>0</v>
      </c>
      <c r="O80" s="1663">
        <f t="shared" si="16"/>
        <v>1030</v>
      </c>
      <c r="P80" s="1664">
        <f t="shared" si="15"/>
        <v>909</v>
      </c>
      <c r="Q80" s="1665">
        <f t="shared" si="15"/>
        <v>121</v>
      </c>
      <c r="R80" s="1663">
        <f t="shared" si="17"/>
        <v>1030</v>
      </c>
      <c r="S80" s="1664">
        <v>909</v>
      </c>
      <c r="T80" s="1665">
        <v>121</v>
      </c>
      <c r="U80" s="1663">
        <f t="shared" si="18"/>
        <v>0</v>
      </c>
      <c r="V80" s="1664">
        <v>0</v>
      </c>
      <c r="W80" s="1665">
        <v>0</v>
      </c>
    </row>
    <row r="81" spans="1:23" ht="21.75" customHeight="1">
      <c r="A81" s="405">
        <f t="shared" si="10"/>
        <v>73</v>
      </c>
      <c r="B81" s="1655" t="s">
        <v>709</v>
      </c>
      <c r="C81" s="402">
        <f t="shared" si="11"/>
        <v>4702</v>
      </c>
      <c r="D81" s="1656">
        <f t="shared" si="11"/>
        <v>4338</v>
      </c>
      <c r="E81" s="1657">
        <f t="shared" si="11"/>
        <v>364</v>
      </c>
      <c r="F81" s="403">
        <f t="shared" si="12"/>
        <v>4527</v>
      </c>
      <c r="G81" s="1658">
        <v>4166</v>
      </c>
      <c r="H81" s="1658">
        <v>361</v>
      </c>
      <c r="I81" s="1659">
        <f t="shared" si="13"/>
        <v>18</v>
      </c>
      <c r="J81" s="1658">
        <v>16</v>
      </c>
      <c r="K81" s="1660">
        <v>2</v>
      </c>
      <c r="L81" s="1661">
        <f t="shared" si="14"/>
        <v>157</v>
      </c>
      <c r="M81" s="1658">
        <v>156</v>
      </c>
      <c r="N81" s="1662">
        <v>1</v>
      </c>
      <c r="O81" s="1663">
        <f t="shared" si="16"/>
        <v>928</v>
      </c>
      <c r="P81" s="1664">
        <f t="shared" si="15"/>
        <v>828</v>
      </c>
      <c r="Q81" s="1665">
        <f t="shared" si="15"/>
        <v>100</v>
      </c>
      <c r="R81" s="1663">
        <f t="shared" si="17"/>
        <v>928</v>
      </c>
      <c r="S81" s="1664">
        <v>828</v>
      </c>
      <c r="T81" s="1665">
        <v>100</v>
      </c>
      <c r="U81" s="1663">
        <f t="shared" si="18"/>
        <v>0</v>
      </c>
      <c r="V81" s="1664">
        <v>0</v>
      </c>
      <c r="W81" s="1665">
        <v>0</v>
      </c>
    </row>
    <row r="82" spans="1:23" ht="21.75" customHeight="1">
      <c r="A82" s="405">
        <f t="shared" si="10"/>
        <v>74</v>
      </c>
      <c r="B82" s="1655" t="s">
        <v>710</v>
      </c>
      <c r="C82" s="402">
        <f t="shared" si="11"/>
        <v>4310</v>
      </c>
      <c r="D82" s="1656">
        <f t="shared" si="11"/>
        <v>3217</v>
      </c>
      <c r="E82" s="1657">
        <f t="shared" si="11"/>
        <v>1093</v>
      </c>
      <c r="F82" s="403">
        <f t="shared" si="12"/>
        <v>4051</v>
      </c>
      <c r="G82" s="1658">
        <v>3039</v>
      </c>
      <c r="H82" s="1658">
        <v>1012</v>
      </c>
      <c r="I82" s="1659">
        <f t="shared" si="13"/>
        <v>241</v>
      </c>
      <c r="J82" s="1658">
        <v>160</v>
      </c>
      <c r="K82" s="1660">
        <v>81</v>
      </c>
      <c r="L82" s="1661">
        <f t="shared" si="14"/>
        <v>18</v>
      </c>
      <c r="M82" s="1658">
        <v>18</v>
      </c>
      <c r="N82" s="1662">
        <v>0</v>
      </c>
      <c r="O82" s="1663">
        <f t="shared" si="16"/>
        <v>707</v>
      </c>
      <c r="P82" s="1664">
        <f t="shared" si="15"/>
        <v>456</v>
      </c>
      <c r="Q82" s="1665">
        <f t="shared" si="15"/>
        <v>251</v>
      </c>
      <c r="R82" s="1663">
        <f t="shared" si="17"/>
        <v>707</v>
      </c>
      <c r="S82" s="1664">
        <v>456</v>
      </c>
      <c r="T82" s="1665">
        <v>251</v>
      </c>
      <c r="U82" s="1663">
        <f t="shared" si="18"/>
        <v>0</v>
      </c>
      <c r="V82" s="1664">
        <v>0</v>
      </c>
      <c r="W82" s="1665">
        <v>0</v>
      </c>
    </row>
    <row r="83" spans="1:23" ht="21.75" customHeight="1">
      <c r="A83" s="405">
        <f t="shared" si="10"/>
        <v>75</v>
      </c>
      <c r="B83" s="1655" t="s">
        <v>711</v>
      </c>
      <c r="C83" s="402">
        <f t="shared" si="11"/>
        <v>2028</v>
      </c>
      <c r="D83" s="1656">
        <f t="shared" si="11"/>
        <v>1789</v>
      </c>
      <c r="E83" s="1657">
        <f t="shared" si="11"/>
        <v>239</v>
      </c>
      <c r="F83" s="403">
        <f t="shared" si="12"/>
        <v>1850</v>
      </c>
      <c r="G83" s="1658">
        <v>1622</v>
      </c>
      <c r="H83" s="1658">
        <v>228</v>
      </c>
      <c r="I83" s="1659">
        <f t="shared" si="13"/>
        <v>39</v>
      </c>
      <c r="J83" s="1658">
        <v>31</v>
      </c>
      <c r="K83" s="1660">
        <v>8</v>
      </c>
      <c r="L83" s="1661">
        <f t="shared" si="14"/>
        <v>139</v>
      </c>
      <c r="M83" s="1658">
        <v>136</v>
      </c>
      <c r="N83" s="1662">
        <v>3</v>
      </c>
      <c r="O83" s="1663">
        <f t="shared" si="16"/>
        <v>3436</v>
      </c>
      <c r="P83" s="1664">
        <f t="shared" si="15"/>
        <v>3224</v>
      </c>
      <c r="Q83" s="1665">
        <f t="shared" si="15"/>
        <v>212</v>
      </c>
      <c r="R83" s="1663">
        <f t="shared" si="17"/>
        <v>3436</v>
      </c>
      <c r="S83" s="1664">
        <v>3224</v>
      </c>
      <c r="T83" s="1665">
        <v>212</v>
      </c>
      <c r="U83" s="1663">
        <f t="shared" si="18"/>
        <v>0</v>
      </c>
      <c r="V83" s="1664">
        <v>0</v>
      </c>
      <c r="W83" s="1665">
        <v>0</v>
      </c>
    </row>
    <row r="84" spans="1:23" ht="21.75" customHeight="1">
      <c r="A84" s="405">
        <f t="shared" si="10"/>
        <v>76</v>
      </c>
      <c r="B84" s="1669" t="s">
        <v>712</v>
      </c>
      <c r="C84" s="402">
        <f t="shared" si="11"/>
        <v>3604</v>
      </c>
      <c r="D84" s="1656">
        <f t="shared" si="11"/>
        <v>3134</v>
      </c>
      <c r="E84" s="1657">
        <f t="shared" si="11"/>
        <v>470</v>
      </c>
      <c r="F84" s="403">
        <f t="shared" si="12"/>
        <v>3457</v>
      </c>
      <c r="G84" s="1658">
        <v>2997</v>
      </c>
      <c r="H84" s="1658">
        <v>460</v>
      </c>
      <c r="I84" s="1659">
        <f t="shared" si="13"/>
        <v>46</v>
      </c>
      <c r="J84" s="1658">
        <v>36</v>
      </c>
      <c r="K84" s="1660">
        <v>10</v>
      </c>
      <c r="L84" s="1661">
        <f t="shared" si="14"/>
        <v>101</v>
      </c>
      <c r="M84" s="1658">
        <v>101</v>
      </c>
      <c r="N84" s="1662">
        <v>0</v>
      </c>
      <c r="O84" s="1663">
        <f t="shared" si="16"/>
        <v>1766</v>
      </c>
      <c r="P84" s="1664">
        <f t="shared" si="15"/>
        <v>1545</v>
      </c>
      <c r="Q84" s="1665">
        <f t="shared" si="15"/>
        <v>221</v>
      </c>
      <c r="R84" s="1663">
        <f t="shared" si="17"/>
        <v>1766</v>
      </c>
      <c r="S84" s="1664">
        <v>1545</v>
      </c>
      <c r="T84" s="1665">
        <v>221</v>
      </c>
      <c r="U84" s="1663">
        <f t="shared" si="18"/>
        <v>0</v>
      </c>
      <c r="V84" s="1664">
        <v>0</v>
      </c>
      <c r="W84" s="1665">
        <v>0</v>
      </c>
    </row>
    <row r="85" spans="1:23" ht="21.75" customHeight="1">
      <c r="A85" s="405">
        <f t="shared" si="10"/>
        <v>77</v>
      </c>
      <c r="B85" s="1669" t="s">
        <v>713</v>
      </c>
      <c r="C85" s="402">
        <f t="shared" si="11"/>
        <v>7399</v>
      </c>
      <c r="D85" s="1656">
        <f t="shared" si="11"/>
        <v>5318</v>
      </c>
      <c r="E85" s="1657">
        <f t="shared" si="11"/>
        <v>2081</v>
      </c>
      <c r="F85" s="403">
        <f t="shared" si="12"/>
        <v>6983</v>
      </c>
      <c r="G85" s="1658">
        <v>5082</v>
      </c>
      <c r="H85" s="1658">
        <v>1901</v>
      </c>
      <c r="I85" s="1659">
        <f t="shared" si="13"/>
        <v>399</v>
      </c>
      <c r="J85" s="1658">
        <v>222</v>
      </c>
      <c r="K85" s="1660">
        <v>177</v>
      </c>
      <c r="L85" s="1661">
        <f t="shared" si="14"/>
        <v>17</v>
      </c>
      <c r="M85" s="1658">
        <v>14</v>
      </c>
      <c r="N85" s="1662">
        <v>3</v>
      </c>
      <c r="O85" s="1663">
        <f t="shared" si="16"/>
        <v>1447</v>
      </c>
      <c r="P85" s="1664">
        <f t="shared" si="15"/>
        <v>1072</v>
      </c>
      <c r="Q85" s="1665">
        <f t="shared" si="15"/>
        <v>375</v>
      </c>
      <c r="R85" s="1663">
        <f t="shared" si="17"/>
        <v>1447</v>
      </c>
      <c r="S85" s="1664">
        <v>1072</v>
      </c>
      <c r="T85" s="1665">
        <v>375</v>
      </c>
      <c r="U85" s="1663">
        <f t="shared" si="18"/>
        <v>0</v>
      </c>
      <c r="V85" s="1664">
        <v>0</v>
      </c>
      <c r="W85" s="1665">
        <v>0</v>
      </c>
    </row>
    <row r="86" spans="1:23" ht="21.75" customHeight="1">
      <c r="A86" s="405">
        <f t="shared" si="10"/>
        <v>78</v>
      </c>
      <c r="B86" s="1669" t="s">
        <v>714</v>
      </c>
      <c r="C86" s="402">
        <f t="shared" si="11"/>
        <v>4975</v>
      </c>
      <c r="D86" s="1656">
        <f t="shared" si="11"/>
        <v>3578</v>
      </c>
      <c r="E86" s="1657">
        <f t="shared" si="11"/>
        <v>1397</v>
      </c>
      <c r="F86" s="403">
        <f t="shared" si="12"/>
        <v>4720</v>
      </c>
      <c r="G86" s="1658">
        <v>3417</v>
      </c>
      <c r="H86" s="1658">
        <v>1303</v>
      </c>
      <c r="I86" s="1659">
        <f t="shared" si="13"/>
        <v>225</v>
      </c>
      <c r="J86" s="1658">
        <v>132</v>
      </c>
      <c r="K86" s="1660">
        <v>93</v>
      </c>
      <c r="L86" s="1661">
        <f t="shared" si="14"/>
        <v>30</v>
      </c>
      <c r="M86" s="1658">
        <v>29</v>
      </c>
      <c r="N86" s="1662">
        <v>1</v>
      </c>
      <c r="O86" s="1663">
        <f t="shared" si="16"/>
        <v>1143</v>
      </c>
      <c r="P86" s="1664">
        <f t="shared" si="15"/>
        <v>764</v>
      </c>
      <c r="Q86" s="1665">
        <f t="shared" si="15"/>
        <v>379</v>
      </c>
      <c r="R86" s="1663">
        <f t="shared" si="17"/>
        <v>1143</v>
      </c>
      <c r="S86" s="1664">
        <v>764</v>
      </c>
      <c r="T86" s="1665">
        <v>379</v>
      </c>
      <c r="U86" s="1663">
        <f t="shared" si="18"/>
        <v>0</v>
      </c>
      <c r="V86" s="1664">
        <v>0</v>
      </c>
      <c r="W86" s="1665">
        <v>0</v>
      </c>
    </row>
    <row r="87" spans="1:23" ht="21.75" customHeight="1">
      <c r="A87" s="405">
        <f t="shared" si="10"/>
        <v>79</v>
      </c>
      <c r="B87" s="1669" t="s">
        <v>715</v>
      </c>
      <c r="C87" s="402">
        <f t="shared" si="11"/>
        <v>3580</v>
      </c>
      <c r="D87" s="1656">
        <f t="shared" si="11"/>
        <v>3160</v>
      </c>
      <c r="E87" s="1657">
        <f t="shared" si="11"/>
        <v>420</v>
      </c>
      <c r="F87" s="403">
        <f t="shared" si="12"/>
        <v>3405</v>
      </c>
      <c r="G87" s="1658">
        <v>3001</v>
      </c>
      <c r="H87" s="1658">
        <v>404</v>
      </c>
      <c r="I87" s="1659">
        <f t="shared" si="13"/>
        <v>98</v>
      </c>
      <c r="J87" s="1658">
        <v>83</v>
      </c>
      <c r="K87" s="1660">
        <v>15</v>
      </c>
      <c r="L87" s="1661">
        <f t="shared" si="14"/>
        <v>77</v>
      </c>
      <c r="M87" s="1658">
        <v>76</v>
      </c>
      <c r="N87" s="1662">
        <v>1</v>
      </c>
      <c r="O87" s="1663">
        <f t="shared" si="16"/>
        <v>2407</v>
      </c>
      <c r="P87" s="1664">
        <f t="shared" si="15"/>
        <v>2024</v>
      </c>
      <c r="Q87" s="1665">
        <f t="shared" si="15"/>
        <v>383</v>
      </c>
      <c r="R87" s="1663">
        <f t="shared" si="17"/>
        <v>2406</v>
      </c>
      <c r="S87" s="1664">
        <v>2023</v>
      </c>
      <c r="T87" s="1665">
        <v>383</v>
      </c>
      <c r="U87" s="1663">
        <f t="shared" si="18"/>
        <v>1</v>
      </c>
      <c r="V87" s="1664">
        <v>1</v>
      </c>
      <c r="W87" s="1665">
        <v>0</v>
      </c>
    </row>
    <row r="88" spans="1:23" ht="21.75" customHeight="1">
      <c r="A88" s="405">
        <f t="shared" si="10"/>
        <v>80</v>
      </c>
      <c r="B88" s="1669" t="s">
        <v>227</v>
      </c>
      <c r="C88" s="402">
        <f t="shared" si="11"/>
        <v>11480</v>
      </c>
      <c r="D88" s="1656">
        <f t="shared" si="11"/>
        <v>9050</v>
      </c>
      <c r="E88" s="1657">
        <f t="shared" si="11"/>
        <v>2430</v>
      </c>
      <c r="F88" s="403">
        <f t="shared" si="12"/>
        <v>10949</v>
      </c>
      <c r="G88" s="1658">
        <v>8595</v>
      </c>
      <c r="H88" s="1658">
        <v>2354</v>
      </c>
      <c r="I88" s="1659">
        <f t="shared" si="13"/>
        <v>428</v>
      </c>
      <c r="J88" s="1658">
        <v>354</v>
      </c>
      <c r="K88" s="1660">
        <v>74</v>
      </c>
      <c r="L88" s="1661">
        <f t="shared" si="14"/>
        <v>103</v>
      </c>
      <c r="M88" s="1658">
        <v>101</v>
      </c>
      <c r="N88" s="1662">
        <v>2</v>
      </c>
      <c r="O88" s="1663">
        <f t="shared" si="16"/>
        <v>5820</v>
      </c>
      <c r="P88" s="1664">
        <f t="shared" si="15"/>
        <v>4811</v>
      </c>
      <c r="Q88" s="1665">
        <f t="shared" si="15"/>
        <v>1009</v>
      </c>
      <c r="R88" s="1663">
        <f t="shared" si="17"/>
        <v>5820</v>
      </c>
      <c r="S88" s="1664">
        <v>4811</v>
      </c>
      <c r="T88" s="1665">
        <v>1009</v>
      </c>
      <c r="U88" s="1663">
        <f t="shared" si="18"/>
        <v>0</v>
      </c>
      <c r="V88" s="1664">
        <v>0</v>
      </c>
      <c r="W88" s="1665">
        <v>0</v>
      </c>
    </row>
    <row r="89" spans="1:23" ht="21.75" customHeight="1">
      <c r="A89" s="405">
        <f t="shared" si="10"/>
        <v>81</v>
      </c>
      <c r="B89" s="1669" t="s">
        <v>883</v>
      </c>
      <c r="C89" s="402">
        <f t="shared" si="11"/>
        <v>9487</v>
      </c>
      <c r="D89" s="1656">
        <f t="shared" si="11"/>
        <v>7384</v>
      </c>
      <c r="E89" s="1657">
        <f t="shared" si="11"/>
        <v>2103</v>
      </c>
      <c r="F89" s="403">
        <f t="shared" si="12"/>
        <v>9137</v>
      </c>
      <c r="G89" s="1658">
        <v>7104</v>
      </c>
      <c r="H89" s="1658">
        <v>2033</v>
      </c>
      <c r="I89" s="1659">
        <f t="shared" si="13"/>
        <v>260</v>
      </c>
      <c r="J89" s="1658">
        <v>191</v>
      </c>
      <c r="K89" s="1660">
        <v>69</v>
      </c>
      <c r="L89" s="1661">
        <f t="shared" si="14"/>
        <v>90</v>
      </c>
      <c r="M89" s="1658">
        <v>89</v>
      </c>
      <c r="N89" s="1662">
        <v>1</v>
      </c>
      <c r="O89" s="1663">
        <f t="shared" si="16"/>
        <v>3978</v>
      </c>
      <c r="P89" s="1664">
        <f t="shared" si="15"/>
        <v>3105</v>
      </c>
      <c r="Q89" s="1665">
        <f t="shared" si="15"/>
        <v>873</v>
      </c>
      <c r="R89" s="1663">
        <f t="shared" si="17"/>
        <v>3978</v>
      </c>
      <c r="S89" s="1664">
        <v>3105</v>
      </c>
      <c r="T89" s="1665">
        <v>873</v>
      </c>
      <c r="U89" s="1663">
        <f t="shared" si="18"/>
        <v>0</v>
      </c>
      <c r="V89" s="1664">
        <v>0</v>
      </c>
      <c r="W89" s="1665">
        <v>0</v>
      </c>
    </row>
    <row r="90" spans="1:23" s="409" customFormat="1" ht="21.75" customHeight="1">
      <c r="A90" s="405"/>
      <c r="B90" s="1669" t="s">
        <v>181</v>
      </c>
      <c r="C90" s="1671">
        <v>0</v>
      </c>
      <c r="D90" s="1672">
        <v>0</v>
      </c>
      <c r="E90" s="1673">
        <v>0</v>
      </c>
      <c r="F90" s="1674">
        <v>0</v>
      </c>
      <c r="G90" s="1675">
        <v>0</v>
      </c>
      <c r="H90" s="1675">
        <v>0</v>
      </c>
      <c r="I90" s="1676">
        <v>0</v>
      </c>
      <c r="J90" s="1675"/>
      <c r="K90" s="1677"/>
      <c r="L90" s="1678">
        <v>0</v>
      </c>
      <c r="M90" s="1675"/>
      <c r="N90" s="1679"/>
      <c r="O90" s="1680">
        <f t="shared" si="16"/>
        <v>0</v>
      </c>
      <c r="P90" s="1681">
        <f>+S90+V90</f>
        <v>0</v>
      </c>
      <c r="Q90" s="1682">
        <f>+T90+W90</f>
        <v>0</v>
      </c>
      <c r="R90" s="1680">
        <f t="shared" si="17"/>
        <v>0</v>
      </c>
      <c r="S90" s="1681">
        <v>0</v>
      </c>
      <c r="T90" s="1682">
        <v>0</v>
      </c>
      <c r="U90" s="1680">
        <f t="shared" si="18"/>
        <v>0</v>
      </c>
      <c r="V90" s="1681"/>
      <c r="W90" s="1682"/>
    </row>
    <row r="91" spans="1:23" ht="21.75" customHeight="1" thickBot="1">
      <c r="A91" s="1683"/>
      <c r="B91" s="1684" t="s">
        <v>885</v>
      </c>
      <c r="C91" s="1685">
        <f t="shared" ref="C91:N91" si="19">SUM(C9:C90)</f>
        <v>2120714</v>
      </c>
      <c r="D91" s="1686">
        <f t="shared" si="19"/>
        <v>1625533</v>
      </c>
      <c r="E91" s="1687">
        <f t="shared" si="19"/>
        <v>495181</v>
      </c>
      <c r="F91" s="1687">
        <f t="shared" si="19"/>
        <v>2015579</v>
      </c>
      <c r="G91" s="382">
        <f t="shared" si="19"/>
        <v>1562220</v>
      </c>
      <c r="H91" s="1687">
        <f>SUM(H8:H90)</f>
        <v>453359</v>
      </c>
      <c r="I91" s="1688">
        <f t="shared" si="19"/>
        <v>89543</v>
      </c>
      <c r="J91" s="382">
        <f t="shared" si="19"/>
        <v>48051</v>
      </c>
      <c r="K91" s="1689">
        <f t="shared" si="19"/>
        <v>41492</v>
      </c>
      <c r="L91" s="1690">
        <f t="shared" si="19"/>
        <v>15592</v>
      </c>
      <c r="M91" s="382">
        <f t="shared" si="19"/>
        <v>15262</v>
      </c>
      <c r="N91" s="370">
        <f t="shared" si="19"/>
        <v>330</v>
      </c>
      <c r="O91" s="1691">
        <f>SUM(O9:O90)</f>
        <v>729240</v>
      </c>
      <c r="P91" s="1689">
        <f>SUM(P9:P90)</f>
        <v>602549</v>
      </c>
      <c r="Q91" s="1692">
        <f>+T91+W91</f>
        <v>126691</v>
      </c>
      <c r="R91" s="1691">
        <f t="shared" ref="R91:W91" si="20">SUM(R9:R90)</f>
        <v>728918</v>
      </c>
      <c r="S91" s="1689">
        <f t="shared" si="20"/>
        <v>602444</v>
      </c>
      <c r="T91" s="1692">
        <f t="shared" si="20"/>
        <v>126474</v>
      </c>
      <c r="U91" s="1691">
        <f t="shared" si="20"/>
        <v>322</v>
      </c>
      <c r="V91" s="1689">
        <f t="shared" si="20"/>
        <v>105</v>
      </c>
      <c r="W91" s="1692">
        <f t="shared" si="20"/>
        <v>217</v>
      </c>
    </row>
    <row r="92" spans="1:23" s="227" customFormat="1" ht="15">
      <c r="A92" s="4"/>
      <c r="B92" s="388"/>
      <c r="I92" s="1693"/>
      <c r="J92" s="1693"/>
      <c r="K92" s="1693"/>
      <c r="L92" s="1693"/>
      <c r="M92" s="1693"/>
      <c r="N92" s="1693"/>
      <c r="O92" s="4"/>
      <c r="P92" s="4"/>
      <c r="Q92" s="4"/>
    </row>
    <row r="93" spans="1:23" s="227" customFormat="1" ht="15">
      <c r="A93" s="4"/>
      <c r="B93" s="388"/>
      <c r="I93" s="1693"/>
      <c r="J93" s="1693"/>
      <c r="K93" s="1693"/>
      <c r="L93" s="1693"/>
      <c r="M93" s="1693"/>
      <c r="N93" s="1693"/>
      <c r="O93" s="4"/>
      <c r="P93" s="4"/>
      <c r="Q93" s="4"/>
    </row>
    <row r="94" spans="1:23" s="227" customFormat="1" ht="15">
      <c r="A94" s="4"/>
      <c r="B94" s="388"/>
      <c r="I94" s="1693"/>
      <c r="J94" s="1693"/>
      <c r="K94" s="1693"/>
      <c r="L94" s="1693"/>
      <c r="M94" s="1693"/>
      <c r="N94" s="1693"/>
      <c r="O94" s="4"/>
      <c r="P94" s="4"/>
      <c r="Q94" s="4"/>
    </row>
    <row r="95" spans="1:23" s="227" customFormat="1" ht="15">
      <c r="A95" s="4"/>
      <c r="B95" s="388"/>
      <c r="I95" s="1693"/>
      <c r="J95" s="1693"/>
      <c r="K95" s="1693"/>
      <c r="L95" s="1693"/>
      <c r="M95" s="1693"/>
      <c r="N95" s="1693"/>
      <c r="O95" s="4"/>
      <c r="P95" s="4"/>
      <c r="Q95" s="4"/>
    </row>
    <row r="96" spans="1:23" s="227" customFormat="1" ht="15">
      <c r="A96" s="4"/>
      <c r="B96" s="388"/>
      <c r="I96" s="1693"/>
      <c r="J96" s="1693"/>
      <c r="K96" s="1693"/>
      <c r="L96" s="1693"/>
      <c r="M96" s="1693"/>
      <c r="N96" s="1693"/>
      <c r="O96" s="4"/>
      <c r="P96" s="4"/>
      <c r="Q96" s="4"/>
    </row>
    <row r="97" spans="1:17" s="227" customFormat="1" ht="15">
      <c r="A97" s="4"/>
      <c r="B97" s="388"/>
      <c r="I97" s="1693"/>
      <c r="J97" s="1693"/>
      <c r="K97" s="1693"/>
      <c r="L97" s="1693"/>
      <c r="M97" s="1693"/>
      <c r="N97" s="1693"/>
      <c r="O97" s="4"/>
      <c r="P97" s="4"/>
      <c r="Q97" s="4"/>
    </row>
    <row r="98" spans="1:17" s="227" customFormat="1" ht="15">
      <c r="A98" s="4"/>
      <c r="B98" s="388"/>
      <c r="I98" s="1693"/>
      <c r="J98" s="1693"/>
      <c r="K98" s="1693"/>
      <c r="L98" s="1693"/>
      <c r="M98" s="1693"/>
      <c r="N98" s="1693"/>
      <c r="O98" s="4"/>
      <c r="P98" s="4"/>
      <c r="Q98" s="4"/>
    </row>
    <row r="99" spans="1:17" s="227" customFormat="1" ht="15">
      <c r="A99" s="4"/>
      <c r="B99" s="388"/>
      <c r="I99" s="1693"/>
      <c r="J99" s="1693"/>
      <c r="K99" s="1693"/>
      <c r="L99" s="1693"/>
      <c r="M99" s="1693"/>
      <c r="N99" s="1693"/>
      <c r="O99" s="4"/>
      <c r="P99" s="4"/>
      <c r="Q99" s="4"/>
    </row>
    <row r="100" spans="1:17" s="227" customFormat="1" ht="15">
      <c r="A100" s="4"/>
      <c r="B100" s="388"/>
      <c r="I100" s="1693"/>
      <c r="J100" s="1693"/>
      <c r="K100" s="1693"/>
      <c r="L100" s="1693"/>
      <c r="M100" s="1693"/>
      <c r="N100" s="1693"/>
      <c r="O100" s="4"/>
      <c r="P100" s="4"/>
      <c r="Q100" s="4"/>
    </row>
    <row r="101" spans="1:17" s="227" customFormat="1" ht="15">
      <c r="A101" s="4"/>
      <c r="B101" s="388"/>
      <c r="I101" s="1693"/>
      <c r="J101" s="1693"/>
      <c r="K101" s="1693"/>
      <c r="L101" s="1693"/>
      <c r="M101" s="1693"/>
      <c r="N101" s="1693"/>
      <c r="O101" s="4"/>
      <c r="P101" s="4"/>
      <c r="Q101" s="4"/>
    </row>
    <row r="102" spans="1:17" s="227" customFormat="1" ht="15">
      <c r="A102" s="4"/>
      <c r="B102" s="388"/>
      <c r="I102" s="1693"/>
      <c r="J102" s="1693"/>
      <c r="K102" s="1693"/>
      <c r="L102" s="1693"/>
      <c r="M102" s="1693"/>
      <c r="N102" s="1693"/>
      <c r="O102" s="4"/>
      <c r="P102" s="4"/>
      <c r="Q102" s="4"/>
    </row>
    <row r="103" spans="1:17" s="227" customFormat="1" ht="15">
      <c r="A103" s="4"/>
      <c r="B103" s="388"/>
      <c r="I103" s="1693"/>
      <c r="J103" s="1693"/>
      <c r="K103" s="1693"/>
      <c r="L103" s="1693"/>
      <c r="M103" s="1693"/>
      <c r="N103" s="1693"/>
      <c r="O103" s="4"/>
      <c r="P103" s="4"/>
      <c r="Q103" s="4"/>
    </row>
    <row r="104" spans="1:17" s="227" customFormat="1" ht="15">
      <c r="A104" s="4"/>
      <c r="B104" s="388"/>
      <c r="I104" s="1693"/>
      <c r="J104" s="1693"/>
      <c r="K104" s="1693"/>
      <c r="L104" s="1693"/>
      <c r="M104" s="1693"/>
      <c r="N104" s="1693"/>
      <c r="O104" s="4"/>
      <c r="P104" s="4"/>
      <c r="Q104" s="4"/>
    </row>
    <row r="105" spans="1:17" s="227" customFormat="1" ht="15">
      <c r="A105" s="4"/>
      <c r="B105" s="388"/>
      <c r="I105" s="1693"/>
      <c r="J105" s="1693"/>
      <c r="K105" s="1693"/>
      <c r="L105" s="1693"/>
      <c r="M105" s="1693"/>
      <c r="N105" s="1693"/>
      <c r="O105" s="4"/>
      <c r="P105" s="4"/>
      <c r="Q105" s="4"/>
    </row>
    <row r="106" spans="1:17" s="227" customFormat="1" ht="15">
      <c r="A106" s="4"/>
      <c r="B106" s="388"/>
      <c r="I106" s="1693"/>
      <c r="J106" s="1693"/>
      <c r="K106" s="1693"/>
      <c r="L106" s="1693"/>
      <c r="M106" s="1693"/>
      <c r="N106" s="1693"/>
      <c r="O106" s="4"/>
      <c r="P106" s="4"/>
      <c r="Q106" s="4"/>
    </row>
    <row r="107" spans="1:17" s="227" customFormat="1" ht="15">
      <c r="A107" s="4"/>
      <c r="B107" s="388"/>
      <c r="I107" s="1693"/>
      <c r="J107" s="1693"/>
      <c r="K107" s="1693"/>
      <c r="L107" s="1693"/>
      <c r="M107" s="1693"/>
      <c r="N107" s="1693"/>
      <c r="O107" s="4"/>
      <c r="P107" s="4"/>
      <c r="Q107" s="4"/>
    </row>
    <row r="108" spans="1:17" s="227" customFormat="1" ht="15">
      <c r="A108" s="4"/>
      <c r="B108" s="388"/>
      <c r="I108" s="1693"/>
      <c r="J108" s="1693"/>
      <c r="K108" s="1693"/>
      <c r="L108" s="1693"/>
      <c r="M108" s="1693"/>
      <c r="N108" s="1693"/>
      <c r="O108" s="4"/>
      <c r="P108" s="4"/>
      <c r="Q108" s="4"/>
    </row>
    <row r="109" spans="1:17" s="227" customFormat="1" ht="15">
      <c r="A109" s="4"/>
      <c r="B109" s="388"/>
      <c r="I109" s="1693"/>
      <c r="J109" s="1693"/>
      <c r="K109" s="1693"/>
      <c r="L109" s="1693"/>
      <c r="M109" s="1693"/>
      <c r="N109" s="1693"/>
      <c r="O109" s="4"/>
      <c r="P109" s="4"/>
      <c r="Q109" s="4"/>
    </row>
    <row r="110" spans="1:17" s="227" customFormat="1" ht="15">
      <c r="A110" s="4"/>
      <c r="B110" s="388"/>
      <c r="I110" s="1693"/>
      <c r="J110" s="1693"/>
      <c r="K110" s="1693"/>
      <c r="L110" s="1693"/>
      <c r="M110" s="1693"/>
      <c r="N110" s="1693"/>
      <c r="O110" s="4"/>
      <c r="P110" s="4"/>
      <c r="Q110" s="4"/>
    </row>
    <row r="111" spans="1:17" s="227" customFormat="1" ht="15">
      <c r="A111" s="4"/>
      <c r="B111" s="388"/>
      <c r="I111" s="1693"/>
      <c r="J111" s="1693"/>
      <c r="K111" s="1693"/>
      <c r="L111" s="1693"/>
      <c r="M111" s="1693"/>
      <c r="N111" s="1693"/>
      <c r="O111" s="4"/>
      <c r="P111" s="4"/>
      <c r="Q111" s="4"/>
    </row>
    <row r="112" spans="1:17" s="227" customFormat="1" ht="15">
      <c r="A112" s="4"/>
      <c r="B112" s="388"/>
      <c r="I112" s="1693"/>
      <c r="J112" s="1693"/>
      <c r="K112" s="1693"/>
      <c r="L112" s="1693"/>
      <c r="M112" s="1693"/>
      <c r="N112" s="1693"/>
      <c r="O112" s="4"/>
      <c r="P112" s="4"/>
      <c r="Q112" s="4"/>
    </row>
    <row r="113" spans="1:17" s="227" customFormat="1" ht="15">
      <c r="A113" s="4"/>
      <c r="B113" s="388"/>
      <c r="I113" s="1693"/>
      <c r="J113" s="1693"/>
      <c r="K113" s="1693"/>
      <c r="L113" s="1693"/>
      <c r="M113" s="1693"/>
      <c r="N113" s="1693"/>
      <c r="O113" s="4"/>
      <c r="P113" s="4"/>
      <c r="Q113" s="4"/>
    </row>
    <row r="114" spans="1:17" s="227" customFormat="1" ht="15">
      <c r="A114" s="4"/>
      <c r="B114" s="388"/>
      <c r="I114" s="1693"/>
      <c r="J114" s="1693"/>
      <c r="K114" s="1693"/>
      <c r="L114" s="1693"/>
      <c r="M114" s="1693"/>
      <c r="N114" s="1693"/>
      <c r="O114" s="4"/>
      <c r="P114" s="4"/>
      <c r="Q114" s="4"/>
    </row>
    <row r="115" spans="1:17" s="227" customFormat="1" ht="15">
      <c r="A115" s="4"/>
      <c r="B115" s="388"/>
      <c r="I115" s="1693"/>
      <c r="J115" s="1693"/>
      <c r="K115" s="1693"/>
      <c r="L115" s="1693"/>
      <c r="M115" s="1693"/>
      <c r="N115" s="1693"/>
      <c r="O115" s="4"/>
      <c r="P115" s="4"/>
      <c r="Q115" s="4"/>
    </row>
    <row r="116" spans="1:17" s="227" customFormat="1" ht="15">
      <c r="A116" s="4"/>
      <c r="B116" s="388"/>
      <c r="I116" s="1693"/>
      <c r="J116" s="1693"/>
      <c r="K116" s="1693"/>
      <c r="L116" s="1693"/>
      <c r="M116" s="1693"/>
      <c r="N116" s="1693"/>
      <c r="O116" s="4"/>
      <c r="P116" s="4"/>
      <c r="Q116" s="4"/>
    </row>
    <row r="117" spans="1:17" s="227" customFormat="1" ht="15">
      <c r="A117" s="4"/>
      <c r="B117" s="388"/>
      <c r="I117" s="1693"/>
      <c r="J117" s="1693"/>
      <c r="K117" s="1693"/>
      <c r="L117" s="1693"/>
      <c r="M117" s="1693"/>
      <c r="N117" s="1693"/>
      <c r="O117" s="4"/>
      <c r="P117" s="4"/>
      <c r="Q117" s="4"/>
    </row>
    <row r="118" spans="1:17" s="227" customFormat="1" ht="15">
      <c r="A118" s="4"/>
      <c r="B118" s="388"/>
      <c r="I118" s="1693"/>
      <c r="J118" s="1693"/>
      <c r="K118" s="1693"/>
      <c r="L118" s="1693"/>
      <c r="M118" s="1693"/>
      <c r="N118" s="1693"/>
      <c r="O118" s="4"/>
      <c r="P118" s="4"/>
      <c r="Q118" s="4"/>
    </row>
    <row r="119" spans="1:17" s="227" customFormat="1" ht="15">
      <c r="A119" s="4"/>
      <c r="B119" s="388"/>
      <c r="I119" s="1693"/>
      <c r="J119" s="1693"/>
      <c r="K119" s="1693"/>
      <c r="L119" s="1693"/>
      <c r="M119" s="1693"/>
      <c r="N119" s="1693"/>
      <c r="O119" s="4"/>
      <c r="P119" s="4"/>
      <c r="Q119" s="4"/>
    </row>
    <row r="120" spans="1:17" s="227" customFormat="1" ht="15">
      <c r="A120" s="4"/>
      <c r="B120" s="388"/>
      <c r="I120" s="1693"/>
      <c r="J120" s="1693"/>
      <c r="K120" s="1693"/>
      <c r="L120" s="1693"/>
      <c r="M120" s="1693"/>
      <c r="N120" s="1693"/>
      <c r="O120" s="4"/>
      <c r="P120" s="4"/>
      <c r="Q120" s="4"/>
    </row>
    <row r="121" spans="1:17" s="227" customFormat="1" ht="15">
      <c r="A121" s="4"/>
      <c r="B121" s="388"/>
      <c r="I121" s="1693"/>
      <c r="J121" s="1693"/>
      <c r="K121" s="1693"/>
      <c r="L121" s="1693"/>
      <c r="M121" s="1693"/>
      <c r="N121" s="1693"/>
      <c r="O121" s="4"/>
      <c r="P121" s="4"/>
      <c r="Q121" s="4"/>
    </row>
    <row r="122" spans="1:17" s="227" customFormat="1" ht="15">
      <c r="A122" s="4"/>
      <c r="B122" s="388"/>
      <c r="I122" s="1693"/>
      <c r="J122" s="1693"/>
      <c r="K122" s="1693"/>
      <c r="L122" s="1693"/>
      <c r="M122" s="1693"/>
      <c r="N122" s="1693"/>
      <c r="O122" s="4"/>
      <c r="P122" s="4"/>
      <c r="Q122" s="4"/>
    </row>
  </sheetData>
  <mergeCells count="13">
    <mergeCell ref="U3:W3"/>
    <mergeCell ref="A1:Q1"/>
    <mergeCell ref="A4:A8"/>
    <mergeCell ref="B4:B8"/>
    <mergeCell ref="C4:M5"/>
    <mergeCell ref="C6:E6"/>
    <mergeCell ref="F6:H6"/>
    <mergeCell ref="I6:K6"/>
    <mergeCell ref="L6:N6"/>
    <mergeCell ref="O4:W5"/>
    <mergeCell ref="O6:Q6"/>
    <mergeCell ref="R6:T6"/>
    <mergeCell ref="U6:W6"/>
  </mergeCells>
  <pageMargins left="0.39370078740157483" right="0" top="0.59055118110236227" bottom="0" header="0" footer="0"/>
  <pageSetup paperSize="9" scale="36"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ayfa17">
    <tabColor theme="3" tint="0.59999389629810485"/>
  </sheetPr>
  <dimension ref="A1:AY92"/>
  <sheetViews>
    <sheetView showGridLines="0" zoomScale="90" zoomScaleNormal="90" zoomScaleSheetLayoutView="75" workbookViewId="0">
      <selection activeCell="A3" sqref="A3:A5"/>
    </sheetView>
  </sheetViews>
  <sheetFormatPr defaultRowHeight="15.75"/>
  <cols>
    <col min="1" max="1" width="7.140625" style="1356" customWidth="1"/>
    <col min="2" max="2" width="20.5703125" style="1356" customWidth="1"/>
    <col min="3" max="3" width="17.7109375" style="1445" bestFit="1" customWidth="1"/>
    <col min="4" max="5" width="15.85546875" style="1445" customWidth="1"/>
    <col min="6" max="6" width="17.7109375" style="1445" customWidth="1"/>
    <col min="7" max="8" width="13.85546875" style="1445" customWidth="1"/>
    <col min="9" max="9" width="15.140625" style="1445" customWidth="1"/>
    <col min="10" max="10" width="9.5703125" style="1445" customWidth="1"/>
    <col min="11" max="11" width="15.28515625" style="1445" customWidth="1"/>
    <col min="12" max="12" width="10.85546875" style="1445" customWidth="1"/>
    <col min="13" max="13" width="11.42578125" style="1445" customWidth="1"/>
    <col min="14" max="14" width="13.42578125" style="1445" customWidth="1"/>
    <col min="15" max="16" width="11.7109375" style="1356" bestFit="1" customWidth="1"/>
    <col min="17" max="17" width="14.7109375" style="1356" bestFit="1" customWidth="1"/>
    <col min="18" max="18" width="15.5703125" style="1421" customWidth="1"/>
    <col min="19" max="19" width="12.85546875" style="1356" bestFit="1" customWidth="1"/>
    <col min="20" max="20" width="11.140625" style="1421" customWidth="1"/>
    <col min="21" max="22" width="14.7109375" style="1356" bestFit="1" customWidth="1"/>
    <col min="23" max="23" width="13.42578125" style="1356" customWidth="1"/>
    <col min="24" max="25" width="0.140625" style="1356" customWidth="1"/>
    <col min="26" max="26" width="12.42578125" style="1356" hidden="1" customWidth="1"/>
    <col min="27" max="27" width="8" style="1356" hidden="1" customWidth="1"/>
    <col min="28" max="28" width="6.7109375" style="1356" hidden="1" customWidth="1"/>
    <col min="29" max="29" width="12.5703125" style="1356" hidden="1" customWidth="1"/>
    <col min="30" max="30" width="5.7109375" style="1356" hidden="1" customWidth="1"/>
    <col min="31" max="32" width="4.7109375" style="1356" hidden="1" customWidth="1"/>
    <col min="33" max="33" width="1.85546875" style="1356" hidden="1" customWidth="1"/>
    <col min="34" max="34" width="0.28515625" style="1356" hidden="1" customWidth="1"/>
    <col min="35" max="35" width="23.85546875" style="1356" hidden="1" customWidth="1"/>
    <col min="36" max="36" width="0.28515625" style="1356" hidden="1" customWidth="1"/>
    <col min="37" max="37" width="14.42578125" style="1371" hidden="1" customWidth="1"/>
    <col min="38" max="38" width="15.7109375" style="1356" customWidth="1"/>
    <col min="39" max="39" width="16.7109375" style="1356" customWidth="1"/>
    <col min="40" max="40" width="12.28515625" style="1356" customWidth="1"/>
    <col min="41" max="41" width="16.5703125" style="1356" customWidth="1"/>
    <col min="42" max="42" width="13.42578125" style="1356" customWidth="1"/>
    <col min="43" max="43" width="22" style="1356" customWidth="1"/>
    <col min="44" max="44" width="18.7109375" style="1356" customWidth="1"/>
    <col min="45" max="45" width="0.140625" style="1356" customWidth="1"/>
    <col min="46" max="46" width="18.5703125" style="1372" customWidth="1"/>
    <col min="47" max="16384" width="9.140625" style="1356"/>
  </cols>
  <sheetData>
    <row r="1" spans="1:51" ht="26.25" customHeight="1">
      <c r="A1" s="1357" t="s">
        <v>971</v>
      </c>
      <c r="B1" s="1358"/>
      <c r="C1" s="1359"/>
      <c r="D1" s="1359"/>
      <c r="E1" s="1359"/>
      <c r="F1" s="1359"/>
      <c r="G1" s="1359"/>
      <c r="H1" s="1359"/>
      <c r="I1" s="1359"/>
      <c r="J1" s="1359"/>
      <c r="K1" s="1359"/>
      <c r="L1" s="1359"/>
      <c r="M1" s="1359"/>
      <c r="N1" s="1359"/>
      <c r="O1" s="1360"/>
      <c r="P1" s="1360"/>
      <c r="Q1" s="1360"/>
      <c r="R1" s="1360"/>
      <c r="S1" s="1360"/>
      <c r="T1" s="1361"/>
      <c r="U1" s="1360"/>
      <c r="V1" s="1360"/>
      <c r="W1" s="1360"/>
      <c r="X1" s="1362"/>
      <c r="Y1" s="1362"/>
      <c r="Z1" s="1362"/>
      <c r="AA1" s="1362"/>
      <c r="AB1" s="1362"/>
      <c r="AC1" s="1362"/>
      <c r="AD1" s="1362"/>
      <c r="AE1" s="1362"/>
      <c r="AF1" s="1362"/>
      <c r="AG1" s="1362"/>
      <c r="AH1" s="1362"/>
      <c r="AI1" s="1362"/>
      <c r="AJ1" s="1362"/>
      <c r="AK1" s="1363"/>
      <c r="AL1" s="1362"/>
      <c r="AM1" s="1362"/>
      <c r="AN1" s="1362"/>
      <c r="AO1" s="1362"/>
      <c r="AP1" s="1362"/>
      <c r="AQ1" s="1362"/>
      <c r="AR1" s="1362"/>
      <c r="AS1" s="1362"/>
      <c r="AT1" s="1364"/>
    </row>
    <row r="2" spans="1:51" ht="15.75" customHeight="1" thickBot="1">
      <c r="A2" s="1365" t="s">
        <v>972</v>
      </c>
      <c r="B2" s="1365"/>
      <c r="C2" s="1366"/>
      <c r="D2" s="1366"/>
      <c r="E2" s="1366"/>
      <c r="F2" s="1366"/>
      <c r="G2" s="1366"/>
      <c r="H2" s="1366"/>
      <c r="I2" s="1366"/>
      <c r="J2" s="1366"/>
      <c r="K2" s="1366"/>
      <c r="L2" s="1366"/>
      <c r="M2" s="1366"/>
      <c r="N2" s="1366"/>
      <c r="O2" s="1367"/>
      <c r="P2" s="1367"/>
      <c r="Q2" s="1367"/>
      <c r="R2" s="1368"/>
      <c r="S2" s="1367"/>
      <c r="T2" s="1369"/>
      <c r="V2" s="1924" t="s">
        <v>1163</v>
      </c>
      <c r="W2" s="1925"/>
      <c r="X2" s="1925"/>
      <c r="Y2" s="1370"/>
      <c r="Z2" s="1370"/>
      <c r="AA2" s="1370"/>
      <c r="AB2" s="1370"/>
      <c r="AC2" s="1370"/>
      <c r="AD2" s="1370"/>
      <c r="AE2" s="1370"/>
      <c r="AF2" s="1370"/>
      <c r="AG2" s="1370"/>
      <c r="AH2" s="1370"/>
      <c r="AI2" s="1370"/>
      <c r="AJ2" s="1370"/>
    </row>
    <row r="3" spans="1:51" ht="29.25" customHeight="1" thickBot="1">
      <c r="A3" s="1946" t="s">
        <v>1194</v>
      </c>
      <c r="B3" s="1373"/>
      <c r="C3" s="1926" t="s">
        <v>981</v>
      </c>
      <c r="D3" s="1927"/>
      <c r="E3" s="1927"/>
      <c r="F3" s="1927"/>
      <c r="G3" s="1927"/>
      <c r="H3" s="1927"/>
      <c r="I3" s="1927"/>
      <c r="J3" s="1927"/>
      <c r="K3" s="1927"/>
      <c r="L3" s="1927"/>
      <c r="M3" s="1927"/>
      <c r="N3" s="1928"/>
      <c r="O3" s="1929" t="s">
        <v>1195</v>
      </c>
      <c r="P3" s="1930"/>
      <c r="Q3" s="1930"/>
      <c r="R3" s="1930"/>
      <c r="S3" s="1930"/>
      <c r="T3" s="1931"/>
      <c r="U3" s="1932" t="s">
        <v>1196</v>
      </c>
      <c r="V3" s="1935" t="s">
        <v>1197</v>
      </c>
      <c r="W3" s="1938" t="s">
        <v>1198</v>
      </c>
      <c r="X3" s="1374"/>
      <c r="Y3" s="1374"/>
      <c r="Z3" s="1374"/>
      <c r="AC3" s="1375"/>
      <c r="AD3" s="1376" t="s">
        <v>180</v>
      </c>
      <c r="AE3" s="1376" t="s">
        <v>788</v>
      </c>
      <c r="AF3" s="1375" t="s">
        <v>787</v>
      </c>
      <c r="AH3" s="1376" t="s">
        <v>180</v>
      </c>
      <c r="AI3" s="1376" t="s">
        <v>788</v>
      </c>
      <c r="AJ3" s="1375" t="s">
        <v>787</v>
      </c>
    </row>
    <row r="4" spans="1:51" ht="31.5" customHeight="1">
      <c r="A4" s="1947"/>
      <c r="B4" s="1377"/>
      <c r="C4" s="1941" t="s">
        <v>981</v>
      </c>
      <c r="D4" s="1942"/>
      <c r="E4" s="1943"/>
      <c r="F4" s="1941" t="s">
        <v>1147</v>
      </c>
      <c r="G4" s="1942" t="s">
        <v>1144</v>
      </c>
      <c r="H4" s="1943"/>
      <c r="I4" s="1944" t="s">
        <v>1145</v>
      </c>
      <c r="J4" s="1930"/>
      <c r="K4" s="1945"/>
      <c r="L4" s="1944" t="s">
        <v>1146</v>
      </c>
      <c r="M4" s="1930"/>
      <c r="N4" s="1945"/>
      <c r="O4" s="1378"/>
      <c r="P4" s="1379"/>
      <c r="Q4" s="1379"/>
      <c r="R4" s="1949" t="s">
        <v>1199</v>
      </c>
      <c r="S4" s="1949"/>
      <c r="T4" s="1380"/>
      <c r="U4" s="1933"/>
      <c r="V4" s="1936"/>
      <c r="W4" s="1939"/>
      <c r="X4" s="1374"/>
      <c r="Y4" s="1374"/>
      <c r="Z4" s="1374"/>
      <c r="AC4" s="1381"/>
      <c r="AD4" s="1382" t="s">
        <v>886</v>
      </c>
      <c r="AE4" s="1382" t="s">
        <v>886</v>
      </c>
      <c r="AF4" s="1382" t="s">
        <v>886</v>
      </c>
      <c r="AH4" s="1382" t="s">
        <v>886</v>
      </c>
      <c r="AI4" s="1382" t="s">
        <v>886</v>
      </c>
      <c r="AJ4" s="1382" t="s">
        <v>886</v>
      </c>
    </row>
    <row r="5" spans="1:51" ht="84" customHeight="1" thickBot="1">
      <c r="A5" s="1948"/>
      <c r="B5" s="1383" t="s">
        <v>1200</v>
      </c>
      <c r="C5" s="1384" t="s">
        <v>1259</v>
      </c>
      <c r="D5" s="1385" t="s">
        <v>1257</v>
      </c>
      <c r="E5" s="1386" t="s">
        <v>1258</v>
      </c>
      <c r="F5" s="1384" t="s">
        <v>1259</v>
      </c>
      <c r="G5" s="1387" t="s">
        <v>1257</v>
      </c>
      <c r="H5" s="1386" t="s">
        <v>1258</v>
      </c>
      <c r="I5" s="1384" t="s">
        <v>1259</v>
      </c>
      <c r="J5" s="1385" t="s">
        <v>1260</v>
      </c>
      <c r="K5" s="1386" t="s">
        <v>1258</v>
      </c>
      <c r="L5" s="1384" t="s">
        <v>1259</v>
      </c>
      <c r="M5" s="1385" t="s">
        <v>1261</v>
      </c>
      <c r="N5" s="1386" t="s">
        <v>1262</v>
      </c>
      <c r="O5" s="1388" t="s">
        <v>1201</v>
      </c>
      <c r="P5" s="1389" t="s">
        <v>1202</v>
      </c>
      <c r="Q5" s="1390" t="s">
        <v>1203</v>
      </c>
      <c r="R5" s="1391" t="s">
        <v>1204</v>
      </c>
      <c r="S5" s="1391" t="s">
        <v>1205</v>
      </c>
      <c r="T5" s="1392" t="s">
        <v>1206</v>
      </c>
      <c r="U5" s="1934"/>
      <c r="V5" s="1937"/>
      <c r="W5" s="1940"/>
      <c r="X5" s="1374"/>
      <c r="Y5" s="1374"/>
      <c r="Z5" s="1374" t="s">
        <v>801</v>
      </c>
      <c r="AC5" s="1393" t="s">
        <v>377</v>
      </c>
      <c r="AD5" s="1394"/>
      <c r="AE5" s="1395"/>
      <c r="AF5" s="1394"/>
    </row>
    <row r="6" spans="1:51" ht="18.75" customHeight="1">
      <c r="A6" s="1396" t="s">
        <v>195</v>
      </c>
      <c r="B6" s="1397" t="s">
        <v>196</v>
      </c>
      <c r="C6" s="1398">
        <f>+D6+E6</f>
        <v>73663</v>
      </c>
      <c r="D6" s="1399">
        <f>+G6+J6+M6</f>
        <v>44384</v>
      </c>
      <c r="E6" s="1400">
        <f>+H6+K6+N6</f>
        <v>29279</v>
      </c>
      <c r="F6" s="1401">
        <f>+G6+H6</f>
        <v>73645</v>
      </c>
      <c r="G6" s="1402">
        <v>44367</v>
      </c>
      <c r="H6" s="1403">
        <v>29278</v>
      </c>
      <c r="I6" s="1401">
        <f>+J6+K6</f>
        <v>2</v>
      </c>
      <c r="J6" s="1402">
        <v>1</v>
      </c>
      <c r="K6" s="1403">
        <v>1</v>
      </c>
      <c r="L6" s="1401">
        <f>+M6+N6</f>
        <v>16</v>
      </c>
      <c r="M6" s="1402">
        <v>16</v>
      </c>
      <c r="N6" s="1403">
        <v>0</v>
      </c>
      <c r="O6" s="1404">
        <v>636</v>
      </c>
      <c r="P6" s="1405">
        <v>344</v>
      </c>
      <c r="Q6" s="1405">
        <v>31646</v>
      </c>
      <c r="R6" s="1405">
        <v>10690</v>
      </c>
      <c r="S6" s="1405">
        <v>14681</v>
      </c>
      <c r="T6" s="1406">
        <v>1047</v>
      </c>
      <c r="U6" s="1407">
        <f>+O6+P6+Q6+R6</f>
        <v>43316</v>
      </c>
      <c r="V6" s="1408">
        <f>+O6+P6+Q6+S6</f>
        <v>47307</v>
      </c>
      <c r="W6" s="1409">
        <f t="shared" ref="W6:W69" si="0">(C6*AD6)+(O6*AF6)+(P6*AF6)+(Q6*AE6)+S6</f>
        <v>292735.6881115596</v>
      </c>
      <c r="X6" s="1410"/>
      <c r="Y6" s="1411"/>
      <c r="Z6" s="1411">
        <f t="shared" ref="Z6:Z69" si="1">+W6-C6-O6-P6-Q6-S6</f>
        <v>171765.6881115596</v>
      </c>
      <c r="AC6" s="1356" t="s">
        <v>378</v>
      </c>
      <c r="AD6" s="1412">
        <v>2.7921161509759624</v>
      </c>
      <c r="AE6" s="1412">
        <v>2.1920581875368588</v>
      </c>
      <c r="AF6" s="1412">
        <v>3.0705741626794256</v>
      </c>
      <c r="AG6" s="1412"/>
      <c r="AH6" s="1412">
        <f>AD6-1</f>
        <v>1.7921161509759624</v>
      </c>
      <c r="AI6" s="1412">
        <f>AE6-1</f>
        <v>1.1920581875368588</v>
      </c>
      <c r="AJ6" s="1412">
        <f>AF6-1</f>
        <v>2.0705741626794256</v>
      </c>
      <c r="AM6" s="1413"/>
      <c r="AN6" s="1411"/>
      <c r="AQ6" s="1414"/>
      <c r="AS6" s="1414">
        <f>+AQ6-AO6</f>
        <v>0</v>
      </c>
      <c r="AT6" s="1372" t="s">
        <v>729</v>
      </c>
      <c r="AU6" s="1356" t="s">
        <v>729</v>
      </c>
    </row>
    <row r="7" spans="1:51" ht="18.75" customHeight="1">
      <c r="A7" s="1354" t="s">
        <v>197</v>
      </c>
      <c r="B7" s="1415" t="s">
        <v>198</v>
      </c>
      <c r="C7" s="1398">
        <f t="shared" ref="C7:C70" si="2">+D7+E7</f>
        <v>22826</v>
      </c>
      <c r="D7" s="1399">
        <f t="shared" ref="D7:D70" si="3">+G7+J7+M7</f>
        <v>15900</v>
      </c>
      <c r="E7" s="1400">
        <f t="shared" ref="E7:E70" si="4">+H7+K7+N7</f>
        <v>6926</v>
      </c>
      <c r="F7" s="1416">
        <f t="shared" ref="F7:F70" si="5">+G7+H7</f>
        <v>22825</v>
      </c>
      <c r="G7" s="1400">
        <v>15899</v>
      </c>
      <c r="H7" s="1417">
        <v>6926</v>
      </c>
      <c r="I7" s="1416">
        <f t="shared" ref="I7:I70" si="6">+J7+K7</f>
        <v>1</v>
      </c>
      <c r="J7" s="1400">
        <v>1</v>
      </c>
      <c r="K7" s="1417">
        <v>0</v>
      </c>
      <c r="L7" s="1416">
        <f t="shared" ref="L7:L70" si="7">+M7+N7</f>
        <v>0</v>
      </c>
      <c r="M7" s="1400">
        <v>0</v>
      </c>
      <c r="N7" s="1417">
        <v>0</v>
      </c>
      <c r="O7" s="1418">
        <v>81</v>
      </c>
      <c r="P7" s="1419">
        <v>49</v>
      </c>
      <c r="Q7" s="1419">
        <v>4925</v>
      </c>
      <c r="R7" s="1419">
        <v>1652</v>
      </c>
      <c r="S7" s="1419">
        <v>2454</v>
      </c>
      <c r="T7" s="1420">
        <v>198</v>
      </c>
      <c r="U7" s="1407">
        <f t="shared" ref="U7:U70" si="8">+O7+P7+Q7+R7</f>
        <v>6707</v>
      </c>
      <c r="V7" s="1408">
        <f t="shared" ref="V7:V70" si="9">+O7+P7+Q7+S7</f>
        <v>7509</v>
      </c>
      <c r="W7" s="1409">
        <f t="shared" si="0"/>
        <v>91627.114151826492</v>
      </c>
      <c r="X7" s="1410"/>
      <c r="Y7" s="1411"/>
      <c r="Z7" s="1411">
        <f t="shared" si="1"/>
        <v>61292.114151826492</v>
      </c>
      <c r="AC7" s="1356" t="s">
        <v>379</v>
      </c>
      <c r="AD7" s="1412">
        <v>3.2428435114503817</v>
      </c>
      <c r="AE7" s="1412">
        <v>2.9763507206588899</v>
      </c>
      <c r="AF7" s="1412">
        <v>3.795698924731183</v>
      </c>
      <c r="AG7" s="1412"/>
      <c r="AH7" s="1412">
        <f t="shared" ref="AH7:AJ70" si="10">AD7-1</f>
        <v>2.2428435114503817</v>
      </c>
      <c r="AI7" s="1412">
        <f t="shared" si="10"/>
        <v>1.9763507206588899</v>
      </c>
      <c r="AJ7" s="1412">
        <f t="shared" si="10"/>
        <v>2.795698924731183</v>
      </c>
      <c r="AM7" s="1413"/>
      <c r="AN7" s="1411"/>
      <c r="AQ7" s="1414"/>
      <c r="AS7" s="1414">
        <f t="shared" ref="AS7:AS70" si="11">+AQ7-AO7</f>
        <v>0</v>
      </c>
      <c r="AU7" s="1421"/>
      <c r="AV7" s="1421"/>
      <c r="AW7" s="1421"/>
      <c r="AX7" s="1421"/>
      <c r="AY7" s="1421"/>
    </row>
    <row r="8" spans="1:51" ht="18.75" customHeight="1">
      <c r="A8" s="1354" t="s">
        <v>199</v>
      </c>
      <c r="B8" s="1415" t="s">
        <v>200</v>
      </c>
      <c r="C8" s="1398">
        <f t="shared" si="2"/>
        <v>27266</v>
      </c>
      <c r="D8" s="1399">
        <f t="shared" si="3"/>
        <v>18015</v>
      </c>
      <c r="E8" s="1400">
        <f t="shared" si="4"/>
        <v>9251</v>
      </c>
      <c r="F8" s="1416">
        <f t="shared" si="5"/>
        <v>27246</v>
      </c>
      <c r="G8" s="1400">
        <v>17998</v>
      </c>
      <c r="H8" s="1417">
        <v>9248</v>
      </c>
      <c r="I8" s="1416">
        <f t="shared" si="6"/>
        <v>4</v>
      </c>
      <c r="J8" s="1400">
        <v>1</v>
      </c>
      <c r="K8" s="1417">
        <v>3</v>
      </c>
      <c r="L8" s="1416">
        <f t="shared" si="7"/>
        <v>16</v>
      </c>
      <c r="M8" s="1400">
        <v>16</v>
      </c>
      <c r="N8" s="1417">
        <v>0</v>
      </c>
      <c r="O8" s="1422">
        <v>267</v>
      </c>
      <c r="P8" s="1399">
        <v>135</v>
      </c>
      <c r="Q8" s="1399">
        <v>13019</v>
      </c>
      <c r="R8" s="1399">
        <v>4549</v>
      </c>
      <c r="S8" s="1399">
        <v>5728</v>
      </c>
      <c r="T8" s="1420">
        <v>378</v>
      </c>
      <c r="U8" s="1407">
        <f t="shared" si="8"/>
        <v>17970</v>
      </c>
      <c r="V8" s="1408">
        <f t="shared" si="9"/>
        <v>19149</v>
      </c>
      <c r="W8" s="1409">
        <f t="shared" si="0"/>
        <v>112896.4949277635</v>
      </c>
      <c r="X8" s="1410"/>
      <c r="Y8" s="1411"/>
      <c r="Z8" s="1411">
        <f t="shared" si="1"/>
        <v>66481.494927763502</v>
      </c>
      <c r="AC8" s="1356" t="s">
        <v>1</v>
      </c>
      <c r="AD8" s="1412">
        <v>2.819000562886985</v>
      </c>
      <c r="AE8" s="1412">
        <v>2.2277254866124463</v>
      </c>
      <c r="AF8" s="1412">
        <v>3.2409638554216866</v>
      </c>
      <c r="AG8" s="1412"/>
      <c r="AH8" s="1412">
        <f t="shared" si="10"/>
        <v>1.819000562886985</v>
      </c>
      <c r="AI8" s="1412">
        <f t="shared" si="10"/>
        <v>1.2277254866124463</v>
      </c>
      <c r="AJ8" s="1412">
        <f t="shared" si="10"/>
        <v>2.2409638554216866</v>
      </c>
      <c r="AM8" s="1413"/>
      <c r="AN8" s="1411"/>
      <c r="AQ8" s="1414"/>
      <c r="AS8" s="1414">
        <f t="shared" si="11"/>
        <v>0</v>
      </c>
    </row>
    <row r="9" spans="1:51" ht="18.75" customHeight="1">
      <c r="A9" s="1354" t="s">
        <v>201</v>
      </c>
      <c r="B9" s="1415" t="s">
        <v>202</v>
      </c>
      <c r="C9" s="1398">
        <f t="shared" si="2"/>
        <v>18294</v>
      </c>
      <c r="D9" s="1399">
        <f t="shared" si="3"/>
        <v>13083</v>
      </c>
      <c r="E9" s="1400">
        <f t="shared" si="4"/>
        <v>5211</v>
      </c>
      <c r="F9" s="1416">
        <f t="shared" si="5"/>
        <v>18282</v>
      </c>
      <c r="G9" s="1400">
        <v>13071</v>
      </c>
      <c r="H9" s="1417">
        <v>5211</v>
      </c>
      <c r="I9" s="1416">
        <f t="shared" si="6"/>
        <v>3</v>
      </c>
      <c r="J9" s="1400">
        <v>3</v>
      </c>
      <c r="K9" s="1417">
        <v>0</v>
      </c>
      <c r="L9" s="1416">
        <f t="shared" si="7"/>
        <v>9</v>
      </c>
      <c r="M9" s="1400">
        <v>9</v>
      </c>
      <c r="N9" s="1417">
        <v>0</v>
      </c>
      <c r="O9" s="1422">
        <v>23</v>
      </c>
      <c r="P9" s="1399">
        <v>48</v>
      </c>
      <c r="Q9" s="1399">
        <v>2562</v>
      </c>
      <c r="R9" s="1399">
        <v>901</v>
      </c>
      <c r="S9" s="1399">
        <v>1379</v>
      </c>
      <c r="T9" s="1420">
        <v>102</v>
      </c>
      <c r="U9" s="1407">
        <f t="shared" si="8"/>
        <v>3534</v>
      </c>
      <c r="V9" s="1408">
        <f t="shared" si="9"/>
        <v>4012</v>
      </c>
      <c r="W9" s="1409">
        <f t="shared" si="0"/>
        <v>63169.617783865615</v>
      </c>
      <c r="X9" s="1410"/>
      <c r="Y9" s="1411"/>
      <c r="Z9" s="1411">
        <f t="shared" si="1"/>
        <v>40863.617783865615</v>
      </c>
      <c r="AC9" s="1356" t="s">
        <v>2</v>
      </c>
      <c r="AD9" s="1412">
        <v>2.9086466165413536</v>
      </c>
      <c r="AE9" s="1412">
        <v>3.2495555555555602</v>
      </c>
      <c r="AF9" s="1412">
        <v>3.5841584158415842</v>
      </c>
      <c r="AG9" s="1412"/>
      <c r="AH9" s="1412">
        <f t="shared" si="10"/>
        <v>1.9086466165413536</v>
      </c>
      <c r="AI9" s="1412">
        <f t="shared" si="10"/>
        <v>2.2495555555555602</v>
      </c>
      <c r="AJ9" s="1412">
        <f t="shared" si="10"/>
        <v>2.5841584158415842</v>
      </c>
      <c r="AM9" s="1413"/>
      <c r="AN9" s="1411"/>
      <c r="AQ9" s="1414"/>
      <c r="AS9" s="1414">
        <f t="shared" si="11"/>
        <v>0</v>
      </c>
    </row>
    <row r="10" spans="1:51" ht="18.75" customHeight="1">
      <c r="A10" s="1354" t="s">
        <v>185</v>
      </c>
      <c r="B10" s="1415" t="s">
        <v>186</v>
      </c>
      <c r="C10" s="1398">
        <f t="shared" si="2"/>
        <v>16846</v>
      </c>
      <c r="D10" s="1399">
        <f t="shared" si="3"/>
        <v>11493</v>
      </c>
      <c r="E10" s="1400">
        <f t="shared" si="4"/>
        <v>5353</v>
      </c>
      <c r="F10" s="1416">
        <f t="shared" si="5"/>
        <v>16846</v>
      </c>
      <c r="G10" s="1400">
        <v>11493</v>
      </c>
      <c r="H10" s="1417">
        <v>5353</v>
      </c>
      <c r="I10" s="1416">
        <f t="shared" si="6"/>
        <v>0</v>
      </c>
      <c r="J10" s="1400">
        <v>0</v>
      </c>
      <c r="K10" s="1417">
        <v>0</v>
      </c>
      <c r="L10" s="1416">
        <f t="shared" si="7"/>
        <v>0</v>
      </c>
      <c r="M10" s="1400">
        <v>0</v>
      </c>
      <c r="N10" s="1417">
        <v>0</v>
      </c>
      <c r="O10" s="1422">
        <v>184</v>
      </c>
      <c r="P10" s="1399">
        <v>74</v>
      </c>
      <c r="Q10" s="1399">
        <v>8543</v>
      </c>
      <c r="R10" s="1399">
        <v>2607</v>
      </c>
      <c r="S10" s="1399">
        <v>3289</v>
      </c>
      <c r="T10" s="1420">
        <v>228</v>
      </c>
      <c r="U10" s="1407">
        <f t="shared" si="8"/>
        <v>11408</v>
      </c>
      <c r="V10" s="1408">
        <f t="shared" si="9"/>
        <v>12090</v>
      </c>
      <c r="W10" s="1409">
        <f t="shared" si="0"/>
        <v>73520.489734631701</v>
      </c>
      <c r="X10" s="1410"/>
      <c r="Y10" s="1411"/>
      <c r="Z10" s="1411">
        <f t="shared" si="1"/>
        <v>44584.489734631701</v>
      </c>
      <c r="AC10" s="1356" t="s">
        <v>3</v>
      </c>
      <c r="AD10" s="1412">
        <v>3.0213730569948187</v>
      </c>
      <c r="AE10" s="1412">
        <v>2.1705514496873222</v>
      </c>
      <c r="AF10" s="1412">
        <v>3.0636363636363635</v>
      </c>
      <c r="AG10" s="1412"/>
      <c r="AH10" s="1412">
        <f t="shared" si="10"/>
        <v>2.0213730569948187</v>
      </c>
      <c r="AI10" s="1412">
        <f t="shared" si="10"/>
        <v>1.1705514496873222</v>
      </c>
      <c r="AJ10" s="1412">
        <f t="shared" si="10"/>
        <v>2.0636363636363635</v>
      </c>
      <c r="AM10" s="1413"/>
      <c r="AN10" s="1411"/>
      <c r="AQ10" s="1414"/>
      <c r="AS10" s="1414">
        <f t="shared" si="11"/>
        <v>0</v>
      </c>
    </row>
    <row r="11" spans="1:51" ht="18.75" customHeight="1">
      <c r="A11" s="1354" t="s">
        <v>187</v>
      </c>
      <c r="B11" s="1415" t="s">
        <v>188</v>
      </c>
      <c r="C11" s="1398">
        <f t="shared" si="2"/>
        <v>388254</v>
      </c>
      <c r="D11" s="1399">
        <f t="shared" si="3"/>
        <v>238576</v>
      </c>
      <c r="E11" s="1400">
        <f t="shared" si="4"/>
        <v>149678</v>
      </c>
      <c r="F11" s="1416">
        <f t="shared" si="5"/>
        <v>388049</v>
      </c>
      <c r="G11" s="1400">
        <v>238445</v>
      </c>
      <c r="H11" s="1417">
        <v>149604</v>
      </c>
      <c r="I11" s="1416">
        <f t="shared" si="6"/>
        <v>136</v>
      </c>
      <c r="J11" s="1400">
        <v>65</v>
      </c>
      <c r="K11" s="1417">
        <v>71</v>
      </c>
      <c r="L11" s="1416">
        <f t="shared" si="7"/>
        <v>69</v>
      </c>
      <c r="M11" s="1400">
        <v>66</v>
      </c>
      <c r="N11" s="1417">
        <v>3</v>
      </c>
      <c r="O11" s="1422">
        <v>3792</v>
      </c>
      <c r="P11" s="1399">
        <v>1461</v>
      </c>
      <c r="Q11" s="1399">
        <v>217698</v>
      </c>
      <c r="R11" s="1399">
        <v>70719</v>
      </c>
      <c r="S11" s="1399">
        <v>88236</v>
      </c>
      <c r="T11" s="1420">
        <v>3421</v>
      </c>
      <c r="U11" s="1407">
        <f t="shared" si="8"/>
        <v>293670</v>
      </c>
      <c r="V11" s="1408">
        <f t="shared" si="9"/>
        <v>311187</v>
      </c>
      <c r="W11" s="1409">
        <f t="shared" si="0"/>
        <v>1237714.8638152843</v>
      </c>
      <c r="X11" s="1410"/>
      <c r="Y11" s="1411"/>
      <c r="Z11" s="1411">
        <f t="shared" si="1"/>
        <v>538273.86381528433</v>
      </c>
      <c r="AC11" s="1356" t="s">
        <v>4</v>
      </c>
      <c r="AD11" s="1412">
        <v>2.1845198367496499</v>
      </c>
      <c r="AE11" s="1412">
        <v>1.3346918265148799</v>
      </c>
      <c r="AF11" s="1412">
        <v>2.0503631961259101</v>
      </c>
      <c r="AG11" s="1412"/>
      <c r="AH11" s="1412">
        <f t="shared" si="10"/>
        <v>1.1845198367496499</v>
      </c>
      <c r="AI11" s="1412">
        <f t="shared" si="10"/>
        <v>0.33469182651487994</v>
      </c>
      <c r="AJ11" s="1412">
        <f t="shared" si="10"/>
        <v>1.0503631961259101</v>
      </c>
      <c r="AM11" s="1413"/>
      <c r="AN11" s="1411"/>
      <c r="AQ11" s="1414"/>
      <c r="AS11" s="1414">
        <f t="shared" si="11"/>
        <v>0</v>
      </c>
    </row>
    <row r="12" spans="1:51" ht="18.75" customHeight="1">
      <c r="A12" s="1354" t="s">
        <v>189</v>
      </c>
      <c r="B12" s="1415" t="s">
        <v>190</v>
      </c>
      <c r="C12" s="1398">
        <f t="shared" si="2"/>
        <v>72921</v>
      </c>
      <c r="D12" s="1399">
        <f t="shared" si="3"/>
        <v>42068</v>
      </c>
      <c r="E12" s="1400">
        <f t="shared" si="4"/>
        <v>30853</v>
      </c>
      <c r="F12" s="1416">
        <f t="shared" si="5"/>
        <v>72896</v>
      </c>
      <c r="G12" s="1400">
        <v>42044</v>
      </c>
      <c r="H12" s="1417">
        <v>30852</v>
      </c>
      <c r="I12" s="1416">
        <f t="shared" si="6"/>
        <v>3</v>
      </c>
      <c r="J12" s="1400">
        <v>2</v>
      </c>
      <c r="K12" s="1417">
        <v>1</v>
      </c>
      <c r="L12" s="1416">
        <f t="shared" si="7"/>
        <v>22</v>
      </c>
      <c r="M12" s="1400">
        <v>22</v>
      </c>
      <c r="N12" s="1417">
        <v>0</v>
      </c>
      <c r="O12" s="1422">
        <v>894</v>
      </c>
      <c r="P12" s="1399">
        <v>330</v>
      </c>
      <c r="Q12" s="1399">
        <v>49260</v>
      </c>
      <c r="R12" s="1399">
        <v>14613</v>
      </c>
      <c r="S12" s="1399">
        <v>17957</v>
      </c>
      <c r="T12" s="1420">
        <v>1124</v>
      </c>
      <c r="U12" s="1407">
        <f t="shared" si="8"/>
        <v>65097</v>
      </c>
      <c r="V12" s="1408">
        <f t="shared" si="9"/>
        <v>68441</v>
      </c>
      <c r="W12" s="1409">
        <f t="shared" si="0"/>
        <v>303364.59512227768</v>
      </c>
      <c r="X12" s="1410"/>
      <c r="Y12" s="1411"/>
      <c r="Z12" s="1411">
        <f t="shared" si="1"/>
        <v>162002.59512227768</v>
      </c>
      <c r="AC12" s="1356" t="s">
        <v>230</v>
      </c>
      <c r="AD12" s="1412">
        <v>2.5618631732168851</v>
      </c>
      <c r="AE12" s="1412">
        <v>1.9370250628644063</v>
      </c>
      <c r="AF12" s="1412">
        <v>2.5948660714285716</v>
      </c>
      <c r="AG12" s="1412"/>
      <c r="AH12" s="1412">
        <f t="shared" si="10"/>
        <v>1.5618631732168851</v>
      </c>
      <c r="AI12" s="1412">
        <f t="shared" si="10"/>
        <v>0.93702506286440634</v>
      </c>
      <c r="AJ12" s="1412">
        <f t="shared" si="10"/>
        <v>1.5948660714285716</v>
      </c>
      <c r="AM12" s="1413"/>
      <c r="AN12" s="1411"/>
      <c r="AQ12" s="1414"/>
      <c r="AS12" s="1414">
        <f t="shared" si="11"/>
        <v>0</v>
      </c>
    </row>
    <row r="13" spans="1:51" ht="18.75" customHeight="1">
      <c r="A13" s="1354" t="s">
        <v>643</v>
      </c>
      <c r="B13" s="1415" t="s">
        <v>644</v>
      </c>
      <c r="C13" s="1398">
        <f t="shared" si="2"/>
        <v>9418</v>
      </c>
      <c r="D13" s="1399">
        <f t="shared" si="3"/>
        <v>6357</v>
      </c>
      <c r="E13" s="1400">
        <f t="shared" si="4"/>
        <v>3061</v>
      </c>
      <c r="F13" s="1416">
        <f t="shared" si="5"/>
        <v>9417</v>
      </c>
      <c r="G13" s="1400">
        <v>6356</v>
      </c>
      <c r="H13" s="1417">
        <v>3061</v>
      </c>
      <c r="I13" s="1416">
        <f t="shared" si="6"/>
        <v>1</v>
      </c>
      <c r="J13" s="1400">
        <v>1</v>
      </c>
      <c r="K13" s="1417">
        <v>0</v>
      </c>
      <c r="L13" s="1416">
        <f t="shared" si="7"/>
        <v>0</v>
      </c>
      <c r="M13" s="1400">
        <v>0</v>
      </c>
      <c r="N13" s="1417">
        <v>0</v>
      </c>
      <c r="O13" s="1422">
        <v>44</v>
      </c>
      <c r="P13" s="1399">
        <v>23</v>
      </c>
      <c r="Q13" s="1399">
        <v>4260</v>
      </c>
      <c r="R13" s="1399">
        <v>1393</v>
      </c>
      <c r="S13" s="1399">
        <v>1710</v>
      </c>
      <c r="T13" s="1420">
        <v>96</v>
      </c>
      <c r="U13" s="1407">
        <f t="shared" si="8"/>
        <v>5720</v>
      </c>
      <c r="V13" s="1408">
        <f t="shared" si="9"/>
        <v>6037</v>
      </c>
      <c r="W13" s="1409">
        <f t="shared" si="0"/>
        <v>31077.903076335151</v>
      </c>
      <c r="X13" s="1410"/>
      <c r="Y13" s="1411"/>
      <c r="Z13" s="1411">
        <f t="shared" si="1"/>
        <v>15622.903076335151</v>
      </c>
      <c r="AC13" s="1356" t="s">
        <v>231</v>
      </c>
      <c r="AD13" s="1412">
        <v>2.1</v>
      </c>
      <c r="AE13" s="1412">
        <v>2.2146746918887934</v>
      </c>
      <c r="AF13" s="1412">
        <v>2.3222222222222224</v>
      </c>
      <c r="AG13" s="1412"/>
      <c r="AH13" s="1412">
        <f t="shared" si="10"/>
        <v>1.1000000000000001</v>
      </c>
      <c r="AI13" s="1412">
        <f t="shared" si="10"/>
        <v>1.2146746918887934</v>
      </c>
      <c r="AJ13" s="1412">
        <f t="shared" si="10"/>
        <v>1.3222222222222224</v>
      </c>
      <c r="AM13" s="1413"/>
      <c r="AN13" s="1411"/>
      <c r="AQ13" s="1414"/>
      <c r="AS13" s="1414">
        <f t="shared" si="11"/>
        <v>0</v>
      </c>
    </row>
    <row r="14" spans="1:51" ht="18.75" customHeight="1">
      <c r="A14" s="1354" t="s">
        <v>645</v>
      </c>
      <c r="B14" s="1415" t="s">
        <v>476</v>
      </c>
      <c r="C14" s="1398">
        <f t="shared" si="2"/>
        <v>37665</v>
      </c>
      <c r="D14" s="1399">
        <f t="shared" si="3"/>
        <v>21847</v>
      </c>
      <c r="E14" s="1400">
        <f t="shared" si="4"/>
        <v>15818</v>
      </c>
      <c r="F14" s="1416">
        <f t="shared" si="5"/>
        <v>37664</v>
      </c>
      <c r="G14" s="1400">
        <v>21846</v>
      </c>
      <c r="H14" s="1417">
        <v>15818</v>
      </c>
      <c r="I14" s="1416">
        <f t="shared" si="6"/>
        <v>1</v>
      </c>
      <c r="J14" s="1400">
        <v>1</v>
      </c>
      <c r="K14" s="1417">
        <v>0</v>
      </c>
      <c r="L14" s="1416">
        <f t="shared" si="7"/>
        <v>0</v>
      </c>
      <c r="M14" s="1400">
        <v>0</v>
      </c>
      <c r="N14" s="1417">
        <v>0</v>
      </c>
      <c r="O14" s="1422">
        <v>447</v>
      </c>
      <c r="P14" s="1399">
        <v>182</v>
      </c>
      <c r="Q14" s="1399">
        <v>28587</v>
      </c>
      <c r="R14" s="1399">
        <v>7483</v>
      </c>
      <c r="S14" s="1399">
        <v>9048</v>
      </c>
      <c r="T14" s="1420">
        <v>799</v>
      </c>
      <c r="U14" s="1407">
        <f t="shared" si="8"/>
        <v>36699</v>
      </c>
      <c r="V14" s="1408">
        <f t="shared" si="9"/>
        <v>38264</v>
      </c>
      <c r="W14" s="1409">
        <f t="shared" si="0"/>
        <v>160624.28245699068</v>
      </c>
      <c r="X14" s="1410"/>
      <c r="Y14" s="1411"/>
      <c r="Z14" s="1411">
        <f t="shared" si="1"/>
        <v>84695.282456990681</v>
      </c>
      <c r="AC14" s="1356" t="s">
        <v>232</v>
      </c>
      <c r="AD14" s="1412">
        <v>2.5616244091104425</v>
      </c>
      <c r="AE14" s="1412">
        <v>1.8718798115056221</v>
      </c>
      <c r="AF14" s="1412">
        <v>2.5139442231075697</v>
      </c>
      <c r="AG14" s="1412"/>
      <c r="AH14" s="1412">
        <f t="shared" si="10"/>
        <v>1.5616244091104425</v>
      </c>
      <c r="AI14" s="1412">
        <f t="shared" si="10"/>
        <v>0.8718798115056221</v>
      </c>
      <c r="AJ14" s="1412">
        <f t="shared" si="10"/>
        <v>1.5139442231075697</v>
      </c>
      <c r="AM14" s="1413"/>
      <c r="AN14" s="1411"/>
      <c r="AQ14" s="1414"/>
      <c r="AS14" s="1414">
        <f t="shared" si="11"/>
        <v>0</v>
      </c>
    </row>
    <row r="15" spans="1:51" ht="18.75" customHeight="1">
      <c r="A15" s="1355">
        <f t="shared" ref="A15:A62" si="12">+A14+1</f>
        <v>10</v>
      </c>
      <c r="B15" s="1415" t="s">
        <v>405</v>
      </c>
      <c r="C15" s="1398">
        <f t="shared" si="2"/>
        <v>46821</v>
      </c>
      <c r="D15" s="1399">
        <f t="shared" si="3"/>
        <v>29944</v>
      </c>
      <c r="E15" s="1400">
        <f t="shared" si="4"/>
        <v>16877</v>
      </c>
      <c r="F15" s="1416">
        <f t="shared" si="5"/>
        <v>46818</v>
      </c>
      <c r="G15" s="1400">
        <v>29942</v>
      </c>
      <c r="H15" s="1417">
        <v>16876</v>
      </c>
      <c r="I15" s="1416">
        <f t="shared" si="6"/>
        <v>3</v>
      </c>
      <c r="J15" s="1400">
        <v>2</v>
      </c>
      <c r="K15" s="1417">
        <v>1</v>
      </c>
      <c r="L15" s="1416">
        <f t="shared" si="7"/>
        <v>0</v>
      </c>
      <c r="M15" s="1400">
        <v>0</v>
      </c>
      <c r="N15" s="1417">
        <v>0</v>
      </c>
      <c r="O15" s="1422">
        <v>844</v>
      </c>
      <c r="P15" s="1399">
        <v>251</v>
      </c>
      <c r="Q15" s="1399">
        <v>39055</v>
      </c>
      <c r="R15" s="1399">
        <v>11918</v>
      </c>
      <c r="S15" s="1399">
        <v>14163</v>
      </c>
      <c r="T15" s="1420">
        <v>1359</v>
      </c>
      <c r="U15" s="1407">
        <f t="shared" si="8"/>
        <v>52068</v>
      </c>
      <c r="V15" s="1408">
        <f t="shared" si="9"/>
        <v>54313</v>
      </c>
      <c r="W15" s="1409">
        <f t="shared" si="0"/>
        <v>216677.95855828671</v>
      </c>
      <c r="X15" s="1410"/>
      <c r="Y15" s="1411"/>
      <c r="Z15" s="1411">
        <f t="shared" si="1"/>
        <v>115543.95855828671</v>
      </c>
      <c r="AC15" s="1356" t="s">
        <v>233</v>
      </c>
      <c r="AD15" s="1412">
        <v>2.6111024663502684</v>
      </c>
      <c r="AE15" s="1412">
        <v>1.9802447438651305</v>
      </c>
      <c r="AF15" s="1412">
        <v>2.6685584562996594</v>
      </c>
      <c r="AG15" s="1412"/>
      <c r="AH15" s="1412">
        <f t="shared" si="10"/>
        <v>1.6111024663502684</v>
      </c>
      <c r="AI15" s="1412">
        <f t="shared" si="10"/>
        <v>0.9802447438651305</v>
      </c>
      <c r="AJ15" s="1412">
        <f t="shared" si="10"/>
        <v>1.6685584562996594</v>
      </c>
      <c r="AM15" s="1413"/>
      <c r="AN15" s="1411"/>
      <c r="AQ15" s="1414"/>
      <c r="AS15" s="1414">
        <f t="shared" si="11"/>
        <v>0</v>
      </c>
    </row>
    <row r="16" spans="1:51" ht="18.75" customHeight="1">
      <c r="A16" s="1355">
        <f t="shared" si="12"/>
        <v>11</v>
      </c>
      <c r="B16" s="1415" t="s">
        <v>406</v>
      </c>
      <c r="C16" s="1398">
        <f t="shared" si="2"/>
        <v>8864</v>
      </c>
      <c r="D16" s="1399">
        <f t="shared" si="3"/>
        <v>5690</v>
      </c>
      <c r="E16" s="1400">
        <f t="shared" si="4"/>
        <v>3174</v>
      </c>
      <c r="F16" s="1416">
        <f t="shared" si="5"/>
        <v>8864</v>
      </c>
      <c r="G16" s="1400">
        <v>5690</v>
      </c>
      <c r="H16" s="1417">
        <v>3174</v>
      </c>
      <c r="I16" s="1416">
        <f t="shared" si="6"/>
        <v>0</v>
      </c>
      <c r="J16" s="1400">
        <v>0</v>
      </c>
      <c r="K16" s="1417">
        <v>0</v>
      </c>
      <c r="L16" s="1416">
        <f t="shared" si="7"/>
        <v>0</v>
      </c>
      <c r="M16" s="1400">
        <v>0</v>
      </c>
      <c r="N16" s="1417">
        <v>0</v>
      </c>
      <c r="O16" s="1422">
        <v>85</v>
      </c>
      <c r="P16" s="1399">
        <v>43</v>
      </c>
      <c r="Q16" s="1399">
        <v>3945</v>
      </c>
      <c r="R16" s="1399">
        <v>1541</v>
      </c>
      <c r="S16" s="1399">
        <v>1849</v>
      </c>
      <c r="T16" s="1420">
        <v>111</v>
      </c>
      <c r="U16" s="1407">
        <f t="shared" si="8"/>
        <v>5614</v>
      </c>
      <c r="V16" s="1408">
        <f t="shared" si="9"/>
        <v>5922</v>
      </c>
      <c r="W16" s="1409">
        <f t="shared" si="0"/>
        <v>29660.046954185163</v>
      </c>
      <c r="X16" s="1410"/>
      <c r="Y16" s="1411"/>
      <c r="Z16" s="1411">
        <f t="shared" si="1"/>
        <v>14874.046954185163</v>
      </c>
      <c r="AC16" s="1356" t="s">
        <v>234</v>
      </c>
      <c r="AD16" s="1412">
        <v>2.1946043932608199</v>
      </c>
      <c r="AE16" s="1412">
        <v>2.0494413407821228</v>
      </c>
      <c r="AF16" s="1412">
        <v>2.1330275229357798</v>
      </c>
      <c r="AG16" s="1412"/>
      <c r="AH16" s="1412">
        <f t="shared" si="10"/>
        <v>1.1946043932608199</v>
      </c>
      <c r="AI16" s="1412">
        <f t="shared" si="10"/>
        <v>1.0494413407821228</v>
      </c>
      <c r="AJ16" s="1412">
        <f t="shared" si="10"/>
        <v>1.1330275229357798</v>
      </c>
      <c r="AM16" s="1413"/>
      <c r="AN16" s="1411"/>
      <c r="AQ16" s="1414"/>
      <c r="AS16" s="1414">
        <f t="shared" si="11"/>
        <v>0</v>
      </c>
    </row>
    <row r="17" spans="1:45" ht="18.75" customHeight="1">
      <c r="A17" s="1355">
        <f t="shared" si="12"/>
        <v>12</v>
      </c>
      <c r="B17" s="1415" t="s">
        <v>407</v>
      </c>
      <c r="C17" s="1398">
        <f t="shared" si="2"/>
        <v>14884</v>
      </c>
      <c r="D17" s="1399">
        <f t="shared" si="3"/>
        <v>11786</v>
      </c>
      <c r="E17" s="1400">
        <f t="shared" si="4"/>
        <v>3098</v>
      </c>
      <c r="F17" s="1416">
        <f t="shared" si="5"/>
        <v>14883</v>
      </c>
      <c r="G17" s="1400">
        <v>11785</v>
      </c>
      <c r="H17" s="1417">
        <v>3098</v>
      </c>
      <c r="I17" s="1416">
        <f t="shared" si="6"/>
        <v>1</v>
      </c>
      <c r="J17" s="1400">
        <v>1</v>
      </c>
      <c r="K17" s="1417">
        <v>0</v>
      </c>
      <c r="L17" s="1416">
        <f t="shared" si="7"/>
        <v>0</v>
      </c>
      <c r="M17" s="1400">
        <v>0</v>
      </c>
      <c r="N17" s="1417">
        <v>0</v>
      </c>
      <c r="O17" s="1422">
        <v>37</v>
      </c>
      <c r="P17" s="1399">
        <v>72</v>
      </c>
      <c r="Q17" s="1399">
        <v>2775</v>
      </c>
      <c r="R17" s="1399">
        <v>1048</v>
      </c>
      <c r="S17" s="1399">
        <v>1663</v>
      </c>
      <c r="T17" s="1420">
        <v>92</v>
      </c>
      <c r="U17" s="1407">
        <f t="shared" si="8"/>
        <v>3932</v>
      </c>
      <c r="V17" s="1408">
        <f t="shared" si="9"/>
        <v>4547</v>
      </c>
      <c r="W17" s="1409">
        <f t="shared" si="0"/>
        <v>58625.06481273767</v>
      </c>
      <c r="X17" s="1410"/>
      <c r="Y17" s="1411"/>
      <c r="Z17" s="1411">
        <f t="shared" si="1"/>
        <v>39194.06481273767</v>
      </c>
      <c r="AC17" s="1356" t="s">
        <v>235</v>
      </c>
      <c r="AD17" s="1412">
        <v>3.2189311010946553</v>
      </c>
      <c r="AE17" s="1412">
        <v>3.11616426756986</v>
      </c>
      <c r="AF17" s="1412">
        <v>3.7076923076923078</v>
      </c>
      <c r="AG17" s="1412"/>
      <c r="AH17" s="1412">
        <f t="shared" si="10"/>
        <v>2.2189311010946553</v>
      </c>
      <c r="AI17" s="1412">
        <f t="shared" si="10"/>
        <v>2.11616426756986</v>
      </c>
      <c r="AJ17" s="1412">
        <f t="shared" si="10"/>
        <v>2.7076923076923078</v>
      </c>
      <c r="AM17" s="1413"/>
      <c r="AN17" s="1411"/>
      <c r="AQ17" s="1414"/>
      <c r="AS17" s="1414">
        <f t="shared" si="11"/>
        <v>0</v>
      </c>
    </row>
    <row r="18" spans="1:45" ht="18.75" customHeight="1">
      <c r="A18" s="1355">
        <f t="shared" si="12"/>
        <v>13</v>
      </c>
      <c r="B18" s="1415" t="s">
        <v>408</v>
      </c>
      <c r="C18" s="1398">
        <f t="shared" si="2"/>
        <v>15140</v>
      </c>
      <c r="D18" s="1399">
        <f t="shared" si="3"/>
        <v>11572</v>
      </c>
      <c r="E18" s="1400">
        <f t="shared" si="4"/>
        <v>3568</v>
      </c>
      <c r="F18" s="1416">
        <f t="shared" si="5"/>
        <v>15136</v>
      </c>
      <c r="G18" s="1400">
        <v>11568</v>
      </c>
      <c r="H18" s="1417">
        <v>3568</v>
      </c>
      <c r="I18" s="1416">
        <f t="shared" si="6"/>
        <v>0</v>
      </c>
      <c r="J18" s="1400">
        <v>0</v>
      </c>
      <c r="K18" s="1417">
        <v>0</v>
      </c>
      <c r="L18" s="1416">
        <f t="shared" si="7"/>
        <v>4</v>
      </c>
      <c r="M18" s="1400">
        <v>4</v>
      </c>
      <c r="N18" s="1417">
        <v>0</v>
      </c>
      <c r="O18" s="1422">
        <v>31</v>
      </c>
      <c r="P18" s="1399">
        <v>51</v>
      </c>
      <c r="Q18" s="1399">
        <v>3468</v>
      </c>
      <c r="R18" s="1399">
        <v>1104</v>
      </c>
      <c r="S18" s="1399">
        <v>1690</v>
      </c>
      <c r="T18" s="1420">
        <v>96</v>
      </c>
      <c r="U18" s="1407">
        <f t="shared" si="8"/>
        <v>4654</v>
      </c>
      <c r="V18" s="1408">
        <f t="shared" si="9"/>
        <v>5240</v>
      </c>
      <c r="W18" s="1409">
        <f t="shared" si="0"/>
        <v>60569.829166250158</v>
      </c>
      <c r="X18" s="1410"/>
      <c r="Y18" s="1411"/>
      <c r="Z18" s="1411">
        <f t="shared" si="1"/>
        <v>40189.829166250158</v>
      </c>
      <c r="AC18" s="1356" t="s">
        <v>236</v>
      </c>
      <c r="AD18" s="1412">
        <v>3.1253425645463726</v>
      </c>
      <c r="AE18" s="1412">
        <v>3.2225581395348799</v>
      </c>
      <c r="AF18" s="1412">
        <v>4.7111111111111112</v>
      </c>
      <c r="AG18" s="1412"/>
      <c r="AH18" s="1412">
        <f t="shared" si="10"/>
        <v>2.1253425645463726</v>
      </c>
      <c r="AI18" s="1412">
        <f t="shared" si="10"/>
        <v>2.2225581395348799</v>
      </c>
      <c r="AJ18" s="1412">
        <f t="shared" si="10"/>
        <v>3.7111111111111112</v>
      </c>
      <c r="AM18" s="1413"/>
      <c r="AN18" s="1411"/>
      <c r="AQ18" s="1414"/>
      <c r="AS18" s="1414">
        <f t="shared" si="11"/>
        <v>0</v>
      </c>
    </row>
    <row r="19" spans="1:45" ht="18.75" customHeight="1">
      <c r="A19" s="1355">
        <f t="shared" si="12"/>
        <v>14</v>
      </c>
      <c r="B19" s="1415" t="s">
        <v>409</v>
      </c>
      <c r="C19" s="1398">
        <f t="shared" si="2"/>
        <v>15234</v>
      </c>
      <c r="D19" s="1399">
        <f t="shared" si="3"/>
        <v>9660</v>
      </c>
      <c r="E19" s="1400">
        <f t="shared" si="4"/>
        <v>5574</v>
      </c>
      <c r="F19" s="1416">
        <f t="shared" si="5"/>
        <v>15223</v>
      </c>
      <c r="G19" s="1400">
        <v>9649</v>
      </c>
      <c r="H19" s="1417">
        <v>5574</v>
      </c>
      <c r="I19" s="1416">
        <f t="shared" si="6"/>
        <v>2</v>
      </c>
      <c r="J19" s="1400">
        <v>2</v>
      </c>
      <c r="K19" s="1417">
        <v>0</v>
      </c>
      <c r="L19" s="1416">
        <f t="shared" si="7"/>
        <v>9</v>
      </c>
      <c r="M19" s="1400">
        <v>9</v>
      </c>
      <c r="N19" s="1417">
        <v>0</v>
      </c>
      <c r="O19" s="1422">
        <v>78</v>
      </c>
      <c r="P19" s="1399">
        <v>40</v>
      </c>
      <c r="Q19" s="1399">
        <v>7626</v>
      </c>
      <c r="R19" s="1399">
        <v>2600</v>
      </c>
      <c r="S19" s="1399">
        <v>3080</v>
      </c>
      <c r="T19" s="1420">
        <v>238</v>
      </c>
      <c r="U19" s="1407">
        <f t="shared" si="8"/>
        <v>10344</v>
      </c>
      <c r="V19" s="1408">
        <f t="shared" si="9"/>
        <v>10824</v>
      </c>
      <c r="W19" s="1409">
        <f t="shared" si="0"/>
        <v>51745.348508247058</v>
      </c>
      <c r="X19" s="1410"/>
      <c r="Y19" s="1411"/>
      <c r="Z19" s="1411">
        <f t="shared" si="1"/>
        <v>25687.348508247058</v>
      </c>
      <c r="AC19" s="1356" t="s">
        <v>237</v>
      </c>
      <c r="AD19" s="1412">
        <v>2.1881084840055598</v>
      </c>
      <c r="AE19" s="1412">
        <v>1.9767935689367511</v>
      </c>
      <c r="AF19" s="1412">
        <v>2.1752212389380499</v>
      </c>
      <c r="AG19" s="1412"/>
      <c r="AH19" s="1412">
        <f t="shared" si="10"/>
        <v>1.1881084840055598</v>
      </c>
      <c r="AI19" s="1412">
        <f t="shared" si="10"/>
        <v>0.97679356893675107</v>
      </c>
      <c r="AJ19" s="1412">
        <f t="shared" si="10"/>
        <v>1.1752212389380499</v>
      </c>
      <c r="AM19" s="1413"/>
      <c r="AN19" s="1411"/>
      <c r="AQ19" s="1414"/>
      <c r="AS19" s="1414">
        <f t="shared" si="11"/>
        <v>0</v>
      </c>
    </row>
    <row r="20" spans="1:45" ht="18.75" customHeight="1">
      <c r="A20" s="1355">
        <f t="shared" si="12"/>
        <v>15</v>
      </c>
      <c r="B20" s="1415" t="s">
        <v>410</v>
      </c>
      <c r="C20" s="1398">
        <f t="shared" si="2"/>
        <v>12477</v>
      </c>
      <c r="D20" s="1399">
        <f t="shared" si="3"/>
        <v>7884</v>
      </c>
      <c r="E20" s="1400">
        <f t="shared" si="4"/>
        <v>4593</v>
      </c>
      <c r="F20" s="1416">
        <f t="shared" si="5"/>
        <v>12477</v>
      </c>
      <c r="G20" s="1400">
        <v>7884</v>
      </c>
      <c r="H20" s="1417">
        <v>4593</v>
      </c>
      <c r="I20" s="1416">
        <f t="shared" si="6"/>
        <v>0</v>
      </c>
      <c r="J20" s="1400">
        <v>0</v>
      </c>
      <c r="K20" s="1417">
        <v>0</v>
      </c>
      <c r="L20" s="1416">
        <f t="shared" si="7"/>
        <v>0</v>
      </c>
      <c r="M20" s="1400">
        <v>0</v>
      </c>
      <c r="N20" s="1417">
        <v>0</v>
      </c>
      <c r="O20" s="1422">
        <v>106</v>
      </c>
      <c r="P20" s="1399">
        <v>43</v>
      </c>
      <c r="Q20" s="1399">
        <v>6911</v>
      </c>
      <c r="R20" s="1399">
        <v>2017</v>
      </c>
      <c r="S20" s="1399">
        <v>2400</v>
      </c>
      <c r="T20" s="1420">
        <v>134</v>
      </c>
      <c r="U20" s="1407">
        <f t="shared" si="8"/>
        <v>9077</v>
      </c>
      <c r="V20" s="1408">
        <f t="shared" si="9"/>
        <v>9460</v>
      </c>
      <c r="W20" s="1409">
        <f t="shared" si="0"/>
        <v>50872.562241768937</v>
      </c>
      <c r="X20" s="1410"/>
      <c r="Y20" s="1411"/>
      <c r="Z20" s="1411">
        <f t="shared" si="1"/>
        <v>28935.562241768937</v>
      </c>
      <c r="AC20" s="1356" t="s">
        <v>238</v>
      </c>
      <c r="AD20" s="1412">
        <v>2.7289541683666529</v>
      </c>
      <c r="AE20" s="1412">
        <v>2.0291736930860034</v>
      </c>
      <c r="AF20" s="1412">
        <v>2.683098591549296</v>
      </c>
      <c r="AG20" s="1412"/>
      <c r="AH20" s="1412">
        <f t="shared" si="10"/>
        <v>1.7289541683666529</v>
      </c>
      <c r="AI20" s="1412">
        <f t="shared" si="10"/>
        <v>1.0291736930860034</v>
      </c>
      <c r="AJ20" s="1412">
        <f t="shared" si="10"/>
        <v>1.683098591549296</v>
      </c>
      <c r="AM20" s="1413"/>
      <c r="AN20" s="1411"/>
      <c r="AQ20" s="1414"/>
      <c r="AS20" s="1414">
        <f t="shared" si="11"/>
        <v>0</v>
      </c>
    </row>
    <row r="21" spans="1:45" ht="18.75" customHeight="1">
      <c r="A21" s="1355">
        <f t="shared" si="12"/>
        <v>16</v>
      </c>
      <c r="B21" s="1415" t="s">
        <v>411</v>
      </c>
      <c r="C21" s="1398">
        <f t="shared" si="2"/>
        <v>78353</v>
      </c>
      <c r="D21" s="1399">
        <f t="shared" si="3"/>
        <v>44649</v>
      </c>
      <c r="E21" s="1400">
        <f t="shared" si="4"/>
        <v>33704</v>
      </c>
      <c r="F21" s="1416">
        <f t="shared" si="5"/>
        <v>78348</v>
      </c>
      <c r="G21" s="1400">
        <v>44647</v>
      </c>
      <c r="H21" s="1417">
        <v>33701</v>
      </c>
      <c r="I21" s="1416">
        <f t="shared" si="6"/>
        <v>5</v>
      </c>
      <c r="J21" s="1400">
        <v>2</v>
      </c>
      <c r="K21" s="1417">
        <v>3</v>
      </c>
      <c r="L21" s="1416">
        <f t="shared" si="7"/>
        <v>0</v>
      </c>
      <c r="M21" s="1400">
        <v>0</v>
      </c>
      <c r="N21" s="1417">
        <v>0</v>
      </c>
      <c r="O21" s="1422">
        <v>730</v>
      </c>
      <c r="P21" s="1399">
        <v>350</v>
      </c>
      <c r="Q21" s="1399">
        <v>45030</v>
      </c>
      <c r="R21" s="1399">
        <v>15693</v>
      </c>
      <c r="S21" s="1399">
        <v>19525</v>
      </c>
      <c r="T21" s="1420">
        <v>1849</v>
      </c>
      <c r="U21" s="1407">
        <f t="shared" si="8"/>
        <v>61803</v>
      </c>
      <c r="V21" s="1408">
        <f t="shared" si="9"/>
        <v>65635</v>
      </c>
      <c r="W21" s="1409">
        <f t="shared" si="0"/>
        <v>335197.4057955232</v>
      </c>
      <c r="X21" s="1410"/>
      <c r="Y21" s="1411"/>
      <c r="Z21" s="1411">
        <f t="shared" si="1"/>
        <v>191209.4057955232</v>
      </c>
      <c r="AC21" s="1356" t="s">
        <v>834</v>
      </c>
      <c r="AD21" s="1412">
        <v>2.84067687200295</v>
      </c>
      <c r="AE21" s="1412">
        <v>2.0065563022455337</v>
      </c>
      <c r="AF21" s="1412">
        <v>2.5385375494071147</v>
      </c>
      <c r="AG21" s="1412"/>
      <c r="AH21" s="1412">
        <f t="shared" si="10"/>
        <v>1.84067687200295</v>
      </c>
      <c r="AI21" s="1412">
        <f t="shared" si="10"/>
        <v>1.0065563022455337</v>
      </c>
      <c r="AJ21" s="1412">
        <f t="shared" si="10"/>
        <v>1.5385375494071147</v>
      </c>
      <c r="AM21" s="1413"/>
      <c r="AN21" s="1411"/>
      <c r="AQ21" s="1414"/>
      <c r="AS21" s="1414">
        <f t="shared" si="11"/>
        <v>0</v>
      </c>
    </row>
    <row r="22" spans="1:45" ht="18.75" customHeight="1">
      <c r="A22" s="1355">
        <f t="shared" si="12"/>
        <v>17</v>
      </c>
      <c r="B22" s="1415" t="s">
        <v>412</v>
      </c>
      <c r="C22" s="1398">
        <f t="shared" si="2"/>
        <v>23604</v>
      </c>
      <c r="D22" s="1399">
        <f t="shared" si="3"/>
        <v>14830</v>
      </c>
      <c r="E22" s="1400">
        <f t="shared" si="4"/>
        <v>8774</v>
      </c>
      <c r="F22" s="1416">
        <f t="shared" si="5"/>
        <v>23594</v>
      </c>
      <c r="G22" s="1400">
        <v>14820</v>
      </c>
      <c r="H22" s="1417">
        <v>8774</v>
      </c>
      <c r="I22" s="1416">
        <f t="shared" si="6"/>
        <v>1</v>
      </c>
      <c r="J22" s="1400">
        <v>1</v>
      </c>
      <c r="K22" s="1417">
        <v>0</v>
      </c>
      <c r="L22" s="1416">
        <f t="shared" si="7"/>
        <v>9</v>
      </c>
      <c r="M22" s="1400">
        <v>9</v>
      </c>
      <c r="N22" s="1417">
        <v>0</v>
      </c>
      <c r="O22" s="1422">
        <v>325</v>
      </c>
      <c r="P22" s="1399">
        <v>81</v>
      </c>
      <c r="Q22" s="1399">
        <v>16020</v>
      </c>
      <c r="R22" s="1399">
        <v>4797</v>
      </c>
      <c r="S22" s="1399">
        <v>5675</v>
      </c>
      <c r="T22" s="1420">
        <v>598</v>
      </c>
      <c r="U22" s="1407">
        <f t="shared" si="8"/>
        <v>21223</v>
      </c>
      <c r="V22" s="1408">
        <f t="shared" si="9"/>
        <v>22101</v>
      </c>
      <c r="W22" s="1409">
        <f t="shared" si="0"/>
        <v>97191.43506455337</v>
      </c>
      <c r="X22" s="1410"/>
      <c r="Y22" s="1411"/>
      <c r="Z22" s="1411">
        <f t="shared" si="1"/>
        <v>51486.43506455337</v>
      </c>
      <c r="AC22" s="1356" t="s">
        <v>835</v>
      </c>
      <c r="AD22" s="1412">
        <v>2.4748873685966961</v>
      </c>
      <c r="AE22" s="1412">
        <v>2.0017059301380993</v>
      </c>
      <c r="AF22" s="1412">
        <v>2.5415384615384617</v>
      </c>
      <c r="AG22" s="1412"/>
      <c r="AH22" s="1412">
        <f t="shared" si="10"/>
        <v>1.4748873685966961</v>
      </c>
      <c r="AI22" s="1412">
        <f t="shared" si="10"/>
        <v>1.0017059301380993</v>
      </c>
      <c r="AJ22" s="1412">
        <f t="shared" si="10"/>
        <v>1.5415384615384617</v>
      </c>
      <c r="AM22" s="1413"/>
      <c r="AN22" s="1411"/>
      <c r="AQ22" s="1414"/>
      <c r="AS22" s="1414">
        <f t="shared" si="11"/>
        <v>0</v>
      </c>
    </row>
    <row r="23" spans="1:45" ht="18.75" customHeight="1">
      <c r="A23" s="1355">
        <f t="shared" si="12"/>
        <v>18</v>
      </c>
      <c r="B23" s="1423" t="s">
        <v>413</v>
      </c>
      <c r="C23" s="1398">
        <f t="shared" si="2"/>
        <v>9734</v>
      </c>
      <c r="D23" s="1399">
        <f t="shared" si="3"/>
        <v>7085</v>
      </c>
      <c r="E23" s="1400">
        <f t="shared" si="4"/>
        <v>2649</v>
      </c>
      <c r="F23" s="1416">
        <f t="shared" si="5"/>
        <v>9734</v>
      </c>
      <c r="G23" s="1400">
        <v>7085</v>
      </c>
      <c r="H23" s="1417">
        <v>2649</v>
      </c>
      <c r="I23" s="1416">
        <f t="shared" si="6"/>
        <v>0</v>
      </c>
      <c r="J23" s="1400">
        <v>0</v>
      </c>
      <c r="K23" s="1417">
        <v>0</v>
      </c>
      <c r="L23" s="1416">
        <f t="shared" si="7"/>
        <v>0</v>
      </c>
      <c r="M23" s="1400">
        <v>0</v>
      </c>
      <c r="N23" s="1417">
        <v>0</v>
      </c>
      <c r="O23" s="1422">
        <v>95</v>
      </c>
      <c r="P23" s="1399">
        <v>24</v>
      </c>
      <c r="Q23" s="1399">
        <v>5651</v>
      </c>
      <c r="R23" s="1399">
        <v>2138</v>
      </c>
      <c r="S23" s="1399">
        <v>2533</v>
      </c>
      <c r="T23" s="1420">
        <v>163</v>
      </c>
      <c r="U23" s="1407">
        <f t="shared" si="8"/>
        <v>7908</v>
      </c>
      <c r="V23" s="1408">
        <f t="shared" si="9"/>
        <v>8303</v>
      </c>
      <c r="W23" s="1409">
        <f t="shared" si="0"/>
        <v>37191.634623039528</v>
      </c>
      <c r="X23" s="1410"/>
      <c r="Y23" s="1411"/>
      <c r="Z23" s="1411">
        <f t="shared" si="1"/>
        <v>19154.634623039528</v>
      </c>
      <c r="AC23" s="1356" t="s">
        <v>633</v>
      </c>
      <c r="AD23" s="1412">
        <v>2.27536323436513</v>
      </c>
      <c r="AE23" s="1412">
        <v>2.1633712802077092</v>
      </c>
      <c r="AF23" s="1412">
        <v>2.3952755905511798</v>
      </c>
      <c r="AG23" s="1412"/>
      <c r="AH23" s="1412">
        <f t="shared" si="10"/>
        <v>1.27536323436513</v>
      </c>
      <c r="AI23" s="1412">
        <f t="shared" si="10"/>
        <v>1.1633712802077092</v>
      </c>
      <c r="AJ23" s="1412">
        <f t="shared" si="10"/>
        <v>1.3952755905511798</v>
      </c>
      <c r="AM23" s="1413"/>
      <c r="AN23" s="1411"/>
      <c r="AQ23" s="1414"/>
      <c r="AS23" s="1414">
        <f t="shared" si="11"/>
        <v>0</v>
      </c>
    </row>
    <row r="24" spans="1:45" ht="18.75" customHeight="1">
      <c r="A24" s="1355">
        <f t="shared" si="12"/>
        <v>19</v>
      </c>
      <c r="B24" s="1423" t="s">
        <v>414</v>
      </c>
      <c r="C24" s="1398">
        <f t="shared" si="2"/>
        <v>19726</v>
      </c>
      <c r="D24" s="1399">
        <f t="shared" si="3"/>
        <v>13324</v>
      </c>
      <c r="E24" s="1400">
        <f t="shared" si="4"/>
        <v>6402</v>
      </c>
      <c r="F24" s="1416">
        <f t="shared" si="5"/>
        <v>19726</v>
      </c>
      <c r="G24" s="1400">
        <v>13324</v>
      </c>
      <c r="H24" s="1417">
        <v>6402</v>
      </c>
      <c r="I24" s="1416">
        <f t="shared" si="6"/>
        <v>0</v>
      </c>
      <c r="J24" s="1400">
        <v>0</v>
      </c>
      <c r="K24" s="1417">
        <v>0</v>
      </c>
      <c r="L24" s="1416">
        <f t="shared" si="7"/>
        <v>0</v>
      </c>
      <c r="M24" s="1400">
        <v>0</v>
      </c>
      <c r="N24" s="1417">
        <v>0</v>
      </c>
      <c r="O24" s="1422">
        <v>183</v>
      </c>
      <c r="P24" s="1399">
        <v>93</v>
      </c>
      <c r="Q24" s="1399">
        <v>9340</v>
      </c>
      <c r="R24" s="1399">
        <v>3439</v>
      </c>
      <c r="S24" s="1399">
        <v>4254</v>
      </c>
      <c r="T24" s="1420">
        <v>355</v>
      </c>
      <c r="U24" s="1407">
        <f t="shared" si="8"/>
        <v>13055</v>
      </c>
      <c r="V24" s="1408">
        <f t="shared" si="9"/>
        <v>13870</v>
      </c>
      <c r="W24" s="1409">
        <f t="shared" si="0"/>
        <v>84592.81719692146</v>
      </c>
      <c r="X24" s="1410"/>
      <c r="Y24" s="1411"/>
      <c r="Z24" s="1411">
        <f t="shared" si="1"/>
        <v>50996.81719692146</v>
      </c>
      <c r="AC24" s="1356" t="s">
        <v>169</v>
      </c>
      <c r="AD24" s="1412">
        <v>2.9739192568774562</v>
      </c>
      <c r="AE24" s="1412">
        <v>2.2249968470172785</v>
      </c>
      <c r="AF24" s="1412">
        <v>3.2384615384615385</v>
      </c>
      <c r="AG24" s="1412"/>
      <c r="AH24" s="1412">
        <f t="shared" si="10"/>
        <v>1.9739192568774562</v>
      </c>
      <c r="AI24" s="1412">
        <f t="shared" si="10"/>
        <v>1.2249968470172785</v>
      </c>
      <c r="AJ24" s="1412">
        <f t="shared" si="10"/>
        <v>2.2384615384615385</v>
      </c>
      <c r="AM24" s="1413"/>
      <c r="AN24" s="1411"/>
      <c r="AQ24" s="1414"/>
      <c r="AS24" s="1414">
        <f t="shared" si="11"/>
        <v>0</v>
      </c>
    </row>
    <row r="25" spans="1:45" ht="18.75" customHeight="1">
      <c r="A25" s="1355">
        <f t="shared" si="12"/>
        <v>20</v>
      </c>
      <c r="B25" s="1423" t="s">
        <v>415</v>
      </c>
      <c r="C25" s="1398">
        <f t="shared" si="2"/>
        <v>35126</v>
      </c>
      <c r="D25" s="1399">
        <f t="shared" si="3"/>
        <v>20483</v>
      </c>
      <c r="E25" s="1400">
        <f t="shared" si="4"/>
        <v>14643</v>
      </c>
      <c r="F25" s="1416">
        <f t="shared" si="5"/>
        <v>35105</v>
      </c>
      <c r="G25" s="1400">
        <v>20462</v>
      </c>
      <c r="H25" s="1417">
        <v>14643</v>
      </c>
      <c r="I25" s="1416">
        <f t="shared" si="6"/>
        <v>0</v>
      </c>
      <c r="J25" s="1400">
        <v>0</v>
      </c>
      <c r="K25" s="1417">
        <v>0</v>
      </c>
      <c r="L25" s="1416">
        <f t="shared" si="7"/>
        <v>21</v>
      </c>
      <c r="M25" s="1400">
        <v>21</v>
      </c>
      <c r="N25" s="1417">
        <v>0</v>
      </c>
      <c r="O25" s="1422">
        <v>333</v>
      </c>
      <c r="P25" s="1399">
        <v>165</v>
      </c>
      <c r="Q25" s="1399">
        <v>20583</v>
      </c>
      <c r="R25" s="1399">
        <v>5546</v>
      </c>
      <c r="S25" s="1399">
        <v>6941</v>
      </c>
      <c r="T25" s="1420">
        <v>525</v>
      </c>
      <c r="U25" s="1407">
        <f t="shared" si="8"/>
        <v>26627</v>
      </c>
      <c r="V25" s="1408">
        <f t="shared" si="9"/>
        <v>28022</v>
      </c>
      <c r="W25" s="1409">
        <f t="shared" si="0"/>
        <v>123432.27446197008</v>
      </c>
      <c r="X25" s="1410"/>
      <c r="Y25" s="1411"/>
      <c r="Z25" s="1411">
        <f t="shared" si="1"/>
        <v>60284.274461970082</v>
      </c>
      <c r="AC25" s="1356" t="s">
        <v>170</v>
      </c>
      <c r="AD25" s="1412">
        <v>2.1732436097022001</v>
      </c>
      <c r="AE25" s="1412">
        <v>1.8972811509387955</v>
      </c>
      <c r="AF25" s="1412">
        <v>2.2132158590308402</v>
      </c>
      <c r="AG25" s="1412"/>
      <c r="AH25" s="1412">
        <f t="shared" si="10"/>
        <v>1.1732436097022001</v>
      </c>
      <c r="AI25" s="1412">
        <f t="shared" si="10"/>
        <v>0.89728115093879546</v>
      </c>
      <c r="AJ25" s="1412">
        <f t="shared" si="10"/>
        <v>1.2132158590308402</v>
      </c>
      <c r="AM25" s="1413"/>
      <c r="AN25" s="1411"/>
      <c r="AQ25" s="1414"/>
      <c r="AS25" s="1414">
        <f t="shared" si="11"/>
        <v>0</v>
      </c>
    </row>
    <row r="26" spans="1:45" ht="18.75" customHeight="1">
      <c r="A26" s="1355">
        <f t="shared" si="12"/>
        <v>21</v>
      </c>
      <c r="B26" s="1423" t="s">
        <v>502</v>
      </c>
      <c r="C26" s="1398">
        <f t="shared" si="2"/>
        <v>64688</v>
      </c>
      <c r="D26" s="1399">
        <f t="shared" si="3"/>
        <v>47098</v>
      </c>
      <c r="E26" s="1400">
        <f t="shared" si="4"/>
        <v>17590</v>
      </c>
      <c r="F26" s="1416">
        <f t="shared" si="5"/>
        <v>64668</v>
      </c>
      <c r="G26" s="1400">
        <v>47078</v>
      </c>
      <c r="H26" s="1417">
        <v>17590</v>
      </c>
      <c r="I26" s="1416">
        <f t="shared" si="6"/>
        <v>7</v>
      </c>
      <c r="J26" s="1400">
        <v>7</v>
      </c>
      <c r="K26" s="1417">
        <v>0</v>
      </c>
      <c r="L26" s="1416">
        <f t="shared" si="7"/>
        <v>13</v>
      </c>
      <c r="M26" s="1400">
        <v>13</v>
      </c>
      <c r="N26" s="1417">
        <v>0</v>
      </c>
      <c r="O26" s="1422">
        <v>165</v>
      </c>
      <c r="P26" s="1399">
        <v>218</v>
      </c>
      <c r="Q26" s="1399">
        <v>10705</v>
      </c>
      <c r="R26" s="1399">
        <v>4897</v>
      </c>
      <c r="S26" s="1399">
        <v>7960</v>
      </c>
      <c r="T26" s="1420">
        <v>439</v>
      </c>
      <c r="U26" s="1407">
        <f t="shared" si="8"/>
        <v>15985</v>
      </c>
      <c r="V26" s="1408">
        <f t="shared" si="9"/>
        <v>19048</v>
      </c>
      <c r="W26" s="1409">
        <f t="shared" si="0"/>
        <v>241280.98685814341</v>
      </c>
      <c r="X26" s="1410"/>
      <c r="Y26" s="1411"/>
      <c r="Z26" s="1411">
        <f t="shared" si="1"/>
        <v>157544.98685814341</v>
      </c>
      <c r="AC26" s="1356" t="s">
        <v>171</v>
      </c>
      <c r="AD26" s="1412">
        <v>3.0479298318312096</v>
      </c>
      <c r="AE26" s="1412">
        <v>3.2210800310800298</v>
      </c>
      <c r="AF26" s="1412">
        <v>4.3729508196721314</v>
      </c>
      <c r="AG26" s="1412"/>
      <c r="AH26" s="1412">
        <f t="shared" si="10"/>
        <v>2.0479298318312096</v>
      </c>
      <c r="AI26" s="1412">
        <f t="shared" si="10"/>
        <v>2.2210800310800298</v>
      </c>
      <c r="AJ26" s="1412">
        <f t="shared" si="10"/>
        <v>3.3729508196721314</v>
      </c>
      <c r="AM26" s="1413"/>
      <c r="AN26" s="1411"/>
      <c r="AQ26" s="1414"/>
      <c r="AS26" s="1414">
        <f t="shared" si="11"/>
        <v>0</v>
      </c>
    </row>
    <row r="27" spans="1:45" ht="18.75" customHeight="1">
      <c r="A27" s="1355">
        <f t="shared" si="12"/>
        <v>22</v>
      </c>
      <c r="B27" s="1423" t="s">
        <v>503</v>
      </c>
      <c r="C27" s="1398">
        <f t="shared" si="2"/>
        <v>19252</v>
      </c>
      <c r="D27" s="1399">
        <f t="shared" si="3"/>
        <v>12208</v>
      </c>
      <c r="E27" s="1400">
        <f t="shared" si="4"/>
        <v>7044</v>
      </c>
      <c r="F27" s="1416">
        <f t="shared" si="5"/>
        <v>19251</v>
      </c>
      <c r="G27" s="1400">
        <v>12207</v>
      </c>
      <c r="H27" s="1417">
        <v>7044</v>
      </c>
      <c r="I27" s="1416">
        <f t="shared" si="6"/>
        <v>1</v>
      </c>
      <c r="J27" s="1400">
        <v>1</v>
      </c>
      <c r="K27" s="1417">
        <v>0</v>
      </c>
      <c r="L27" s="1416">
        <f t="shared" si="7"/>
        <v>0</v>
      </c>
      <c r="M27" s="1400">
        <v>0</v>
      </c>
      <c r="N27" s="1417">
        <v>0</v>
      </c>
      <c r="O27" s="1422">
        <v>161</v>
      </c>
      <c r="P27" s="1399">
        <v>65</v>
      </c>
      <c r="Q27" s="1399">
        <v>11129</v>
      </c>
      <c r="R27" s="1399">
        <v>3282</v>
      </c>
      <c r="S27" s="1399">
        <v>3958</v>
      </c>
      <c r="T27" s="1420">
        <v>428</v>
      </c>
      <c r="U27" s="1407">
        <f t="shared" si="8"/>
        <v>14637</v>
      </c>
      <c r="V27" s="1408">
        <f t="shared" si="9"/>
        <v>15313</v>
      </c>
      <c r="W27" s="1409">
        <f t="shared" si="0"/>
        <v>69905.071273993686</v>
      </c>
      <c r="X27" s="1410"/>
      <c r="Y27" s="1411"/>
      <c r="Z27" s="1411">
        <f t="shared" si="1"/>
        <v>35340.071273993686</v>
      </c>
      <c r="AC27" s="1356" t="s">
        <v>172</v>
      </c>
      <c r="AD27" s="1412">
        <v>2.325910025936857</v>
      </c>
      <c r="AE27" s="1412">
        <v>1.8503379114889906</v>
      </c>
      <c r="AF27" s="1412">
        <v>2.5497382198952878</v>
      </c>
      <c r="AG27" s="1412"/>
      <c r="AH27" s="1412">
        <f t="shared" si="10"/>
        <v>1.325910025936857</v>
      </c>
      <c r="AI27" s="1412">
        <f t="shared" si="10"/>
        <v>0.85033791148899063</v>
      </c>
      <c r="AJ27" s="1412">
        <f t="shared" si="10"/>
        <v>1.5497382198952878</v>
      </c>
      <c r="AM27" s="1413"/>
      <c r="AN27" s="1411"/>
      <c r="AQ27" s="1414"/>
      <c r="AS27" s="1414">
        <f t="shared" si="11"/>
        <v>0</v>
      </c>
    </row>
    <row r="28" spans="1:45" ht="18.75" customHeight="1">
      <c r="A28" s="1355">
        <f t="shared" si="12"/>
        <v>23</v>
      </c>
      <c r="B28" s="1423" t="s">
        <v>504</v>
      </c>
      <c r="C28" s="1398">
        <f t="shared" si="2"/>
        <v>28955</v>
      </c>
      <c r="D28" s="1399">
        <f t="shared" si="3"/>
        <v>20452</v>
      </c>
      <c r="E28" s="1400">
        <f t="shared" si="4"/>
        <v>8503</v>
      </c>
      <c r="F28" s="1416">
        <f t="shared" si="5"/>
        <v>28955</v>
      </c>
      <c r="G28" s="1400">
        <v>20452</v>
      </c>
      <c r="H28" s="1417">
        <v>8503</v>
      </c>
      <c r="I28" s="1416">
        <f t="shared" si="6"/>
        <v>0</v>
      </c>
      <c r="J28" s="1400">
        <v>0</v>
      </c>
      <c r="K28" s="1417">
        <v>0</v>
      </c>
      <c r="L28" s="1416">
        <f t="shared" si="7"/>
        <v>0</v>
      </c>
      <c r="M28" s="1400">
        <v>0</v>
      </c>
      <c r="N28" s="1417">
        <v>0</v>
      </c>
      <c r="O28" s="1422">
        <v>183</v>
      </c>
      <c r="P28" s="1399">
        <v>96</v>
      </c>
      <c r="Q28" s="1399">
        <v>10658</v>
      </c>
      <c r="R28" s="1399">
        <v>4084</v>
      </c>
      <c r="S28" s="1399">
        <v>5590</v>
      </c>
      <c r="T28" s="1420">
        <v>299</v>
      </c>
      <c r="U28" s="1407">
        <f t="shared" si="8"/>
        <v>15021</v>
      </c>
      <c r="V28" s="1408">
        <f t="shared" si="9"/>
        <v>16527</v>
      </c>
      <c r="W28" s="1409">
        <f t="shared" si="0"/>
        <v>121126.87948287121</v>
      </c>
      <c r="X28" s="1410"/>
      <c r="Y28" s="1411"/>
      <c r="Z28" s="1411">
        <f t="shared" si="1"/>
        <v>75644.879482871213</v>
      </c>
      <c r="AC28" s="1356" t="s">
        <v>173</v>
      </c>
      <c r="AD28" s="1412">
        <v>3.0509171033825631</v>
      </c>
      <c r="AE28" s="1412">
        <v>2.4680564895763282</v>
      </c>
      <c r="AF28" s="1412">
        <v>3.2008196721311477</v>
      </c>
      <c r="AG28" s="1412"/>
      <c r="AH28" s="1412">
        <f t="shared" si="10"/>
        <v>2.0509171033825631</v>
      </c>
      <c r="AI28" s="1412">
        <f t="shared" si="10"/>
        <v>1.4680564895763282</v>
      </c>
      <c r="AJ28" s="1412">
        <f t="shared" si="10"/>
        <v>2.2008196721311477</v>
      </c>
      <c r="AM28" s="1413"/>
      <c r="AN28" s="1411"/>
      <c r="AQ28" s="1414"/>
      <c r="AS28" s="1414">
        <f t="shared" si="11"/>
        <v>0</v>
      </c>
    </row>
    <row r="29" spans="1:45" ht="18.75" customHeight="1">
      <c r="A29" s="1355">
        <f t="shared" si="12"/>
        <v>24</v>
      </c>
      <c r="B29" s="1423" t="s">
        <v>700</v>
      </c>
      <c r="C29" s="1398">
        <f t="shared" si="2"/>
        <v>13664</v>
      </c>
      <c r="D29" s="1399">
        <f t="shared" si="3"/>
        <v>9923</v>
      </c>
      <c r="E29" s="1400">
        <f t="shared" si="4"/>
        <v>3741</v>
      </c>
      <c r="F29" s="1416">
        <f t="shared" si="5"/>
        <v>13664</v>
      </c>
      <c r="G29" s="1400">
        <v>9923</v>
      </c>
      <c r="H29" s="1417">
        <v>3741</v>
      </c>
      <c r="I29" s="1416">
        <f t="shared" si="6"/>
        <v>0</v>
      </c>
      <c r="J29" s="1400">
        <v>0</v>
      </c>
      <c r="K29" s="1417">
        <v>0</v>
      </c>
      <c r="L29" s="1416">
        <f t="shared" si="7"/>
        <v>0</v>
      </c>
      <c r="M29" s="1400">
        <v>0</v>
      </c>
      <c r="N29" s="1417">
        <v>0</v>
      </c>
      <c r="O29" s="1422">
        <v>63</v>
      </c>
      <c r="P29" s="1399">
        <v>29</v>
      </c>
      <c r="Q29" s="1399">
        <v>3473</v>
      </c>
      <c r="R29" s="1399">
        <v>1603</v>
      </c>
      <c r="S29" s="1399">
        <v>2029</v>
      </c>
      <c r="T29" s="1420">
        <v>126</v>
      </c>
      <c r="U29" s="1407">
        <f t="shared" si="8"/>
        <v>5168</v>
      </c>
      <c r="V29" s="1408">
        <f t="shared" si="9"/>
        <v>5594</v>
      </c>
      <c r="W29" s="1409">
        <f t="shared" si="0"/>
        <v>41154.162413219936</v>
      </c>
      <c r="X29" s="1410"/>
      <c r="Y29" s="1411"/>
      <c r="Z29" s="1411">
        <f t="shared" si="1"/>
        <v>21896.162413219936</v>
      </c>
      <c r="AC29" s="1356" t="s">
        <v>174</v>
      </c>
      <c r="AD29" s="1412">
        <v>2.26652748782185</v>
      </c>
      <c r="AE29" s="1412">
        <v>2.283363802559415</v>
      </c>
      <c r="AF29" s="1412">
        <v>2.4479166666666665</v>
      </c>
      <c r="AG29" s="1412"/>
      <c r="AH29" s="1412">
        <f t="shared" si="10"/>
        <v>1.26652748782185</v>
      </c>
      <c r="AI29" s="1412">
        <f t="shared" si="10"/>
        <v>1.283363802559415</v>
      </c>
      <c r="AJ29" s="1412">
        <f t="shared" si="10"/>
        <v>1.4479166666666665</v>
      </c>
      <c r="AM29" s="1413"/>
      <c r="AN29" s="1411"/>
      <c r="AQ29" s="1414"/>
      <c r="AS29" s="1414">
        <f t="shared" si="11"/>
        <v>0</v>
      </c>
    </row>
    <row r="30" spans="1:45" ht="18.75" customHeight="1">
      <c r="A30" s="1355">
        <f t="shared" si="12"/>
        <v>25</v>
      </c>
      <c r="B30" s="1423" t="s">
        <v>701</v>
      </c>
      <c r="C30" s="1398">
        <f t="shared" si="2"/>
        <v>37603</v>
      </c>
      <c r="D30" s="1399">
        <f t="shared" si="3"/>
        <v>26520</v>
      </c>
      <c r="E30" s="1400">
        <f t="shared" si="4"/>
        <v>11083</v>
      </c>
      <c r="F30" s="1416">
        <f t="shared" si="5"/>
        <v>37602</v>
      </c>
      <c r="G30" s="1400">
        <v>26519</v>
      </c>
      <c r="H30" s="1417">
        <v>11083</v>
      </c>
      <c r="I30" s="1416">
        <f t="shared" si="6"/>
        <v>1</v>
      </c>
      <c r="J30" s="1400">
        <v>1</v>
      </c>
      <c r="K30" s="1417">
        <v>0</v>
      </c>
      <c r="L30" s="1416">
        <f t="shared" si="7"/>
        <v>0</v>
      </c>
      <c r="M30" s="1400">
        <v>0</v>
      </c>
      <c r="N30" s="1417">
        <v>0</v>
      </c>
      <c r="O30" s="1422">
        <v>166</v>
      </c>
      <c r="P30" s="1399">
        <v>119</v>
      </c>
      <c r="Q30" s="1399">
        <v>8925</v>
      </c>
      <c r="R30" s="1399">
        <v>4204</v>
      </c>
      <c r="S30" s="1399">
        <v>5736</v>
      </c>
      <c r="T30" s="1420">
        <v>321</v>
      </c>
      <c r="U30" s="1407">
        <f t="shared" si="8"/>
        <v>13414</v>
      </c>
      <c r="V30" s="1408">
        <f t="shared" si="9"/>
        <v>14946</v>
      </c>
      <c r="W30" s="1409">
        <f t="shared" si="0"/>
        <v>140233.29202735555</v>
      </c>
      <c r="X30" s="1410"/>
      <c r="Y30" s="1411"/>
      <c r="Z30" s="1411">
        <f t="shared" si="1"/>
        <v>87684.29202735555</v>
      </c>
      <c r="AC30" s="1356" t="s">
        <v>175</v>
      </c>
      <c r="AD30" s="1412">
        <v>2.9435930457179653</v>
      </c>
      <c r="AE30" s="1412">
        <v>2.5735000665158974</v>
      </c>
      <c r="AF30" s="1412">
        <v>2.9504373177842567</v>
      </c>
      <c r="AG30" s="1412"/>
      <c r="AH30" s="1412">
        <f t="shared" si="10"/>
        <v>1.9435930457179653</v>
      </c>
      <c r="AI30" s="1412">
        <f t="shared" si="10"/>
        <v>1.5735000665158974</v>
      </c>
      <c r="AJ30" s="1412">
        <f t="shared" si="10"/>
        <v>1.9504373177842567</v>
      </c>
      <c r="AM30" s="1413"/>
      <c r="AN30" s="1411"/>
      <c r="AQ30" s="1414"/>
      <c r="AS30" s="1414">
        <f t="shared" si="11"/>
        <v>0</v>
      </c>
    </row>
    <row r="31" spans="1:45" ht="18.75" customHeight="1">
      <c r="A31" s="1355">
        <f t="shared" si="12"/>
        <v>26</v>
      </c>
      <c r="B31" s="1423" t="s">
        <v>26</v>
      </c>
      <c r="C31" s="1398">
        <f t="shared" si="2"/>
        <v>40847</v>
      </c>
      <c r="D31" s="1399">
        <f t="shared" si="3"/>
        <v>23968</v>
      </c>
      <c r="E31" s="1400">
        <f t="shared" si="4"/>
        <v>16879</v>
      </c>
      <c r="F31" s="1416">
        <f t="shared" si="5"/>
        <v>40845</v>
      </c>
      <c r="G31" s="1400">
        <v>23967</v>
      </c>
      <c r="H31" s="1417">
        <v>16878</v>
      </c>
      <c r="I31" s="1416">
        <f t="shared" si="6"/>
        <v>2</v>
      </c>
      <c r="J31" s="1400">
        <v>1</v>
      </c>
      <c r="K31" s="1417">
        <v>1</v>
      </c>
      <c r="L31" s="1416">
        <f t="shared" si="7"/>
        <v>0</v>
      </c>
      <c r="M31" s="1400">
        <v>0</v>
      </c>
      <c r="N31" s="1417">
        <v>0</v>
      </c>
      <c r="O31" s="1422">
        <v>564</v>
      </c>
      <c r="P31" s="1399">
        <v>189</v>
      </c>
      <c r="Q31" s="1399">
        <v>25054</v>
      </c>
      <c r="R31" s="1399">
        <v>8287</v>
      </c>
      <c r="S31" s="1399">
        <v>10157</v>
      </c>
      <c r="T31" s="1420">
        <v>514</v>
      </c>
      <c r="U31" s="1407">
        <f t="shared" si="8"/>
        <v>34094</v>
      </c>
      <c r="V31" s="1408">
        <f t="shared" si="9"/>
        <v>35964</v>
      </c>
      <c r="W31" s="1409">
        <f t="shared" si="0"/>
        <v>149439.35886613227</v>
      </c>
      <c r="X31" s="1410"/>
      <c r="Y31" s="1411"/>
      <c r="Z31" s="1411">
        <f t="shared" si="1"/>
        <v>72628.358866132272</v>
      </c>
      <c r="AC31" s="1356" t="s">
        <v>176</v>
      </c>
      <c r="AD31" s="1412">
        <v>2.1320534223706198</v>
      </c>
      <c r="AE31" s="1412">
        <v>2.01283851554664</v>
      </c>
      <c r="AF31" s="1412">
        <v>2.34358108108108</v>
      </c>
      <c r="AG31" s="1412"/>
      <c r="AH31" s="1412">
        <f t="shared" si="10"/>
        <v>1.1320534223706198</v>
      </c>
      <c r="AI31" s="1412">
        <f t="shared" si="10"/>
        <v>1.01283851554664</v>
      </c>
      <c r="AJ31" s="1412">
        <f t="shared" si="10"/>
        <v>1.34358108108108</v>
      </c>
      <c r="AM31" s="1413"/>
      <c r="AN31" s="1411"/>
      <c r="AQ31" s="1414"/>
      <c r="AS31" s="1414">
        <f t="shared" si="11"/>
        <v>0</v>
      </c>
    </row>
    <row r="32" spans="1:45" ht="18.75" customHeight="1">
      <c r="A32" s="1354">
        <f>+A31+1</f>
        <v>27</v>
      </c>
      <c r="B32" s="1415" t="s">
        <v>95</v>
      </c>
      <c r="C32" s="1398">
        <f t="shared" si="2"/>
        <v>53671</v>
      </c>
      <c r="D32" s="1399">
        <f t="shared" si="3"/>
        <v>33273</v>
      </c>
      <c r="E32" s="1400">
        <f t="shared" si="4"/>
        <v>20398</v>
      </c>
      <c r="F32" s="1416">
        <f t="shared" si="5"/>
        <v>53671</v>
      </c>
      <c r="G32" s="1400">
        <v>33273</v>
      </c>
      <c r="H32" s="1417">
        <v>20398</v>
      </c>
      <c r="I32" s="1416">
        <f t="shared" si="6"/>
        <v>0</v>
      </c>
      <c r="J32" s="1400">
        <v>0</v>
      </c>
      <c r="K32" s="1417">
        <v>0</v>
      </c>
      <c r="L32" s="1416">
        <f t="shared" si="7"/>
        <v>0</v>
      </c>
      <c r="M32" s="1400">
        <v>0</v>
      </c>
      <c r="N32" s="1417">
        <v>0</v>
      </c>
      <c r="O32" s="1422">
        <v>303</v>
      </c>
      <c r="P32" s="1399">
        <v>252</v>
      </c>
      <c r="Q32" s="1399">
        <v>13688</v>
      </c>
      <c r="R32" s="1399">
        <v>4796</v>
      </c>
      <c r="S32" s="1399">
        <v>6741</v>
      </c>
      <c r="T32" s="1420">
        <v>576</v>
      </c>
      <c r="U32" s="1407">
        <f t="shared" si="8"/>
        <v>19039</v>
      </c>
      <c r="V32" s="1408">
        <f t="shared" si="9"/>
        <v>20984</v>
      </c>
      <c r="W32" s="1409">
        <f t="shared" si="0"/>
        <v>207310.31076512724</v>
      </c>
      <c r="X32" s="1410"/>
      <c r="Y32" s="1411"/>
      <c r="Z32" s="1411">
        <f t="shared" si="1"/>
        <v>132655.31076512724</v>
      </c>
      <c r="AC32" s="1356" t="s">
        <v>178</v>
      </c>
      <c r="AD32" s="1412">
        <v>3.0664901567237477</v>
      </c>
      <c r="AE32" s="1412">
        <v>2.471989760756129</v>
      </c>
      <c r="AF32" s="1412">
        <v>3.8758949880668259</v>
      </c>
      <c r="AG32" s="1412"/>
      <c r="AH32" s="1412">
        <f t="shared" si="10"/>
        <v>2.0664901567237477</v>
      </c>
      <c r="AI32" s="1412">
        <f t="shared" si="10"/>
        <v>1.471989760756129</v>
      </c>
      <c r="AJ32" s="1412">
        <f t="shared" si="10"/>
        <v>2.8758949880668259</v>
      </c>
      <c r="AM32" s="1413"/>
      <c r="AN32" s="1411"/>
      <c r="AQ32" s="1414"/>
      <c r="AS32" s="1414">
        <f t="shared" si="11"/>
        <v>0</v>
      </c>
    </row>
    <row r="33" spans="1:45" ht="18.75" customHeight="1">
      <c r="A33" s="1354">
        <f>+A32+1</f>
        <v>28</v>
      </c>
      <c r="B33" s="1415" t="s">
        <v>773</v>
      </c>
      <c r="C33" s="1398">
        <f t="shared" si="2"/>
        <v>17813</v>
      </c>
      <c r="D33" s="1399">
        <f t="shared" si="3"/>
        <v>11501</v>
      </c>
      <c r="E33" s="1400">
        <f t="shared" si="4"/>
        <v>6312</v>
      </c>
      <c r="F33" s="1416">
        <f t="shared" si="5"/>
        <v>17804</v>
      </c>
      <c r="G33" s="1400">
        <v>11492</v>
      </c>
      <c r="H33" s="1417">
        <v>6312</v>
      </c>
      <c r="I33" s="1416">
        <f t="shared" si="6"/>
        <v>0</v>
      </c>
      <c r="J33" s="1400">
        <v>0</v>
      </c>
      <c r="K33" s="1417">
        <v>0</v>
      </c>
      <c r="L33" s="1416">
        <f t="shared" si="7"/>
        <v>9</v>
      </c>
      <c r="M33" s="1400">
        <v>9</v>
      </c>
      <c r="N33" s="1417">
        <v>0</v>
      </c>
      <c r="O33" s="1422">
        <v>171</v>
      </c>
      <c r="P33" s="1399">
        <v>76</v>
      </c>
      <c r="Q33" s="1399">
        <v>9612</v>
      </c>
      <c r="R33" s="1399">
        <v>3266</v>
      </c>
      <c r="S33" s="1399">
        <v>4074</v>
      </c>
      <c r="T33" s="1420">
        <v>308</v>
      </c>
      <c r="U33" s="1407">
        <f t="shared" si="8"/>
        <v>13125</v>
      </c>
      <c r="V33" s="1408">
        <f t="shared" si="9"/>
        <v>13933</v>
      </c>
      <c r="W33" s="1409">
        <f t="shared" si="0"/>
        <v>76851.583830800329</v>
      </c>
      <c r="X33" s="1410"/>
      <c r="Y33" s="1411"/>
      <c r="Z33" s="1411">
        <f t="shared" si="1"/>
        <v>45105.583830800329</v>
      </c>
      <c r="AC33" s="1356" t="s">
        <v>179</v>
      </c>
      <c r="AD33" s="1412">
        <v>2.9013090785447129</v>
      </c>
      <c r="AE33" s="1412">
        <v>2.1251742049917648</v>
      </c>
      <c r="AF33" s="1412">
        <v>2.7100840336134455</v>
      </c>
      <c r="AG33" s="1412"/>
      <c r="AH33" s="1412">
        <f t="shared" si="10"/>
        <v>1.9013090785447129</v>
      </c>
      <c r="AI33" s="1412">
        <f t="shared" si="10"/>
        <v>1.1251742049917648</v>
      </c>
      <c r="AJ33" s="1412">
        <f t="shared" si="10"/>
        <v>1.7100840336134455</v>
      </c>
      <c r="AM33" s="1413"/>
      <c r="AN33" s="1411"/>
      <c r="AQ33" s="1414"/>
      <c r="AS33" s="1414">
        <f t="shared" si="11"/>
        <v>0</v>
      </c>
    </row>
    <row r="34" spans="1:45" ht="18.75" customHeight="1">
      <c r="A34" s="1354">
        <f t="shared" si="12"/>
        <v>29</v>
      </c>
      <c r="B34" s="1415" t="s">
        <v>774</v>
      </c>
      <c r="C34" s="1398">
        <f t="shared" si="2"/>
        <v>7168</v>
      </c>
      <c r="D34" s="1399">
        <f t="shared" si="3"/>
        <v>5097</v>
      </c>
      <c r="E34" s="1400">
        <f t="shared" si="4"/>
        <v>2071</v>
      </c>
      <c r="F34" s="1416">
        <f t="shared" si="5"/>
        <v>7168</v>
      </c>
      <c r="G34" s="1400">
        <v>5097</v>
      </c>
      <c r="H34" s="1417">
        <v>2071</v>
      </c>
      <c r="I34" s="1416">
        <f t="shared" si="6"/>
        <v>0</v>
      </c>
      <c r="J34" s="1400">
        <v>0</v>
      </c>
      <c r="K34" s="1417">
        <v>0</v>
      </c>
      <c r="L34" s="1416">
        <f t="shared" si="7"/>
        <v>0</v>
      </c>
      <c r="M34" s="1400">
        <v>0</v>
      </c>
      <c r="N34" s="1417">
        <v>0</v>
      </c>
      <c r="O34" s="1422">
        <v>34</v>
      </c>
      <c r="P34" s="1399">
        <v>21</v>
      </c>
      <c r="Q34" s="1399">
        <v>2011</v>
      </c>
      <c r="R34" s="1399">
        <v>800</v>
      </c>
      <c r="S34" s="1399">
        <v>1023</v>
      </c>
      <c r="T34" s="1420">
        <v>62</v>
      </c>
      <c r="U34" s="1407">
        <f t="shared" si="8"/>
        <v>2866</v>
      </c>
      <c r="V34" s="1408">
        <f t="shared" si="9"/>
        <v>3089</v>
      </c>
      <c r="W34" s="1409">
        <f t="shared" si="0"/>
        <v>28317.656102053341</v>
      </c>
      <c r="X34" s="1410"/>
      <c r="Y34" s="1411"/>
      <c r="Z34" s="1411">
        <f t="shared" si="1"/>
        <v>18060.656102053341</v>
      </c>
      <c r="AC34" s="1356" t="s">
        <v>702</v>
      </c>
      <c r="AD34" s="1412">
        <v>3.1074711289182182</v>
      </c>
      <c r="AE34" s="1412">
        <v>2.4347826086956523</v>
      </c>
      <c r="AF34" s="1412">
        <v>2.2537313432835822</v>
      </c>
      <c r="AG34" s="1412"/>
      <c r="AH34" s="1412">
        <f t="shared" si="10"/>
        <v>2.1074711289182182</v>
      </c>
      <c r="AI34" s="1412">
        <f t="shared" si="10"/>
        <v>1.4347826086956523</v>
      </c>
      <c r="AJ34" s="1412">
        <f t="shared" si="10"/>
        <v>1.2537313432835822</v>
      </c>
      <c r="AM34" s="1413"/>
      <c r="AN34" s="1411"/>
      <c r="AQ34" s="1414"/>
      <c r="AS34" s="1414">
        <f t="shared" si="11"/>
        <v>0</v>
      </c>
    </row>
    <row r="35" spans="1:45" ht="18.75" customHeight="1">
      <c r="A35" s="1354">
        <f t="shared" si="12"/>
        <v>30</v>
      </c>
      <c r="B35" s="1415" t="s">
        <v>775</v>
      </c>
      <c r="C35" s="1398">
        <f t="shared" si="2"/>
        <v>24094</v>
      </c>
      <c r="D35" s="1399">
        <f t="shared" si="3"/>
        <v>21807</v>
      </c>
      <c r="E35" s="1400">
        <f t="shared" si="4"/>
        <v>2287</v>
      </c>
      <c r="F35" s="1416">
        <f t="shared" si="5"/>
        <v>24085</v>
      </c>
      <c r="G35" s="1400">
        <v>21798</v>
      </c>
      <c r="H35" s="1417">
        <v>2287</v>
      </c>
      <c r="I35" s="1416">
        <f t="shared" si="6"/>
        <v>3</v>
      </c>
      <c r="J35" s="1400">
        <v>3</v>
      </c>
      <c r="K35" s="1417">
        <v>0</v>
      </c>
      <c r="L35" s="1416">
        <f t="shared" si="7"/>
        <v>6</v>
      </c>
      <c r="M35" s="1400">
        <v>6</v>
      </c>
      <c r="N35" s="1417">
        <v>0</v>
      </c>
      <c r="O35" s="1422">
        <v>8</v>
      </c>
      <c r="P35" s="1399">
        <v>165</v>
      </c>
      <c r="Q35" s="1399">
        <v>3765</v>
      </c>
      <c r="R35" s="1399">
        <v>1276</v>
      </c>
      <c r="S35" s="1399">
        <v>2425</v>
      </c>
      <c r="T35" s="1420">
        <v>50</v>
      </c>
      <c r="U35" s="1407">
        <f t="shared" si="8"/>
        <v>5214</v>
      </c>
      <c r="V35" s="1408">
        <f t="shared" si="9"/>
        <v>6363</v>
      </c>
      <c r="W35" s="1409">
        <f t="shared" si="0"/>
        <v>97391.489314111794</v>
      </c>
      <c r="X35" s="1410"/>
      <c r="Y35" s="1411"/>
      <c r="Z35" s="1411">
        <f t="shared" si="1"/>
        <v>66934.489314111794</v>
      </c>
      <c r="AC35" s="1356" t="s">
        <v>703</v>
      </c>
      <c r="AD35" s="1412">
        <v>3.2211132437619963</v>
      </c>
      <c r="AE35" s="1412">
        <v>4.3603125</v>
      </c>
      <c r="AF35" s="1412">
        <v>5.4358974358974361</v>
      </c>
      <c r="AG35" s="1412"/>
      <c r="AH35" s="1412">
        <f t="shared" si="10"/>
        <v>2.2211132437619963</v>
      </c>
      <c r="AI35" s="1412">
        <f t="shared" si="10"/>
        <v>3.3603125</v>
      </c>
      <c r="AJ35" s="1412">
        <f t="shared" si="10"/>
        <v>4.4358974358974361</v>
      </c>
      <c r="AM35" s="1413"/>
      <c r="AN35" s="1411"/>
      <c r="AQ35" s="1414"/>
      <c r="AS35" s="1414">
        <f t="shared" si="11"/>
        <v>0</v>
      </c>
    </row>
    <row r="36" spans="1:45" ht="18.75" customHeight="1">
      <c r="A36" s="1354">
        <f t="shared" si="12"/>
        <v>31</v>
      </c>
      <c r="B36" s="1415" t="s">
        <v>371</v>
      </c>
      <c r="C36" s="1398">
        <f t="shared" si="2"/>
        <v>49510</v>
      </c>
      <c r="D36" s="1399">
        <f t="shared" si="3"/>
        <v>31667</v>
      </c>
      <c r="E36" s="1400">
        <f t="shared" si="4"/>
        <v>17843</v>
      </c>
      <c r="F36" s="1416">
        <f t="shared" si="5"/>
        <v>49481</v>
      </c>
      <c r="G36" s="1400">
        <v>31638</v>
      </c>
      <c r="H36" s="1417">
        <v>17843</v>
      </c>
      <c r="I36" s="1416">
        <f t="shared" si="6"/>
        <v>5</v>
      </c>
      <c r="J36" s="1400">
        <v>5</v>
      </c>
      <c r="K36" s="1417">
        <v>0</v>
      </c>
      <c r="L36" s="1416">
        <f t="shared" si="7"/>
        <v>24</v>
      </c>
      <c r="M36" s="1400">
        <v>24</v>
      </c>
      <c r="N36" s="1417">
        <v>0</v>
      </c>
      <c r="O36" s="1422">
        <v>408</v>
      </c>
      <c r="P36" s="1399">
        <v>228</v>
      </c>
      <c r="Q36" s="1399">
        <v>16006</v>
      </c>
      <c r="R36" s="1399">
        <v>5579</v>
      </c>
      <c r="S36" s="1399">
        <v>7895</v>
      </c>
      <c r="T36" s="1420">
        <v>980</v>
      </c>
      <c r="U36" s="1407">
        <f t="shared" si="8"/>
        <v>22221</v>
      </c>
      <c r="V36" s="1408">
        <f t="shared" si="9"/>
        <v>24537</v>
      </c>
      <c r="W36" s="1409">
        <f t="shared" si="0"/>
        <v>189807.00921254422</v>
      </c>
      <c r="X36" s="1410"/>
      <c r="Y36" s="1411"/>
      <c r="Z36" s="1411">
        <f t="shared" si="1"/>
        <v>115760.00921254422</v>
      </c>
      <c r="AC36" s="1356" t="s">
        <v>704</v>
      </c>
      <c r="AD36" s="1412">
        <v>2.9035175442410539</v>
      </c>
      <c r="AE36" s="1412">
        <v>2.252038895859473</v>
      </c>
      <c r="AF36" s="1412">
        <v>3.3218884120171674</v>
      </c>
      <c r="AG36" s="1412"/>
      <c r="AH36" s="1412">
        <f t="shared" si="10"/>
        <v>1.9035175442410539</v>
      </c>
      <c r="AI36" s="1412">
        <f t="shared" si="10"/>
        <v>1.252038895859473</v>
      </c>
      <c r="AJ36" s="1412">
        <f t="shared" si="10"/>
        <v>2.3218884120171674</v>
      </c>
      <c r="AM36" s="1413"/>
      <c r="AN36" s="1411"/>
      <c r="AQ36" s="1414"/>
      <c r="AS36" s="1414">
        <f t="shared" si="11"/>
        <v>0</v>
      </c>
    </row>
    <row r="37" spans="1:45" ht="18.75" customHeight="1">
      <c r="A37" s="1354">
        <f t="shared" si="12"/>
        <v>32</v>
      </c>
      <c r="B37" s="1415" t="s">
        <v>459</v>
      </c>
      <c r="C37" s="1398">
        <f t="shared" si="2"/>
        <v>25292</v>
      </c>
      <c r="D37" s="1399">
        <f t="shared" si="3"/>
        <v>17162</v>
      </c>
      <c r="E37" s="1400">
        <f t="shared" si="4"/>
        <v>8130</v>
      </c>
      <c r="F37" s="1416">
        <f t="shared" si="5"/>
        <v>25291</v>
      </c>
      <c r="G37" s="1400">
        <v>17161</v>
      </c>
      <c r="H37" s="1417">
        <v>8130</v>
      </c>
      <c r="I37" s="1416">
        <f t="shared" si="6"/>
        <v>1</v>
      </c>
      <c r="J37" s="1400">
        <v>1</v>
      </c>
      <c r="K37" s="1417">
        <v>0</v>
      </c>
      <c r="L37" s="1416">
        <f t="shared" si="7"/>
        <v>0</v>
      </c>
      <c r="M37" s="1400">
        <v>0</v>
      </c>
      <c r="N37" s="1417">
        <v>0</v>
      </c>
      <c r="O37" s="1422">
        <v>323</v>
      </c>
      <c r="P37" s="1399">
        <v>105</v>
      </c>
      <c r="Q37" s="1399">
        <v>13926</v>
      </c>
      <c r="R37" s="1399">
        <v>4010</v>
      </c>
      <c r="S37" s="1399">
        <v>4871</v>
      </c>
      <c r="T37" s="1420">
        <v>289</v>
      </c>
      <c r="U37" s="1407">
        <f t="shared" si="8"/>
        <v>18364</v>
      </c>
      <c r="V37" s="1408">
        <f t="shared" si="9"/>
        <v>19225</v>
      </c>
      <c r="W37" s="1409">
        <f t="shared" si="0"/>
        <v>105790.97323318387</v>
      </c>
      <c r="X37" s="1410"/>
      <c r="Y37" s="1411"/>
      <c r="Z37" s="1411">
        <f t="shared" si="1"/>
        <v>61273.973233183875</v>
      </c>
      <c r="AC37" s="1356" t="s">
        <v>646</v>
      </c>
      <c r="AD37" s="1412">
        <v>2.788671174279012</v>
      </c>
      <c r="AE37" s="1412">
        <v>2.100017765144786</v>
      </c>
      <c r="AF37" s="1412">
        <v>2.673024523160763</v>
      </c>
      <c r="AG37" s="1412"/>
      <c r="AH37" s="1412">
        <f t="shared" si="10"/>
        <v>1.788671174279012</v>
      </c>
      <c r="AI37" s="1412">
        <f t="shared" si="10"/>
        <v>1.100017765144786</v>
      </c>
      <c r="AJ37" s="1412">
        <f t="shared" si="10"/>
        <v>1.673024523160763</v>
      </c>
      <c r="AM37" s="1413"/>
      <c r="AN37" s="1411"/>
      <c r="AQ37" s="1414"/>
      <c r="AS37" s="1414">
        <f t="shared" si="11"/>
        <v>0</v>
      </c>
    </row>
    <row r="38" spans="1:45" ht="18.75" customHeight="1">
      <c r="A38" s="1354">
        <f t="shared" si="12"/>
        <v>33</v>
      </c>
      <c r="B38" s="1415" t="s">
        <v>33</v>
      </c>
      <c r="C38" s="1398">
        <f t="shared" si="2"/>
        <v>62834</v>
      </c>
      <c r="D38" s="1399">
        <f t="shared" si="3"/>
        <v>37882</v>
      </c>
      <c r="E38" s="1400">
        <f t="shared" si="4"/>
        <v>24952</v>
      </c>
      <c r="F38" s="1416">
        <f t="shared" si="5"/>
        <v>62809</v>
      </c>
      <c r="G38" s="1400">
        <v>37859</v>
      </c>
      <c r="H38" s="1417">
        <v>24950</v>
      </c>
      <c r="I38" s="1416">
        <f t="shared" si="6"/>
        <v>5</v>
      </c>
      <c r="J38" s="1400">
        <v>3</v>
      </c>
      <c r="K38" s="1417">
        <v>2</v>
      </c>
      <c r="L38" s="1416">
        <f t="shared" si="7"/>
        <v>20</v>
      </c>
      <c r="M38" s="1400">
        <v>20</v>
      </c>
      <c r="N38" s="1417">
        <v>0</v>
      </c>
      <c r="O38" s="1422">
        <v>686</v>
      </c>
      <c r="P38" s="1399">
        <v>276</v>
      </c>
      <c r="Q38" s="1399">
        <v>34079</v>
      </c>
      <c r="R38" s="1399">
        <v>10341</v>
      </c>
      <c r="S38" s="1399">
        <v>13492</v>
      </c>
      <c r="T38" s="1420">
        <v>1115</v>
      </c>
      <c r="U38" s="1407">
        <f t="shared" si="8"/>
        <v>45382</v>
      </c>
      <c r="V38" s="1408">
        <f t="shared" si="9"/>
        <v>48533</v>
      </c>
      <c r="W38" s="1409">
        <f t="shared" si="0"/>
        <v>258459.5973089289</v>
      </c>
      <c r="X38" s="1410"/>
      <c r="Y38" s="1411"/>
      <c r="Z38" s="1411">
        <f t="shared" si="1"/>
        <v>147092.5973089289</v>
      </c>
      <c r="AC38" s="1356" t="s">
        <v>647</v>
      </c>
      <c r="AD38" s="1412">
        <v>2.7182971270374869</v>
      </c>
      <c r="AE38" s="1412">
        <v>2.09620406681191</v>
      </c>
      <c r="AF38" s="1412">
        <v>2.8373983739837398</v>
      </c>
      <c r="AG38" s="1412"/>
      <c r="AH38" s="1412">
        <f t="shared" si="10"/>
        <v>1.7182971270374869</v>
      </c>
      <c r="AI38" s="1412">
        <f t="shared" si="10"/>
        <v>1.09620406681191</v>
      </c>
      <c r="AJ38" s="1412">
        <f t="shared" si="10"/>
        <v>1.8373983739837398</v>
      </c>
      <c r="AM38" s="1413"/>
      <c r="AN38" s="1411"/>
      <c r="AQ38" s="1414"/>
      <c r="AS38" s="1414">
        <f t="shared" si="11"/>
        <v>0</v>
      </c>
    </row>
    <row r="39" spans="1:45" ht="18.75" customHeight="1">
      <c r="A39" s="1354">
        <f t="shared" si="12"/>
        <v>34</v>
      </c>
      <c r="B39" s="1415" t="s">
        <v>34</v>
      </c>
      <c r="C39" s="1398">
        <f t="shared" si="2"/>
        <v>340930</v>
      </c>
      <c r="D39" s="1399">
        <f t="shared" si="3"/>
        <v>191791</v>
      </c>
      <c r="E39" s="1400">
        <f t="shared" si="4"/>
        <v>149139</v>
      </c>
      <c r="F39" s="1416">
        <f t="shared" si="5"/>
        <v>340834</v>
      </c>
      <c r="G39" s="1400">
        <v>191732</v>
      </c>
      <c r="H39" s="1417">
        <v>149102</v>
      </c>
      <c r="I39" s="1416">
        <f t="shared" si="6"/>
        <v>76</v>
      </c>
      <c r="J39" s="1400">
        <v>39</v>
      </c>
      <c r="K39" s="1417">
        <v>37</v>
      </c>
      <c r="L39" s="1416">
        <f t="shared" si="7"/>
        <v>20</v>
      </c>
      <c r="M39" s="1400">
        <v>20</v>
      </c>
      <c r="N39" s="1417">
        <v>0</v>
      </c>
      <c r="O39" s="1422">
        <v>3472</v>
      </c>
      <c r="P39" s="1399">
        <v>1448</v>
      </c>
      <c r="Q39" s="1399">
        <v>185258</v>
      </c>
      <c r="R39" s="1399">
        <v>100009</v>
      </c>
      <c r="S39" s="1399">
        <v>124948</v>
      </c>
      <c r="T39" s="1420">
        <v>7297</v>
      </c>
      <c r="U39" s="1407">
        <f t="shared" si="8"/>
        <v>290187</v>
      </c>
      <c r="V39" s="1408">
        <f t="shared" si="9"/>
        <v>315126</v>
      </c>
      <c r="W39" s="1409">
        <f t="shared" si="0"/>
        <v>1420234.432625798</v>
      </c>
      <c r="X39" s="1410"/>
      <c r="Y39" s="1411"/>
      <c r="Z39" s="1411">
        <f t="shared" si="1"/>
        <v>764178.43262579804</v>
      </c>
      <c r="AC39" s="1356" t="s">
        <v>648</v>
      </c>
      <c r="AD39" s="1412">
        <v>2.7674222819884098</v>
      </c>
      <c r="AE39" s="1412">
        <v>1.8359209000595442</v>
      </c>
      <c r="AF39" s="1412">
        <v>2.371975594361456</v>
      </c>
      <c r="AG39" s="1412"/>
      <c r="AH39" s="1412">
        <f t="shared" si="10"/>
        <v>1.7674222819884098</v>
      </c>
      <c r="AI39" s="1412">
        <f t="shared" si="10"/>
        <v>0.83592090005954423</v>
      </c>
      <c r="AJ39" s="1412">
        <f t="shared" si="10"/>
        <v>1.371975594361456</v>
      </c>
      <c r="AM39" s="1413"/>
      <c r="AN39" s="1411"/>
      <c r="AQ39" s="1414"/>
      <c r="AS39" s="1414">
        <f t="shared" si="11"/>
        <v>0</v>
      </c>
    </row>
    <row r="40" spans="1:45" ht="18.75" customHeight="1">
      <c r="A40" s="1354">
        <f t="shared" si="12"/>
        <v>35</v>
      </c>
      <c r="B40" s="1415" t="s">
        <v>35</v>
      </c>
      <c r="C40" s="1398">
        <f t="shared" si="2"/>
        <v>159740</v>
      </c>
      <c r="D40" s="1399">
        <f t="shared" si="3"/>
        <v>92800</v>
      </c>
      <c r="E40" s="1400">
        <f t="shared" si="4"/>
        <v>66940</v>
      </c>
      <c r="F40" s="1416">
        <f t="shared" si="5"/>
        <v>159701</v>
      </c>
      <c r="G40" s="1400">
        <v>92772</v>
      </c>
      <c r="H40" s="1417">
        <v>66929</v>
      </c>
      <c r="I40" s="1416">
        <f t="shared" si="6"/>
        <v>19</v>
      </c>
      <c r="J40" s="1400">
        <v>10</v>
      </c>
      <c r="K40" s="1417">
        <v>9</v>
      </c>
      <c r="L40" s="1416">
        <f t="shared" si="7"/>
        <v>20</v>
      </c>
      <c r="M40" s="1400">
        <v>18</v>
      </c>
      <c r="N40" s="1417">
        <v>2</v>
      </c>
      <c r="O40" s="1422">
        <v>2227</v>
      </c>
      <c r="P40" s="1399">
        <v>661</v>
      </c>
      <c r="Q40" s="1399">
        <v>127829</v>
      </c>
      <c r="R40" s="1399">
        <v>42732</v>
      </c>
      <c r="S40" s="1399">
        <v>52579</v>
      </c>
      <c r="T40" s="1420">
        <v>4134</v>
      </c>
      <c r="U40" s="1407">
        <f t="shared" si="8"/>
        <v>173449</v>
      </c>
      <c r="V40" s="1408">
        <f t="shared" si="9"/>
        <v>183296</v>
      </c>
      <c r="W40" s="1409">
        <f t="shared" si="0"/>
        <v>736726.08372143237</v>
      </c>
      <c r="X40" s="1410"/>
      <c r="Y40" s="1411"/>
      <c r="Z40" s="1411">
        <f t="shared" si="1"/>
        <v>393690.08372143237</v>
      </c>
      <c r="AC40" s="1356" t="s">
        <v>771</v>
      </c>
      <c r="AD40" s="1412">
        <v>2.7503116787487101</v>
      </c>
      <c r="AE40" s="1412">
        <v>1.8622322477209596</v>
      </c>
      <c r="AF40" s="1412">
        <v>2.3424550430023454</v>
      </c>
      <c r="AG40" s="1412"/>
      <c r="AH40" s="1412">
        <f t="shared" si="10"/>
        <v>1.7503116787487101</v>
      </c>
      <c r="AI40" s="1412">
        <f t="shared" si="10"/>
        <v>0.86223224772095963</v>
      </c>
      <c r="AJ40" s="1412">
        <f t="shared" si="10"/>
        <v>1.3424550430023454</v>
      </c>
      <c r="AK40" s="1371" t="s">
        <v>729</v>
      </c>
      <c r="AM40" s="1413"/>
      <c r="AN40" s="1411"/>
      <c r="AQ40" s="1414"/>
      <c r="AS40" s="1414">
        <f t="shared" si="11"/>
        <v>0</v>
      </c>
    </row>
    <row r="41" spans="1:45" ht="18.75" customHeight="1">
      <c r="A41" s="1355">
        <f t="shared" si="12"/>
        <v>36</v>
      </c>
      <c r="B41" s="1415" t="s">
        <v>36</v>
      </c>
      <c r="C41" s="1398">
        <f t="shared" si="2"/>
        <v>13333</v>
      </c>
      <c r="D41" s="1399">
        <f t="shared" si="3"/>
        <v>9204</v>
      </c>
      <c r="E41" s="1400">
        <f t="shared" si="4"/>
        <v>4129</v>
      </c>
      <c r="F41" s="1416">
        <f t="shared" si="5"/>
        <v>13324</v>
      </c>
      <c r="G41" s="1400">
        <v>9195</v>
      </c>
      <c r="H41" s="1417">
        <v>4129</v>
      </c>
      <c r="I41" s="1416">
        <f t="shared" si="6"/>
        <v>0</v>
      </c>
      <c r="J41" s="1400">
        <v>0</v>
      </c>
      <c r="K41" s="1417">
        <v>0</v>
      </c>
      <c r="L41" s="1416">
        <f t="shared" si="7"/>
        <v>9</v>
      </c>
      <c r="M41" s="1400">
        <v>9</v>
      </c>
      <c r="N41" s="1417">
        <v>0</v>
      </c>
      <c r="O41" s="1422">
        <v>26</v>
      </c>
      <c r="P41" s="1399">
        <v>41</v>
      </c>
      <c r="Q41" s="1399">
        <v>2311</v>
      </c>
      <c r="R41" s="1399">
        <v>947</v>
      </c>
      <c r="S41" s="1399">
        <v>1229</v>
      </c>
      <c r="T41" s="1420">
        <v>107</v>
      </c>
      <c r="U41" s="1407">
        <f t="shared" si="8"/>
        <v>3325</v>
      </c>
      <c r="V41" s="1408">
        <f t="shared" si="9"/>
        <v>3607</v>
      </c>
      <c r="W41" s="1409">
        <f t="shared" si="0"/>
        <v>42334.843101478924</v>
      </c>
      <c r="X41" s="1410"/>
      <c r="Y41" s="1411"/>
      <c r="Z41" s="1411">
        <f t="shared" si="1"/>
        <v>25394.843101478924</v>
      </c>
      <c r="AC41" s="1356" t="s">
        <v>772</v>
      </c>
      <c r="AD41" s="1412">
        <v>2.6383174700644765</v>
      </c>
      <c r="AE41" s="1412">
        <v>2.4742142857142899</v>
      </c>
      <c r="AF41" s="1412">
        <v>3.1529411764705881</v>
      </c>
      <c r="AG41" s="1412"/>
      <c r="AH41" s="1412">
        <f t="shared" si="10"/>
        <v>1.6383174700644765</v>
      </c>
      <c r="AI41" s="1412">
        <f t="shared" si="10"/>
        <v>1.4742142857142899</v>
      </c>
      <c r="AJ41" s="1412">
        <f t="shared" si="10"/>
        <v>2.1529411764705881</v>
      </c>
      <c r="AM41" s="1413"/>
      <c r="AN41" s="1411"/>
      <c r="AQ41" s="1414"/>
      <c r="AS41" s="1414">
        <f t="shared" si="11"/>
        <v>0</v>
      </c>
    </row>
    <row r="42" spans="1:45" ht="18.75" customHeight="1">
      <c r="A42" s="1355">
        <f t="shared" si="12"/>
        <v>37</v>
      </c>
      <c r="B42" s="1415" t="s">
        <v>37</v>
      </c>
      <c r="C42" s="1398">
        <f t="shared" si="2"/>
        <v>19271</v>
      </c>
      <c r="D42" s="1399">
        <f t="shared" si="3"/>
        <v>13955</v>
      </c>
      <c r="E42" s="1400">
        <f t="shared" si="4"/>
        <v>5316</v>
      </c>
      <c r="F42" s="1416">
        <f t="shared" si="5"/>
        <v>19271</v>
      </c>
      <c r="G42" s="1400">
        <v>13955</v>
      </c>
      <c r="H42" s="1417">
        <v>5316</v>
      </c>
      <c r="I42" s="1416">
        <f t="shared" si="6"/>
        <v>0</v>
      </c>
      <c r="J42" s="1400">
        <v>0</v>
      </c>
      <c r="K42" s="1417">
        <v>0</v>
      </c>
      <c r="L42" s="1416">
        <f t="shared" si="7"/>
        <v>0</v>
      </c>
      <c r="M42" s="1400">
        <v>0</v>
      </c>
      <c r="N42" s="1417">
        <v>0</v>
      </c>
      <c r="O42" s="1422">
        <v>113</v>
      </c>
      <c r="P42" s="1399">
        <v>72</v>
      </c>
      <c r="Q42" s="1399">
        <v>9249</v>
      </c>
      <c r="R42" s="1399">
        <v>3771</v>
      </c>
      <c r="S42" s="1399">
        <v>4472</v>
      </c>
      <c r="T42" s="1420">
        <v>255</v>
      </c>
      <c r="U42" s="1407">
        <f t="shared" si="8"/>
        <v>13205</v>
      </c>
      <c r="V42" s="1408">
        <f t="shared" si="9"/>
        <v>13906</v>
      </c>
      <c r="W42" s="1409">
        <f t="shared" si="0"/>
        <v>78938.185159054148</v>
      </c>
      <c r="X42" s="1410"/>
      <c r="Y42" s="1411"/>
      <c r="Z42" s="1411">
        <f t="shared" si="1"/>
        <v>45761.185159054148</v>
      </c>
      <c r="AC42" s="1356" t="s">
        <v>69</v>
      </c>
      <c r="AD42" s="1412">
        <v>2.8605728727885427</v>
      </c>
      <c r="AE42" s="1412">
        <v>2.0411276543812544</v>
      </c>
      <c r="AF42" s="1412">
        <v>2.4956521739130433</v>
      </c>
      <c r="AG42" s="1412"/>
      <c r="AH42" s="1412">
        <f t="shared" si="10"/>
        <v>1.8605728727885427</v>
      </c>
      <c r="AI42" s="1412">
        <f t="shared" si="10"/>
        <v>1.0411276543812544</v>
      </c>
      <c r="AJ42" s="1412">
        <f t="shared" si="10"/>
        <v>1.4956521739130433</v>
      </c>
      <c r="AM42" s="1413"/>
      <c r="AN42" s="1411"/>
      <c r="AQ42" s="1414"/>
      <c r="AS42" s="1414">
        <f t="shared" si="11"/>
        <v>0</v>
      </c>
    </row>
    <row r="43" spans="1:45" ht="18.75" customHeight="1">
      <c r="A43" s="1355">
        <f t="shared" si="12"/>
        <v>38</v>
      </c>
      <c r="B43" s="1415" t="s">
        <v>38</v>
      </c>
      <c r="C43" s="1398">
        <f t="shared" si="2"/>
        <v>49991</v>
      </c>
      <c r="D43" s="1399">
        <f t="shared" si="3"/>
        <v>31803</v>
      </c>
      <c r="E43" s="1400">
        <f t="shared" si="4"/>
        <v>18188</v>
      </c>
      <c r="F43" s="1416">
        <f t="shared" si="5"/>
        <v>49979</v>
      </c>
      <c r="G43" s="1400">
        <v>31794</v>
      </c>
      <c r="H43" s="1417">
        <v>18185</v>
      </c>
      <c r="I43" s="1416">
        <f t="shared" si="6"/>
        <v>3</v>
      </c>
      <c r="J43" s="1400">
        <v>0</v>
      </c>
      <c r="K43" s="1417">
        <v>3</v>
      </c>
      <c r="L43" s="1416">
        <f t="shared" si="7"/>
        <v>9</v>
      </c>
      <c r="M43" s="1400">
        <v>9</v>
      </c>
      <c r="N43" s="1417">
        <v>0</v>
      </c>
      <c r="O43" s="1422">
        <v>467</v>
      </c>
      <c r="P43" s="1399">
        <v>254</v>
      </c>
      <c r="Q43" s="1399">
        <v>19311</v>
      </c>
      <c r="R43" s="1399">
        <v>6500</v>
      </c>
      <c r="S43" s="1399">
        <v>8470</v>
      </c>
      <c r="T43" s="1420">
        <v>560</v>
      </c>
      <c r="U43" s="1407">
        <f t="shared" si="8"/>
        <v>26532</v>
      </c>
      <c r="V43" s="1408">
        <f t="shared" si="9"/>
        <v>28502</v>
      </c>
      <c r="W43" s="1409">
        <f t="shared" si="0"/>
        <v>203081.50316044697</v>
      </c>
      <c r="X43" s="1410"/>
      <c r="Y43" s="1411"/>
      <c r="Z43" s="1411">
        <f t="shared" si="1"/>
        <v>124588.50316044697</v>
      </c>
      <c r="AC43" s="1356" t="s">
        <v>70</v>
      </c>
      <c r="AD43" s="1412">
        <v>2.9708652967129061</v>
      </c>
      <c r="AE43" s="1412">
        <v>2.26860205569831</v>
      </c>
      <c r="AF43" s="1412">
        <v>3.1705989110707802</v>
      </c>
      <c r="AG43" s="1412"/>
      <c r="AH43" s="1412">
        <f t="shared" si="10"/>
        <v>1.9708652967129061</v>
      </c>
      <c r="AI43" s="1412">
        <f t="shared" si="10"/>
        <v>1.26860205569831</v>
      </c>
      <c r="AJ43" s="1412">
        <f t="shared" si="10"/>
        <v>2.1705989110707802</v>
      </c>
      <c r="AM43" s="1413"/>
      <c r="AN43" s="1411"/>
      <c r="AQ43" s="1414"/>
      <c r="AS43" s="1414">
        <f t="shared" si="11"/>
        <v>0</v>
      </c>
    </row>
    <row r="44" spans="1:45" ht="18.75" customHeight="1">
      <c r="A44" s="1355">
        <f t="shared" si="12"/>
        <v>39</v>
      </c>
      <c r="B44" s="1415" t="s">
        <v>39</v>
      </c>
      <c r="C44" s="1398">
        <f t="shared" si="2"/>
        <v>13253</v>
      </c>
      <c r="D44" s="1399">
        <f t="shared" si="3"/>
        <v>8619</v>
      </c>
      <c r="E44" s="1400">
        <f t="shared" si="4"/>
        <v>4634</v>
      </c>
      <c r="F44" s="1416">
        <f t="shared" si="5"/>
        <v>13243</v>
      </c>
      <c r="G44" s="1400">
        <v>8609</v>
      </c>
      <c r="H44" s="1417">
        <v>4634</v>
      </c>
      <c r="I44" s="1416">
        <f t="shared" si="6"/>
        <v>0</v>
      </c>
      <c r="J44" s="1400">
        <v>0</v>
      </c>
      <c r="K44" s="1417">
        <v>0</v>
      </c>
      <c r="L44" s="1416">
        <f t="shared" si="7"/>
        <v>10</v>
      </c>
      <c r="M44" s="1400">
        <v>10</v>
      </c>
      <c r="N44" s="1417">
        <v>0</v>
      </c>
      <c r="O44" s="1422">
        <v>148</v>
      </c>
      <c r="P44" s="1399">
        <v>47</v>
      </c>
      <c r="Q44" s="1399">
        <v>9296</v>
      </c>
      <c r="R44" s="1399">
        <v>3000</v>
      </c>
      <c r="S44" s="1399">
        <v>3590</v>
      </c>
      <c r="T44" s="1420">
        <v>310</v>
      </c>
      <c r="U44" s="1407">
        <f t="shared" si="8"/>
        <v>12491</v>
      </c>
      <c r="V44" s="1408">
        <f t="shared" si="9"/>
        <v>13081</v>
      </c>
      <c r="W44" s="1409">
        <f t="shared" si="0"/>
        <v>53859.60277726924</v>
      </c>
      <c r="X44" s="1410"/>
      <c r="Y44" s="1411"/>
      <c r="Z44" s="1411">
        <f t="shared" si="1"/>
        <v>27525.60277726924</v>
      </c>
      <c r="AC44" s="1356" t="s">
        <v>843</v>
      </c>
      <c r="AD44" s="1412">
        <v>2.4309350333940496</v>
      </c>
      <c r="AE44" s="1412">
        <v>1.887833394227256</v>
      </c>
      <c r="AF44" s="1412">
        <v>2.5801104972375692</v>
      </c>
      <c r="AG44" s="1412"/>
      <c r="AH44" s="1412">
        <f t="shared" si="10"/>
        <v>1.4309350333940496</v>
      </c>
      <c r="AI44" s="1412">
        <f t="shared" si="10"/>
        <v>0.88783339422725605</v>
      </c>
      <c r="AJ44" s="1412">
        <f t="shared" si="10"/>
        <v>1.5801104972375692</v>
      </c>
      <c r="AM44" s="1413"/>
      <c r="AN44" s="1411"/>
      <c r="AQ44" s="1414"/>
      <c r="AS44" s="1414">
        <f t="shared" si="11"/>
        <v>0</v>
      </c>
    </row>
    <row r="45" spans="1:45" ht="18.75" customHeight="1">
      <c r="A45" s="1355">
        <f t="shared" si="12"/>
        <v>40</v>
      </c>
      <c r="B45" s="1415" t="s">
        <v>40</v>
      </c>
      <c r="C45" s="1398">
        <f t="shared" si="2"/>
        <v>11694</v>
      </c>
      <c r="D45" s="1399">
        <f t="shared" si="3"/>
        <v>7768</v>
      </c>
      <c r="E45" s="1400">
        <f t="shared" si="4"/>
        <v>3926</v>
      </c>
      <c r="F45" s="1416">
        <f t="shared" si="5"/>
        <v>11692</v>
      </c>
      <c r="G45" s="1400">
        <v>7767</v>
      </c>
      <c r="H45" s="1417">
        <v>3925</v>
      </c>
      <c r="I45" s="1416">
        <f t="shared" si="6"/>
        <v>2</v>
      </c>
      <c r="J45" s="1400">
        <v>1</v>
      </c>
      <c r="K45" s="1417">
        <v>1</v>
      </c>
      <c r="L45" s="1416">
        <f t="shared" si="7"/>
        <v>0</v>
      </c>
      <c r="M45" s="1400">
        <v>0</v>
      </c>
      <c r="N45" s="1417">
        <v>0</v>
      </c>
      <c r="O45" s="1422">
        <v>106</v>
      </c>
      <c r="P45" s="1399">
        <v>52</v>
      </c>
      <c r="Q45" s="1399">
        <v>4614</v>
      </c>
      <c r="R45" s="1399">
        <v>1580</v>
      </c>
      <c r="S45" s="1399">
        <v>2025</v>
      </c>
      <c r="T45" s="1420">
        <v>111</v>
      </c>
      <c r="U45" s="1407">
        <f t="shared" si="8"/>
        <v>6352</v>
      </c>
      <c r="V45" s="1408">
        <f t="shared" si="9"/>
        <v>6797</v>
      </c>
      <c r="W45" s="1409">
        <f t="shared" si="0"/>
        <v>47087.718352483949</v>
      </c>
      <c r="X45" s="1410"/>
      <c r="Y45" s="1411"/>
      <c r="Z45" s="1411">
        <f t="shared" si="1"/>
        <v>28596.718352483949</v>
      </c>
      <c r="AC45" s="1356" t="s">
        <v>844</v>
      </c>
      <c r="AD45" s="1412">
        <v>2.9392464896427084</v>
      </c>
      <c r="AE45" s="1412">
        <v>2.2106572656459802</v>
      </c>
      <c r="AF45" s="1412">
        <v>3.1088435374149661</v>
      </c>
      <c r="AG45" s="1412"/>
      <c r="AH45" s="1412">
        <f t="shared" si="10"/>
        <v>1.9392464896427084</v>
      </c>
      <c r="AI45" s="1412">
        <f t="shared" si="10"/>
        <v>1.2106572656459802</v>
      </c>
      <c r="AJ45" s="1412">
        <f t="shared" si="10"/>
        <v>2.1088435374149661</v>
      </c>
      <c r="AM45" s="1413"/>
      <c r="AN45" s="1411"/>
      <c r="AQ45" s="1414"/>
      <c r="AS45" s="1414">
        <f t="shared" si="11"/>
        <v>0</v>
      </c>
    </row>
    <row r="46" spans="1:45" ht="18.75" customHeight="1">
      <c r="A46" s="1355">
        <f t="shared" si="12"/>
        <v>41</v>
      </c>
      <c r="B46" s="1415" t="s">
        <v>248</v>
      </c>
      <c r="C46" s="1398">
        <f t="shared" si="2"/>
        <v>58083</v>
      </c>
      <c r="D46" s="1399">
        <f t="shared" si="3"/>
        <v>33520</v>
      </c>
      <c r="E46" s="1400">
        <f t="shared" si="4"/>
        <v>24563</v>
      </c>
      <c r="F46" s="1416">
        <f t="shared" si="5"/>
        <v>58069</v>
      </c>
      <c r="G46" s="1400">
        <v>33508</v>
      </c>
      <c r="H46" s="1417">
        <v>24561</v>
      </c>
      <c r="I46" s="1416">
        <f t="shared" si="6"/>
        <v>4</v>
      </c>
      <c r="J46" s="1400">
        <v>2</v>
      </c>
      <c r="K46" s="1417">
        <v>2</v>
      </c>
      <c r="L46" s="1416">
        <f t="shared" si="7"/>
        <v>10</v>
      </c>
      <c r="M46" s="1400">
        <v>10</v>
      </c>
      <c r="N46" s="1417">
        <v>0</v>
      </c>
      <c r="O46" s="1422">
        <v>536</v>
      </c>
      <c r="P46" s="1399">
        <v>243</v>
      </c>
      <c r="Q46" s="1399">
        <v>24654</v>
      </c>
      <c r="R46" s="1399">
        <v>9240</v>
      </c>
      <c r="S46" s="1399">
        <v>11382</v>
      </c>
      <c r="T46" s="1420">
        <v>1244</v>
      </c>
      <c r="U46" s="1407">
        <f t="shared" si="8"/>
        <v>34673</v>
      </c>
      <c r="V46" s="1408">
        <f t="shared" si="9"/>
        <v>36815</v>
      </c>
      <c r="W46" s="1409">
        <f t="shared" si="0"/>
        <v>205498.11854114034</v>
      </c>
      <c r="X46" s="1410"/>
      <c r="Y46" s="1411"/>
      <c r="Z46" s="1411">
        <f t="shared" si="1"/>
        <v>110600.11854114034</v>
      </c>
      <c r="AC46" s="1356" t="s">
        <v>845</v>
      </c>
      <c r="AD46" s="1412">
        <v>2.4402490297542045</v>
      </c>
      <c r="AE46" s="1412">
        <v>2.0388744137571653</v>
      </c>
      <c r="AF46" s="1412">
        <v>2.7120980091883613</v>
      </c>
      <c r="AG46" s="1412"/>
      <c r="AH46" s="1412">
        <f t="shared" si="10"/>
        <v>1.4402490297542045</v>
      </c>
      <c r="AI46" s="1412">
        <f t="shared" si="10"/>
        <v>1.0388744137571653</v>
      </c>
      <c r="AJ46" s="1412">
        <f t="shared" si="10"/>
        <v>1.7120980091883613</v>
      </c>
      <c r="AM46" s="1413"/>
      <c r="AN46" s="1411"/>
      <c r="AQ46" s="1414"/>
      <c r="AS46" s="1414">
        <f t="shared" si="11"/>
        <v>0</v>
      </c>
    </row>
    <row r="47" spans="1:45" ht="18.75" customHeight="1">
      <c r="A47" s="1355">
        <f t="shared" si="12"/>
        <v>42</v>
      </c>
      <c r="B47" s="1415" t="s">
        <v>781</v>
      </c>
      <c r="C47" s="1398">
        <f t="shared" si="2"/>
        <v>76376</v>
      </c>
      <c r="D47" s="1399">
        <f t="shared" si="3"/>
        <v>48547</v>
      </c>
      <c r="E47" s="1400">
        <f t="shared" si="4"/>
        <v>27829</v>
      </c>
      <c r="F47" s="1416">
        <f t="shared" si="5"/>
        <v>76363</v>
      </c>
      <c r="G47" s="1400">
        <v>48536</v>
      </c>
      <c r="H47" s="1417">
        <v>27827</v>
      </c>
      <c r="I47" s="1416">
        <f t="shared" si="6"/>
        <v>4</v>
      </c>
      <c r="J47" s="1400">
        <v>2</v>
      </c>
      <c r="K47" s="1417">
        <v>2</v>
      </c>
      <c r="L47" s="1416">
        <f t="shared" si="7"/>
        <v>9</v>
      </c>
      <c r="M47" s="1400">
        <v>9</v>
      </c>
      <c r="N47" s="1417">
        <v>0</v>
      </c>
      <c r="O47" s="1422">
        <v>595</v>
      </c>
      <c r="P47" s="1399">
        <v>350</v>
      </c>
      <c r="Q47" s="1399">
        <v>32680</v>
      </c>
      <c r="R47" s="1399">
        <v>10391</v>
      </c>
      <c r="S47" s="1399">
        <v>13414</v>
      </c>
      <c r="T47" s="1420">
        <v>842</v>
      </c>
      <c r="U47" s="1407">
        <f t="shared" si="8"/>
        <v>44016</v>
      </c>
      <c r="V47" s="1408">
        <f t="shared" si="9"/>
        <v>47039</v>
      </c>
      <c r="W47" s="1409">
        <f t="shared" si="0"/>
        <v>321824.34289629327</v>
      </c>
      <c r="X47" s="1410"/>
      <c r="Y47" s="1411"/>
      <c r="Z47" s="1411">
        <f t="shared" si="1"/>
        <v>198409.34289629327</v>
      </c>
      <c r="AC47" s="1356" t="s">
        <v>467</v>
      </c>
      <c r="AD47" s="1412">
        <v>3.0282677202389352</v>
      </c>
      <c r="AE47" s="1412">
        <v>2.2708612568452495</v>
      </c>
      <c r="AF47" s="1412">
        <v>3.0810810810810811</v>
      </c>
      <c r="AG47" s="1412"/>
      <c r="AH47" s="1412">
        <f t="shared" si="10"/>
        <v>2.0282677202389352</v>
      </c>
      <c r="AI47" s="1412">
        <f t="shared" si="10"/>
        <v>1.2708612568452495</v>
      </c>
      <c r="AJ47" s="1412">
        <f t="shared" si="10"/>
        <v>2.0810810810810811</v>
      </c>
      <c r="AM47" s="1413"/>
      <c r="AN47" s="1411"/>
      <c r="AQ47" s="1414"/>
      <c r="AS47" s="1414">
        <f t="shared" si="11"/>
        <v>0</v>
      </c>
    </row>
    <row r="48" spans="1:45" ht="18.75" customHeight="1">
      <c r="A48" s="1355">
        <f t="shared" si="12"/>
        <v>43</v>
      </c>
      <c r="B48" s="1415" t="s">
        <v>240</v>
      </c>
      <c r="C48" s="1398">
        <f t="shared" si="2"/>
        <v>22132</v>
      </c>
      <c r="D48" s="1399">
        <f t="shared" si="3"/>
        <v>15260</v>
      </c>
      <c r="E48" s="1400">
        <f t="shared" si="4"/>
        <v>6872</v>
      </c>
      <c r="F48" s="1416">
        <f t="shared" si="5"/>
        <v>22122</v>
      </c>
      <c r="G48" s="1400">
        <v>15250</v>
      </c>
      <c r="H48" s="1417">
        <v>6872</v>
      </c>
      <c r="I48" s="1416">
        <f t="shared" si="6"/>
        <v>1</v>
      </c>
      <c r="J48" s="1400">
        <v>1</v>
      </c>
      <c r="K48" s="1417">
        <v>0</v>
      </c>
      <c r="L48" s="1416">
        <f t="shared" si="7"/>
        <v>9</v>
      </c>
      <c r="M48" s="1400">
        <v>9</v>
      </c>
      <c r="N48" s="1417">
        <v>0</v>
      </c>
      <c r="O48" s="1422">
        <v>163</v>
      </c>
      <c r="P48" s="1399">
        <v>116</v>
      </c>
      <c r="Q48" s="1399">
        <v>9194</v>
      </c>
      <c r="R48" s="1399">
        <v>3347</v>
      </c>
      <c r="S48" s="1399">
        <v>4008</v>
      </c>
      <c r="T48" s="1420">
        <v>370</v>
      </c>
      <c r="U48" s="1407">
        <f t="shared" si="8"/>
        <v>12820</v>
      </c>
      <c r="V48" s="1408">
        <f t="shared" si="9"/>
        <v>13481</v>
      </c>
      <c r="W48" s="1409">
        <f t="shared" si="0"/>
        <v>85902.732734357414</v>
      </c>
      <c r="X48" s="1410"/>
      <c r="Y48" s="1411"/>
      <c r="Z48" s="1411">
        <f t="shared" si="1"/>
        <v>50289.732734357414</v>
      </c>
      <c r="AC48" s="1356" t="s">
        <v>468</v>
      </c>
      <c r="AD48" s="1412">
        <v>2.7974528709166786</v>
      </c>
      <c r="AE48" s="1412">
        <v>2.0843881856540083</v>
      </c>
      <c r="AF48" s="1412">
        <v>2.9306122448979592</v>
      </c>
      <c r="AG48" s="1412"/>
      <c r="AH48" s="1412">
        <f t="shared" si="10"/>
        <v>1.7974528709166786</v>
      </c>
      <c r="AI48" s="1412">
        <f t="shared" si="10"/>
        <v>1.0843881856540083</v>
      </c>
      <c r="AJ48" s="1412">
        <f t="shared" si="10"/>
        <v>1.9306122448979592</v>
      </c>
      <c r="AM48" s="1413"/>
      <c r="AN48" s="1411"/>
      <c r="AQ48" s="1414"/>
      <c r="AS48" s="1414">
        <f t="shared" si="11"/>
        <v>0</v>
      </c>
    </row>
    <row r="49" spans="1:45" ht="18.75" customHeight="1">
      <c r="A49" s="1355">
        <f t="shared" si="12"/>
        <v>44</v>
      </c>
      <c r="B49" s="1423" t="s">
        <v>241</v>
      </c>
      <c r="C49" s="1398">
        <f t="shared" si="2"/>
        <v>38228</v>
      </c>
      <c r="D49" s="1399">
        <f t="shared" si="3"/>
        <v>25873</v>
      </c>
      <c r="E49" s="1400">
        <f t="shared" si="4"/>
        <v>12355</v>
      </c>
      <c r="F49" s="1416">
        <f t="shared" si="5"/>
        <v>38218</v>
      </c>
      <c r="G49" s="1400">
        <v>25865</v>
      </c>
      <c r="H49" s="1417">
        <v>12353</v>
      </c>
      <c r="I49" s="1416">
        <f t="shared" si="6"/>
        <v>2</v>
      </c>
      <c r="J49" s="1400">
        <v>0</v>
      </c>
      <c r="K49" s="1417">
        <v>2</v>
      </c>
      <c r="L49" s="1416">
        <f t="shared" si="7"/>
        <v>8</v>
      </c>
      <c r="M49" s="1400">
        <v>8</v>
      </c>
      <c r="N49" s="1417">
        <v>0</v>
      </c>
      <c r="O49" s="1422">
        <v>305</v>
      </c>
      <c r="P49" s="1399">
        <v>136</v>
      </c>
      <c r="Q49" s="1399">
        <v>13843</v>
      </c>
      <c r="R49" s="1399">
        <v>4685</v>
      </c>
      <c r="S49" s="1399">
        <v>6238</v>
      </c>
      <c r="T49" s="1420">
        <v>367</v>
      </c>
      <c r="U49" s="1407">
        <f t="shared" si="8"/>
        <v>18969</v>
      </c>
      <c r="V49" s="1408">
        <f t="shared" si="9"/>
        <v>20522</v>
      </c>
      <c r="W49" s="1409">
        <f t="shared" si="0"/>
        <v>151931.03461329697</v>
      </c>
      <c r="X49" s="1410"/>
      <c r="Y49" s="1411"/>
      <c r="Z49" s="1411">
        <f t="shared" si="1"/>
        <v>93181.034613296972</v>
      </c>
      <c r="AC49" s="1356" t="s">
        <v>469</v>
      </c>
      <c r="AD49" s="1412">
        <v>2.9300399201596807</v>
      </c>
      <c r="AE49" s="1412">
        <v>2.33880940520076</v>
      </c>
      <c r="AF49" s="1412">
        <v>2.9644670050761421</v>
      </c>
      <c r="AG49" s="1412"/>
      <c r="AH49" s="1412">
        <f t="shared" si="10"/>
        <v>1.9300399201596807</v>
      </c>
      <c r="AI49" s="1412">
        <f t="shared" si="10"/>
        <v>1.33880940520076</v>
      </c>
      <c r="AJ49" s="1412">
        <f t="shared" si="10"/>
        <v>1.9644670050761421</v>
      </c>
      <c r="AM49" s="1413"/>
      <c r="AN49" s="1411"/>
      <c r="AQ49" s="1414"/>
      <c r="AS49" s="1414">
        <f t="shared" si="11"/>
        <v>0</v>
      </c>
    </row>
    <row r="50" spans="1:45" ht="18.75" customHeight="1">
      <c r="A50" s="1355">
        <f t="shared" si="12"/>
        <v>45</v>
      </c>
      <c r="B50" s="1423" t="s">
        <v>242</v>
      </c>
      <c r="C50" s="1398">
        <f t="shared" si="2"/>
        <v>44038</v>
      </c>
      <c r="D50" s="1399">
        <f t="shared" si="3"/>
        <v>26920</v>
      </c>
      <c r="E50" s="1400">
        <f t="shared" si="4"/>
        <v>17118</v>
      </c>
      <c r="F50" s="1416">
        <f t="shared" si="5"/>
        <v>44022</v>
      </c>
      <c r="G50" s="1400">
        <v>26904</v>
      </c>
      <c r="H50" s="1417">
        <v>17118</v>
      </c>
      <c r="I50" s="1416">
        <f t="shared" si="6"/>
        <v>0</v>
      </c>
      <c r="J50" s="1400">
        <v>0</v>
      </c>
      <c r="K50" s="1417">
        <v>0</v>
      </c>
      <c r="L50" s="1416">
        <f t="shared" si="7"/>
        <v>16</v>
      </c>
      <c r="M50" s="1400">
        <v>16</v>
      </c>
      <c r="N50" s="1417">
        <v>0</v>
      </c>
      <c r="O50" s="1422">
        <v>364</v>
      </c>
      <c r="P50" s="1399">
        <v>192</v>
      </c>
      <c r="Q50" s="1399">
        <v>23766</v>
      </c>
      <c r="R50" s="1399">
        <v>6824</v>
      </c>
      <c r="S50" s="1399">
        <v>8390</v>
      </c>
      <c r="T50" s="1420">
        <v>1186</v>
      </c>
      <c r="U50" s="1407">
        <f t="shared" si="8"/>
        <v>31146</v>
      </c>
      <c r="V50" s="1408">
        <f t="shared" si="9"/>
        <v>32712</v>
      </c>
      <c r="W50" s="1409">
        <f t="shared" si="0"/>
        <v>174698.89378513771</v>
      </c>
      <c r="X50" s="1410"/>
      <c r="Y50" s="1411"/>
      <c r="Z50" s="1411">
        <f t="shared" si="1"/>
        <v>97948.893785137712</v>
      </c>
      <c r="AC50" s="1356" t="s">
        <v>470</v>
      </c>
      <c r="AD50" s="1412">
        <v>2.6515920087404403</v>
      </c>
      <c r="AE50" s="1412">
        <v>2.0215364345799127</v>
      </c>
      <c r="AF50" s="1412">
        <v>2.6875</v>
      </c>
      <c r="AG50" s="1412"/>
      <c r="AH50" s="1412">
        <f t="shared" si="10"/>
        <v>1.6515920087404403</v>
      </c>
      <c r="AI50" s="1412">
        <f t="shared" si="10"/>
        <v>1.0215364345799127</v>
      </c>
      <c r="AJ50" s="1412">
        <f t="shared" si="10"/>
        <v>1.6875</v>
      </c>
      <c r="AM50" s="1413"/>
      <c r="AN50" s="1411"/>
      <c r="AQ50" s="1414"/>
      <c r="AS50" s="1414">
        <f t="shared" si="11"/>
        <v>0</v>
      </c>
    </row>
    <row r="51" spans="1:45" ht="18.75" customHeight="1">
      <c r="A51" s="1355">
        <f t="shared" si="12"/>
        <v>46</v>
      </c>
      <c r="B51" s="1423" t="s">
        <v>243</v>
      </c>
      <c r="C51" s="1398">
        <f t="shared" si="2"/>
        <v>35756</v>
      </c>
      <c r="D51" s="1399">
        <f t="shared" si="3"/>
        <v>23819</v>
      </c>
      <c r="E51" s="1400">
        <f t="shared" si="4"/>
        <v>11937</v>
      </c>
      <c r="F51" s="1416">
        <f t="shared" si="5"/>
        <v>35742</v>
      </c>
      <c r="G51" s="1400">
        <v>23805</v>
      </c>
      <c r="H51" s="1417">
        <v>11937</v>
      </c>
      <c r="I51" s="1416">
        <f t="shared" si="6"/>
        <v>0</v>
      </c>
      <c r="J51" s="1400">
        <v>0</v>
      </c>
      <c r="K51" s="1417">
        <v>0</v>
      </c>
      <c r="L51" s="1416">
        <f t="shared" si="7"/>
        <v>14</v>
      </c>
      <c r="M51" s="1400">
        <v>14</v>
      </c>
      <c r="N51" s="1417">
        <v>0</v>
      </c>
      <c r="O51" s="1422">
        <v>221</v>
      </c>
      <c r="P51" s="1399">
        <v>185</v>
      </c>
      <c r="Q51" s="1399">
        <v>11568</v>
      </c>
      <c r="R51" s="1399">
        <v>3478</v>
      </c>
      <c r="S51" s="1399">
        <v>4939</v>
      </c>
      <c r="T51" s="1420">
        <v>449</v>
      </c>
      <c r="U51" s="1407">
        <f t="shared" si="8"/>
        <v>15452</v>
      </c>
      <c r="V51" s="1408">
        <f t="shared" si="9"/>
        <v>16913</v>
      </c>
      <c r="W51" s="1409">
        <f t="shared" si="0"/>
        <v>146855.54185232689</v>
      </c>
      <c r="X51" s="1410"/>
      <c r="Y51" s="1411"/>
      <c r="Z51" s="1411">
        <f t="shared" si="1"/>
        <v>94186.541852326889</v>
      </c>
      <c r="AC51" s="1356" t="s">
        <v>471</v>
      </c>
      <c r="AD51" s="1412">
        <v>3.1434497219436595</v>
      </c>
      <c r="AE51" s="1412">
        <v>2.4196253844003355</v>
      </c>
      <c r="AF51" s="1412">
        <v>3.7663230240549828</v>
      </c>
      <c r="AG51" s="1412"/>
      <c r="AH51" s="1412">
        <f t="shared" si="10"/>
        <v>2.1434497219436595</v>
      </c>
      <c r="AI51" s="1412">
        <f t="shared" si="10"/>
        <v>1.4196253844003355</v>
      </c>
      <c r="AJ51" s="1412">
        <f t="shared" si="10"/>
        <v>2.7663230240549828</v>
      </c>
      <c r="AM51" s="1413"/>
      <c r="AN51" s="1411"/>
      <c r="AQ51" s="1414"/>
      <c r="AS51" s="1414">
        <f t="shared" si="11"/>
        <v>0</v>
      </c>
    </row>
    <row r="52" spans="1:45" ht="18.75" customHeight="1">
      <c r="A52" s="1355">
        <f t="shared" si="12"/>
        <v>47</v>
      </c>
      <c r="B52" s="1423" t="s">
        <v>244</v>
      </c>
      <c r="C52" s="1398">
        <f t="shared" si="2"/>
        <v>28424</v>
      </c>
      <c r="D52" s="1399">
        <f t="shared" si="3"/>
        <v>21145</v>
      </c>
      <c r="E52" s="1400">
        <f t="shared" si="4"/>
        <v>7279</v>
      </c>
      <c r="F52" s="1416">
        <f t="shared" si="5"/>
        <v>28410</v>
      </c>
      <c r="G52" s="1400">
        <v>21131</v>
      </c>
      <c r="H52" s="1417">
        <v>7279</v>
      </c>
      <c r="I52" s="1416">
        <f t="shared" si="6"/>
        <v>1</v>
      </c>
      <c r="J52" s="1400">
        <v>1</v>
      </c>
      <c r="K52" s="1417">
        <v>0</v>
      </c>
      <c r="L52" s="1416">
        <f t="shared" si="7"/>
        <v>13</v>
      </c>
      <c r="M52" s="1400">
        <v>13</v>
      </c>
      <c r="N52" s="1417">
        <v>0</v>
      </c>
      <c r="O52" s="1422">
        <v>64</v>
      </c>
      <c r="P52" s="1399">
        <v>79</v>
      </c>
      <c r="Q52" s="1399">
        <v>4134</v>
      </c>
      <c r="R52" s="1399">
        <v>1953</v>
      </c>
      <c r="S52" s="1399">
        <v>3138</v>
      </c>
      <c r="T52" s="1420">
        <v>224</v>
      </c>
      <c r="U52" s="1407">
        <f t="shared" si="8"/>
        <v>6230</v>
      </c>
      <c r="V52" s="1408">
        <f t="shared" si="9"/>
        <v>7415</v>
      </c>
      <c r="W52" s="1409">
        <f t="shared" si="0"/>
        <v>110507.9468896617</v>
      </c>
      <c r="X52" s="1410"/>
      <c r="Y52" s="1411"/>
      <c r="Z52" s="1411">
        <f t="shared" si="1"/>
        <v>74668.946889661704</v>
      </c>
      <c r="AC52" s="1356" t="s">
        <v>472</v>
      </c>
      <c r="AD52" s="1412">
        <v>3.225081189108169</v>
      </c>
      <c r="AE52" s="1412">
        <v>3.6294187102633999</v>
      </c>
      <c r="AF52" s="1412">
        <v>4.8686868686868685</v>
      </c>
      <c r="AG52" s="1412"/>
      <c r="AH52" s="1412">
        <f t="shared" si="10"/>
        <v>2.225081189108169</v>
      </c>
      <c r="AI52" s="1412">
        <f t="shared" si="10"/>
        <v>2.6294187102633999</v>
      </c>
      <c r="AJ52" s="1412">
        <f t="shared" si="10"/>
        <v>3.8686868686868685</v>
      </c>
      <c r="AM52" s="1413"/>
      <c r="AN52" s="1411"/>
      <c r="AQ52" s="1414"/>
      <c r="AS52" s="1414">
        <f t="shared" si="11"/>
        <v>0</v>
      </c>
    </row>
    <row r="53" spans="1:45" ht="18.75" customHeight="1">
      <c r="A53" s="1355">
        <f t="shared" si="12"/>
        <v>48</v>
      </c>
      <c r="B53" s="1423" t="s">
        <v>491</v>
      </c>
      <c r="C53" s="1398">
        <f t="shared" si="2"/>
        <v>36495</v>
      </c>
      <c r="D53" s="1399">
        <f t="shared" si="3"/>
        <v>22527</v>
      </c>
      <c r="E53" s="1400">
        <f t="shared" si="4"/>
        <v>13968</v>
      </c>
      <c r="F53" s="1416">
        <f t="shared" si="5"/>
        <v>36484</v>
      </c>
      <c r="G53" s="1400">
        <v>22517</v>
      </c>
      <c r="H53" s="1417">
        <v>13967</v>
      </c>
      <c r="I53" s="1416">
        <f t="shared" si="6"/>
        <v>2</v>
      </c>
      <c r="J53" s="1400">
        <v>1</v>
      </c>
      <c r="K53" s="1417">
        <v>1</v>
      </c>
      <c r="L53" s="1416">
        <f t="shared" si="7"/>
        <v>9</v>
      </c>
      <c r="M53" s="1400">
        <v>9</v>
      </c>
      <c r="N53" s="1417">
        <v>0</v>
      </c>
      <c r="O53" s="1422">
        <v>389</v>
      </c>
      <c r="P53" s="1399">
        <v>118</v>
      </c>
      <c r="Q53" s="1399">
        <v>23722</v>
      </c>
      <c r="R53" s="1399">
        <v>7078</v>
      </c>
      <c r="S53" s="1399">
        <v>8325</v>
      </c>
      <c r="T53" s="1420">
        <v>710</v>
      </c>
      <c r="U53" s="1407">
        <f t="shared" si="8"/>
        <v>31307</v>
      </c>
      <c r="V53" s="1408">
        <f t="shared" si="9"/>
        <v>32554</v>
      </c>
      <c r="W53" s="1409">
        <f t="shared" si="0"/>
        <v>139071.43401655488</v>
      </c>
      <c r="X53" s="1410"/>
      <c r="Y53" s="1411"/>
      <c r="Z53" s="1411">
        <f t="shared" si="1"/>
        <v>70022.434016554878</v>
      </c>
      <c r="AC53" s="1356" t="s">
        <v>473</v>
      </c>
      <c r="AD53" s="1412">
        <v>2.3850782860645232</v>
      </c>
      <c r="AE53" s="1412">
        <v>1.7926185248917106</v>
      </c>
      <c r="AF53" s="1412">
        <v>2.3244680851063828</v>
      </c>
      <c r="AG53" s="1412"/>
      <c r="AH53" s="1412">
        <f t="shared" si="10"/>
        <v>1.3850782860645232</v>
      </c>
      <c r="AI53" s="1412">
        <f t="shared" si="10"/>
        <v>0.79261852489171059</v>
      </c>
      <c r="AJ53" s="1412">
        <f t="shared" si="10"/>
        <v>1.3244680851063828</v>
      </c>
      <c r="AM53" s="1413"/>
      <c r="AN53" s="1411"/>
      <c r="AQ53" s="1414"/>
      <c r="AS53" s="1414">
        <f t="shared" si="11"/>
        <v>0</v>
      </c>
    </row>
    <row r="54" spans="1:45" ht="18.75" customHeight="1">
      <c r="A54" s="1355">
        <f t="shared" si="12"/>
        <v>49</v>
      </c>
      <c r="B54" s="1423" t="s">
        <v>492</v>
      </c>
      <c r="C54" s="1398">
        <f t="shared" si="2"/>
        <v>14916</v>
      </c>
      <c r="D54" s="1399">
        <f t="shared" si="3"/>
        <v>10896</v>
      </c>
      <c r="E54" s="1400">
        <f t="shared" si="4"/>
        <v>4020</v>
      </c>
      <c r="F54" s="1416">
        <f t="shared" si="5"/>
        <v>14915</v>
      </c>
      <c r="G54" s="1400">
        <v>10895</v>
      </c>
      <c r="H54" s="1417">
        <v>4020</v>
      </c>
      <c r="I54" s="1416">
        <f t="shared" si="6"/>
        <v>1</v>
      </c>
      <c r="J54" s="1400">
        <v>1</v>
      </c>
      <c r="K54" s="1417">
        <v>0</v>
      </c>
      <c r="L54" s="1416">
        <f t="shared" si="7"/>
        <v>0</v>
      </c>
      <c r="M54" s="1400">
        <v>0</v>
      </c>
      <c r="N54" s="1417">
        <v>0</v>
      </c>
      <c r="O54" s="1422">
        <v>29</v>
      </c>
      <c r="P54" s="1399">
        <v>35</v>
      </c>
      <c r="Q54" s="1399">
        <v>2239</v>
      </c>
      <c r="R54" s="1399">
        <v>851</v>
      </c>
      <c r="S54" s="1399">
        <v>1288</v>
      </c>
      <c r="T54" s="1420">
        <v>176</v>
      </c>
      <c r="U54" s="1407">
        <f t="shared" si="8"/>
        <v>3154</v>
      </c>
      <c r="V54" s="1408">
        <f t="shared" si="9"/>
        <v>3591</v>
      </c>
      <c r="W54" s="1409">
        <f t="shared" si="0"/>
        <v>52956.743103431341</v>
      </c>
      <c r="X54" s="1410"/>
      <c r="Y54" s="1411"/>
      <c r="Z54" s="1411">
        <f t="shared" si="1"/>
        <v>34449.743103431341</v>
      </c>
      <c r="AC54" s="1356" t="s">
        <v>474</v>
      </c>
      <c r="AD54" s="1412">
        <v>2.9640798226164078</v>
      </c>
      <c r="AE54" s="1412">
        <v>3.2296777442094702</v>
      </c>
      <c r="AF54" s="1412">
        <v>3.52</v>
      </c>
      <c r="AG54" s="1412"/>
      <c r="AH54" s="1412">
        <f t="shared" si="10"/>
        <v>1.9640798226164078</v>
      </c>
      <c r="AI54" s="1412">
        <f t="shared" si="10"/>
        <v>2.2296777442094702</v>
      </c>
      <c r="AJ54" s="1412">
        <f t="shared" si="10"/>
        <v>2.52</v>
      </c>
      <c r="AM54" s="1413"/>
      <c r="AN54" s="1411"/>
      <c r="AQ54" s="1414"/>
      <c r="AS54" s="1414">
        <f t="shared" si="11"/>
        <v>0</v>
      </c>
    </row>
    <row r="55" spans="1:45" ht="18.75" customHeight="1">
      <c r="A55" s="1355">
        <f t="shared" si="12"/>
        <v>50</v>
      </c>
      <c r="B55" s="1423" t="s">
        <v>493</v>
      </c>
      <c r="C55" s="1398">
        <f t="shared" si="2"/>
        <v>12098</v>
      </c>
      <c r="D55" s="1399">
        <f t="shared" si="3"/>
        <v>7783</v>
      </c>
      <c r="E55" s="1400">
        <f t="shared" si="4"/>
        <v>4315</v>
      </c>
      <c r="F55" s="1416">
        <f t="shared" si="5"/>
        <v>12081</v>
      </c>
      <c r="G55" s="1400">
        <v>7766</v>
      </c>
      <c r="H55" s="1417">
        <v>4315</v>
      </c>
      <c r="I55" s="1416">
        <f t="shared" si="6"/>
        <v>0</v>
      </c>
      <c r="J55" s="1400">
        <v>0</v>
      </c>
      <c r="K55" s="1417">
        <v>0</v>
      </c>
      <c r="L55" s="1416">
        <f t="shared" si="7"/>
        <v>17</v>
      </c>
      <c r="M55" s="1400">
        <v>17</v>
      </c>
      <c r="N55" s="1417">
        <v>0</v>
      </c>
      <c r="O55" s="1422">
        <v>101</v>
      </c>
      <c r="P55" s="1399">
        <v>56</v>
      </c>
      <c r="Q55" s="1399">
        <v>5089</v>
      </c>
      <c r="R55" s="1399">
        <v>1969</v>
      </c>
      <c r="S55" s="1399">
        <v>2420</v>
      </c>
      <c r="T55" s="1420">
        <v>106</v>
      </c>
      <c r="U55" s="1407">
        <f t="shared" si="8"/>
        <v>7215</v>
      </c>
      <c r="V55" s="1408">
        <f t="shared" si="9"/>
        <v>7666</v>
      </c>
      <c r="W55" s="1409">
        <f t="shared" si="0"/>
        <v>49096.322227969184</v>
      </c>
      <c r="X55" s="1410"/>
      <c r="Y55" s="1411"/>
      <c r="Z55" s="1411">
        <f t="shared" si="1"/>
        <v>29332.322227969184</v>
      </c>
      <c r="AC55" s="1356" t="s">
        <v>475</v>
      </c>
      <c r="AD55" s="1412">
        <v>2.9245854172150567</v>
      </c>
      <c r="AE55" s="1412">
        <v>2.13487749149246</v>
      </c>
      <c r="AF55" s="1412">
        <v>2.7407407407407409</v>
      </c>
      <c r="AG55" s="1412"/>
      <c r="AH55" s="1412">
        <f t="shared" si="10"/>
        <v>1.9245854172150567</v>
      </c>
      <c r="AI55" s="1412">
        <f t="shared" si="10"/>
        <v>1.13487749149246</v>
      </c>
      <c r="AJ55" s="1412">
        <f t="shared" si="10"/>
        <v>1.7407407407407409</v>
      </c>
      <c r="AM55" s="1413"/>
      <c r="AN55" s="1411"/>
      <c r="AQ55" s="1414"/>
      <c r="AS55" s="1414">
        <f t="shared" si="11"/>
        <v>0</v>
      </c>
    </row>
    <row r="56" spans="1:45" ht="18.75" customHeight="1">
      <c r="A56" s="1355">
        <f t="shared" si="12"/>
        <v>51</v>
      </c>
      <c r="B56" s="1423" t="s">
        <v>494</v>
      </c>
      <c r="C56" s="1398">
        <f t="shared" si="2"/>
        <v>13929</v>
      </c>
      <c r="D56" s="1399">
        <f t="shared" si="3"/>
        <v>8688</v>
      </c>
      <c r="E56" s="1400">
        <f t="shared" si="4"/>
        <v>5241</v>
      </c>
      <c r="F56" s="1416">
        <f t="shared" si="5"/>
        <v>13920</v>
      </c>
      <c r="G56" s="1400">
        <v>8679</v>
      </c>
      <c r="H56" s="1417">
        <v>5241</v>
      </c>
      <c r="I56" s="1416">
        <f t="shared" si="6"/>
        <v>0</v>
      </c>
      <c r="J56" s="1400">
        <v>0</v>
      </c>
      <c r="K56" s="1417">
        <v>0</v>
      </c>
      <c r="L56" s="1416">
        <f t="shared" si="7"/>
        <v>9</v>
      </c>
      <c r="M56" s="1400">
        <v>9</v>
      </c>
      <c r="N56" s="1417">
        <v>0</v>
      </c>
      <c r="O56" s="1422">
        <v>134</v>
      </c>
      <c r="P56" s="1399">
        <v>75</v>
      </c>
      <c r="Q56" s="1399">
        <v>6058</v>
      </c>
      <c r="R56" s="1399">
        <v>2121</v>
      </c>
      <c r="S56" s="1399">
        <v>2760</v>
      </c>
      <c r="T56" s="1420">
        <v>162</v>
      </c>
      <c r="U56" s="1407">
        <f t="shared" si="8"/>
        <v>8388</v>
      </c>
      <c r="V56" s="1408">
        <f t="shared" si="9"/>
        <v>9027</v>
      </c>
      <c r="W56" s="1409">
        <f t="shared" si="0"/>
        <v>54345.743030804108</v>
      </c>
      <c r="X56" s="1410"/>
      <c r="Y56" s="1411"/>
      <c r="Z56" s="1411">
        <f t="shared" si="1"/>
        <v>31389.743030804108</v>
      </c>
      <c r="AC56" s="1356" t="s">
        <v>851</v>
      </c>
      <c r="AD56" s="1412">
        <v>2.7532840269345402</v>
      </c>
      <c r="AE56" s="1412">
        <v>2.0727899432278996</v>
      </c>
      <c r="AF56" s="1412">
        <v>3.2453987730061349</v>
      </c>
      <c r="AG56" s="1412"/>
      <c r="AH56" s="1412">
        <f t="shared" si="10"/>
        <v>1.7532840269345402</v>
      </c>
      <c r="AI56" s="1412">
        <f t="shared" si="10"/>
        <v>1.0727899432278996</v>
      </c>
      <c r="AJ56" s="1412">
        <f t="shared" si="10"/>
        <v>2.2453987730061349</v>
      </c>
      <c r="AM56" s="1413"/>
      <c r="AN56" s="1411"/>
      <c r="AQ56" s="1414"/>
      <c r="AS56" s="1414">
        <f t="shared" si="11"/>
        <v>0</v>
      </c>
    </row>
    <row r="57" spans="1:45" ht="18.75" customHeight="1">
      <c r="A57" s="1355">
        <f t="shared" si="12"/>
        <v>52</v>
      </c>
      <c r="B57" s="1423" t="s">
        <v>495</v>
      </c>
      <c r="C57" s="1398">
        <f t="shared" si="2"/>
        <v>25240</v>
      </c>
      <c r="D57" s="1399">
        <f t="shared" si="3"/>
        <v>15980</v>
      </c>
      <c r="E57" s="1400">
        <f t="shared" si="4"/>
        <v>9260</v>
      </c>
      <c r="F57" s="1416">
        <f t="shared" si="5"/>
        <v>25231</v>
      </c>
      <c r="G57" s="1400">
        <v>15971</v>
      </c>
      <c r="H57" s="1417">
        <v>9260</v>
      </c>
      <c r="I57" s="1416">
        <f t="shared" si="6"/>
        <v>0</v>
      </c>
      <c r="J57" s="1400">
        <v>0</v>
      </c>
      <c r="K57" s="1417">
        <v>0</v>
      </c>
      <c r="L57" s="1416">
        <f t="shared" si="7"/>
        <v>9</v>
      </c>
      <c r="M57" s="1400">
        <v>9</v>
      </c>
      <c r="N57" s="1417">
        <v>0</v>
      </c>
      <c r="O57" s="1422">
        <v>220</v>
      </c>
      <c r="P57" s="1399">
        <v>136</v>
      </c>
      <c r="Q57" s="1399">
        <v>12787</v>
      </c>
      <c r="R57" s="1399">
        <v>3738</v>
      </c>
      <c r="S57" s="1399">
        <v>4834</v>
      </c>
      <c r="T57" s="1420">
        <v>434</v>
      </c>
      <c r="U57" s="1407">
        <f t="shared" si="8"/>
        <v>16881</v>
      </c>
      <c r="V57" s="1408">
        <f t="shared" si="9"/>
        <v>17977</v>
      </c>
      <c r="W57" s="1409">
        <f t="shared" si="0"/>
        <v>104581.00353783506</v>
      </c>
      <c r="X57" s="1410"/>
      <c r="Y57" s="1411"/>
      <c r="Z57" s="1411">
        <f t="shared" si="1"/>
        <v>61364.003537835059</v>
      </c>
      <c r="AC57" s="1356" t="s">
        <v>852</v>
      </c>
      <c r="AD57" s="1412">
        <v>2.827639273622653</v>
      </c>
      <c r="AE57" s="1412">
        <v>2.1365173721430768</v>
      </c>
      <c r="AF57" s="1412">
        <v>2.9711815561959654</v>
      </c>
      <c r="AG57" s="1412"/>
      <c r="AH57" s="1412">
        <f t="shared" si="10"/>
        <v>1.827639273622653</v>
      </c>
      <c r="AI57" s="1412">
        <f t="shared" si="10"/>
        <v>1.1365173721430768</v>
      </c>
      <c r="AJ57" s="1412">
        <f t="shared" si="10"/>
        <v>1.9711815561959654</v>
      </c>
      <c r="AM57" s="1413"/>
      <c r="AN57" s="1411"/>
      <c r="AQ57" s="1414"/>
      <c r="AS57" s="1414">
        <f t="shared" si="11"/>
        <v>0</v>
      </c>
    </row>
    <row r="58" spans="1:45" ht="18.75" customHeight="1">
      <c r="A58" s="1354">
        <f t="shared" si="12"/>
        <v>53</v>
      </c>
      <c r="B58" s="1415" t="s">
        <v>496</v>
      </c>
      <c r="C58" s="1398">
        <f t="shared" si="2"/>
        <v>14942</v>
      </c>
      <c r="D58" s="1399">
        <f t="shared" si="3"/>
        <v>9321</v>
      </c>
      <c r="E58" s="1400">
        <f t="shared" si="4"/>
        <v>5621</v>
      </c>
      <c r="F58" s="1416">
        <f t="shared" si="5"/>
        <v>14942</v>
      </c>
      <c r="G58" s="1400">
        <v>9321</v>
      </c>
      <c r="H58" s="1417">
        <v>5621</v>
      </c>
      <c r="I58" s="1416">
        <f t="shared" si="6"/>
        <v>0</v>
      </c>
      <c r="J58" s="1400">
        <v>0</v>
      </c>
      <c r="K58" s="1417">
        <v>0</v>
      </c>
      <c r="L58" s="1416">
        <f t="shared" si="7"/>
        <v>0</v>
      </c>
      <c r="M58" s="1400">
        <v>0</v>
      </c>
      <c r="N58" s="1417">
        <v>0</v>
      </c>
      <c r="O58" s="1422">
        <v>37</v>
      </c>
      <c r="P58" s="1399">
        <v>42</v>
      </c>
      <c r="Q58" s="1399">
        <v>4077</v>
      </c>
      <c r="R58" s="1399">
        <v>1926</v>
      </c>
      <c r="S58" s="1399">
        <v>2509</v>
      </c>
      <c r="T58" s="1420">
        <v>173</v>
      </c>
      <c r="U58" s="1407">
        <f t="shared" si="8"/>
        <v>6082</v>
      </c>
      <c r="V58" s="1408">
        <f t="shared" si="9"/>
        <v>6665</v>
      </c>
      <c r="W58" s="1409">
        <f t="shared" si="0"/>
        <v>43333.092081110372</v>
      </c>
      <c r="X58" s="1410"/>
      <c r="Y58" s="1411"/>
      <c r="Z58" s="1411">
        <f t="shared" si="1"/>
        <v>21726.092081110372</v>
      </c>
      <c r="AC58" s="1356" t="s">
        <v>673</v>
      </c>
      <c r="AD58" s="1412">
        <v>2.11964179104478</v>
      </c>
      <c r="AE58" s="1412">
        <v>2.2021785602991599</v>
      </c>
      <c r="AF58" s="1412">
        <v>2.2040816326530601</v>
      </c>
      <c r="AG58" s="1412"/>
      <c r="AH58" s="1412">
        <f t="shared" si="10"/>
        <v>1.11964179104478</v>
      </c>
      <c r="AI58" s="1412">
        <f t="shared" si="10"/>
        <v>1.2021785602991599</v>
      </c>
      <c r="AJ58" s="1412">
        <f t="shared" si="10"/>
        <v>1.2040816326530601</v>
      </c>
      <c r="AM58" s="1413"/>
      <c r="AN58" s="1411"/>
      <c r="AQ58" s="1414"/>
      <c r="AS58" s="1414">
        <f t="shared" si="11"/>
        <v>0</v>
      </c>
    </row>
    <row r="59" spans="1:45" ht="18.75" customHeight="1">
      <c r="A59" s="1354">
        <f t="shared" si="12"/>
        <v>54</v>
      </c>
      <c r="B59" s="1415" t="s">
        <v>901</v>
      </c>
      <c r="C59" s="1398">
        <f t="shared" si="2"/>
        <v>29921</v>
      </c>
      <c r="D59" s="1399">
        <f t="shared" si="3"/>
        <v>18170</v>
      </c>
      <c r="E59" s="1400">
        <f t="shared" si="4"/>
        <v>11751</v>
      </c>
      <c r="F59" s="1416">
        <f t="shared" si="5"/>
        <v>29920</v>
      </c>
      <c r="G59" s="1400">
        <v>18170</v>
      </c>
      <c r="H59" s="1417">
        <v>11750</v>
      </c>
      <c r="I59" s="1416">
        <f t="shared" si="6"/>
        <v>1</v>
      </c>
      <c r="J59" s="1400">
        <v>0</v>
      </c>
      <c r="K59" s="1417">
        <v>1</v>
      </c>
      <c r="L59" s="1416">
        <f t="shared" si="7"/>
        <v>0</v>
      </c>
      <c r="M59" s="1400">
        <v>0</v>
      </c>
      <c r="N59" s="1417">
        <v>0</v>
      </c>
      <c r="O59" s="1422">
        <v>211</v>
      </c>
      <c r="P59" s="1399">
        <v>135</v>
      </c>
      <c r="Q59" s="1399">
        <v>13214</v>
      </c>
      <c r="R59" s="1399">
        <v>4936</v>
      </c>
      <c r="S59" s="1399">
        <v>6196</v>
      </c>
      <c r="T59" s="1420">
        <v>688</v>
      </c>
      <c r="U59" s="1407">
        <f t="shared" si="8"/>
        <v>18496</v>
      </c>
      <c r="V59" s="1408">
        <f t="shared" si="9"/>
        <v>19756</v>
      </c>
      <c r="W59" s="1409">
        <f t="shared" si="0"/>
        <v>117931.69866020716</v>
      </c>
      <c r="X59" s="1410"/>
      <c r="Y59" s="1411"/>
      <c r="Z59" s="1411">
        <f t="shared" si="1"/>
        <v>68254.698660207156</v>
      </c>
      <c r="AC59" s="1356" t="s">
        <v>674</v>
      </c>
      <c r="AD59" s="1412">
        <v>2.7584239495234262</v>
      </c>
      <c r="AE59" s="1412">
        <v>2.136159844054581</v>
      </c>
      <c r="AF59" s="1412">
        <v>2.8141025641025643</v>
      </c>
      <c r="AG59" s="1412"/>
      <c r="AH59" s="1412">
        <f t="shared" si="10"/>
        <v>1.7584239495234262</v>
      </c>
      <c r="AI59" s="1412">
        <f t="shared" si="10"/>
        <v>1.136159844054581</v>
      </c>
      <c r="AJ59" s="1412">
        <f t="shared" si="10"/>
        <v>1.8141025641025643</v>
      </c>
      <c r="AM59" s="1413"/>
      <c r="AN59" s="1411"/>
      <c r="AQ59" s="1414"/>
      <c r="AS59" s="1414">
        <f t="shared" si="11"/>
        <v>0</v>
      </c>
    </row>
    <row r="60" spans="1:45" ht="18.75" customHeight="1">
      <c r="A60" s="1354">
        <f t="shared" si="12"/>
        <v>55</v>
      </c>
      <c r="B60" s="1415" t="s">
        <v>902</v>
      </c>
      <c r="C60" s="1398">
        <f t="shared" si="2"/>
        <v>52790</v>
      </c>
      <c r="D60" s="1399">
        <f t="shared" si="3"/>
        <v>32297</v>
      </c>
      <c r="E60" s="1400">
        <f t="shared" si="4"/>
        <v>20493</v>
      </c>
      <c r="F60" s="1416">
        <f t="shared" si="5"/>
        <v>52772</v>
      </c>
      <c r="G60" s="1400">
        <v>32279</v>
      </c>
      <c r="H60" s="1417">
        <v>20493</v>
      </c>
      <c r="I60" s="1416">
        <f t="shared" si="6"/>
        <v>2</v>
      </c>
      <c r="J60" s="1400">
        <v>2</v>
      </c>
      <c r="K60" s="1417">
        <v>0</v>
      </c>
      <c r="L60" s="1416">
        <f t="shared" si="7"/>
        <v>16</v>
      </c>
      <c r="M60" s="1400">
        <v>16</v>
      </c>
      <c r="N60" s="1417">
        <v>0</v>
      </c>
      <c r="O60" s="1422">
        <v>404</v>
      </c>
      <c r="P60" s="1399">
        <v>275</v>
      </c>
      <c r="Q60" s="1399">
        <v>26052</v>
      </c>
      <c r="R60" s="1399">
        <v>7916</v>
      </c>
      <c r="S60" s="1399">
        <v>10260</v>
      </c>
      <c r="T60" s="1420">
        <v>850</v>
      </c>
      <c r="U60" s="1407">
        <f t="shared" si="8"/>
        <v>34647</v>
      </c>
      <c r="V60" s="1408">
        <f t="shared" si="9"/>
        <v>36991</v>
      </c>
      <c r="W60" s="1409">
        <f t="shared" si="0"/>
        <v>209494.90767753485</v>
      </c>
      <c r="X60" s="1410"/>
      <c r="Y60" s="1411"/>
      <c r="Z60" s="1411">
        <f t="shared" si="1"/>
        <v>119713.90767753485</v>
      </c>
      <c r="AC60" s="1356" t="s">
        <v>525</v>
      </c>
      <c r="AD60" s="1412">
        <v>2.7404991132505701</v>
      </c>
      <c r="AE60" s="1412">
        <v>2.013787746383144</v>
      </c>
      <c r="AF60" s="1412">
        <v>3.0939044481054365</v>
      </c>
      <c r="AG60" s="1412"/>
      <c r="AH60" s="1412">
        <f t="shared" si="10"/>
        <v>1.7404991132505701</v>
      </c>
      <c r="AI60" s="1412">
        <f t="shared" si="10"/>
        <v>1.013787746383144</v>
      </c>
      <c r="AJ60" s="1412">
        <f t="shared" si="10"/>
        <v>2.0939044481054365</v>
      </c>
      <c r="AM60" s="1413"/>
      <c r="AN60" s="1411"/>
      <c r="AQ60" s="1414"/>
      <c r="AS60" s="1414">
        <f t="shared" si="11"/>
        <v>0</v>
      </c>
    </row>
    <row r="61" spans="1:45" ht="18.75" customHeight="1">
      <c r="A61" s="1354">
        <f t="shared" si="12"/>
        <v>56</v>
      </c>
      <c r="B61" s="1415" t="s">
        <v>642</v>
      </c>
      <c r="C61" s="1398">
        <f t="shared" si="2"/>
        <v>14999</v>
      </c>
      <c r="D61" s="1399">
        <f t="shared" si="3"/>
        <v>11773</v>
      </c>
      <c r="E61" s="1400">
        <f t="shared" si="4"/>
        <v>3226</v>
      </c>
      <c r="F61" s="1416">
        <f t="shared" si="5"/>
        <v>14989</v>
      </c>
      <c r="G61" s="1400">
        <v>11763</v>
      </c>
      <c r="H61" s="1417">
        <v>3226</v>
      </c>
      <c r="I61" s="1416">
        <f t="shared" si="6"/>
        <v>1</v>
      </c>
      <c r="J61" s="1400">
        <v>1</v>
      </c>
      <c r="K61" s="1417">
        <v>0</v>
      </c>
      <c r="L61" s="1416">
        <f t="shared" si="7"/>
        <v>9</v>
      </c>
      <c r="M61" s="1400">
        <v>9</v>
      </c>
      <c r="N61" s="1417">
        <v>0</v>
      </c>
      <c r="O61" s="1422">
        <v>28</v>
      </c>
      <c r="P61" s="1399">
        <v>137</v>
      </c>
      <c r="Q61" s="1399">
        <v>4122</v>
      </c>
      <c r="R61" s="1399">
        <v>1390</v>
      </c>
      <c r="S61" s="1399">
        <v>2212</v>
      </c>
      <c r="T61" s="1420">
        <v>89</v>
      </c>
      <c r="U61" s="1407">
        <f t="shared" si="8"/>
        <v>5677</v>
      </c>
      <c r="V61" s="1408">
        <f t="shared" si="9"/>
        <v>6499</v>
      </c>
      <c r="W61" s="1409">
        <f t="shared" si="0"/>
        <v>67302.435841779006</v>
      </c>
      <c r="X61" s="1410"/>
      <c r="Y61" s="1411"/>
      <c r="Z61" s="1411">
        <f t="shared" si="1"/>
        <v>45804.435841779006</v>
      </c>
      <c r="AC61" s="1356" t="s">
        <v>526</v>
      </c>
      <c r="AD61" s="1412">
        <v>3.2689088191330344</v>
      </c>
      <c r="AE61" s="1412">
        <v>3.67731563421829</v>
      </c>
      <c r="AF61" s="1412">
        <v>5.467741935483871</v>
      </c>
      <c r="AG61" s="1412"/>
      <c r="AH61" s="1412">
        <f t="shared" si="10"/>
        <v>2.2689088191330344</v>
      </c>
      <c r="AI61" s="1412">
        <f t="shared" si="10"/>
        <v>2.67731563421829</v>
      </c>
      <c r="AJ61" s="1412">
        <f t="shared" si="10"/>
        <v>4.467741935483871</v>
      </c>
      <c r="AM61" s="1413"/>
      <c r="AN61" s="1411"/>
      <c r="AQ61" s="1414"/>
      <c r="AS61" s="1414">
        <f t="shared" si="11"/>
        <v>0</v>
      </c>
    </row>
    <row r="62" spans="1:45" ht="18.75" customHeight="1">
      <c r="A62" s="1354">
        <f t="shared" si="12"/>
        <v>57</v>
      </c>
      <c r="B62" s="1415" t="s">
        <v>109</v>
      </c>
      <c r="C62" s="1398">
        <f t="shared" si="2"/>
        <v>10065</v>
      </c>
      <c r="D62" s="1399">
        <f t="shared" si="3"/>
        <v>6600</v>
      </c>
      <c r="E62" s="1400">
        <f t="shared" si="4"/>
        <v>3465</v>
      </c>
      <c r="F62" s="1416">
        <f t="shared" si="5"/>
        <v>10065</v>
      </c>
      <c r="G62" s="1400">
        <v>6600</v>
      </c>
      <c r="H62" s="1417">
        <v>3465</v>
      </c>
      <c r="I62" s="1416">
        <f t="shared" si="6"/>
        <v>0</v>
      </c>
      <c r="J62" s="1400">
        <v>0</v>
      </c>
      <c r="K62" s="1417">
        <v>0</v>
      </c>
      <c r="L62" s="1416">
        <f t="shared" si="7"/>
        <v>0</v>
      </c>
      <c r="M62" s="1400">
        <v>0</v>
      </c>
      <c r="N62" s="1417">
        <v>0</v>
      </c>
      <c r="O62" s="1422">
        <v>66</v>
      </c>
      <c r="P62" s="1399">
        <v>50</v>
      </c>
      <c r="Q62" s="1399">
        <v>5984</v>
      </c>
      <c r="R62" s="1399">
        <v>2041</v>
      </c>
      <c r="S62" s="1399">
        <v>2414</v>
      </c>
      <c r="T62" s="1420">
        <v>169</v>
      </c>
      <c r="U62" s="1407">
        <f t="shared" si="8"/>
        <v>8141</v>
      </c>
      <c r="V62" s="1408">
        <f t="shared" si="9"/>
        <v>8514</v>
      </c>
      <c r="W62" s="1409">
        <f t="shared" si="0"/>
        <v>34958.612912320168</v>
      </c>
      <c r="X62" s="1410"/>
      <c r="Y62" s="1411"/>
      <c r="Z62" s="1411">
        <f t="shared" si="1"/>
        <v>16379.612912320168</v>
      </c>
      <c r="AC62" s="1356" t="s">
        <v>527</v>
      </c>
      <c r="AD62" s="1412">
        <v>2.05246409462123</v>
      </c>
      <c r="AE62" s="1412">
        <v>1.945092139902219</v>
      </c>
      <c r="AF62" s="1412">
        <v>2.1304347826086998</v>
      </c>
      <c r="AG62" s="1412"/>
      <c r="AH62" s="1412">
        <f t="shared" si="10"/>
        <v>1.05246409462123</v>
      </c>
      <c r="AI62" s="1412">
        <f t="shared" si="10"/>
        <v>0.94509213990221896</v>
      </c>
      <c r="AJ62" s="1412">
        <f t="shared" si="10"/>
        <v>1.1304347826086998</v>
      </c>
      <c r="AM62" s="1413"/>
      <c r="AN62" s="1411"/>
      <c r="AQ62" s="1414"/>
      <c r="AS62" s="1414">
        <f t="shared" si="11"/>
        <v>0</v>
      </c>
    </row>
    <row r="63" spans="1:45" ht="18.75" customHeight="1">
      <c r="A63" s="1354">
        <f>+A62+1</f>
        <v>58</v>
      </c>
      <c r="B63" s="1415" t="s">
        <v>110</v>
      </c>
      <c r="C63" s="1398">
        <f t="shared" si="2"/>
        <v>29125</v>
      </c>
      <c r="D63" s="1399">
        <f t="shared" si="3"/>
        <v>19893</v>
      </c>
      <c r="E63" s="1400">
        <f t="shared" si="4"/>
        <v>9232</v>
      </c>
      <c r="F63" s="1416">
        <f t="shared" si="5"/>
        <v>29124</v>
      </c>
      <c r="G63" s="1400">
        <v>19892</v>
      </c>
      <c r="H63" s="1417">
        <v>9232</v>
      </c>
      <c r="I63" s="1416">
        <f t="shared" si="6"/>
        <v>1</v>
      </c>
      <c r="J63" s="1400">
        <v>1</v>
      </c>
      <c r="K63" s="1417">
        <v>0</v>
      </c>
      <c r="L63" s="1416">
        <f t="shared" si="7"/>
        <v>0</v>
      </c>
      <c r="M63" s="1400">
        <v>0</v>
      </c>
      <c r="N63" s="1417">
        <v>0</v>
      </c>
      <c r="O63" s="1422">
        <v>188</v>
      </c>
      <c r="P63" s="1399">
        <v>108</v>
      </c>
      <c r="Q63" s="1399">
        <v>9859</v>
      </c>
      <c r="R63" s="1399">
        <v>4044</v>
      </c>
      <c r="S63" s="1399">
        <v>5299</v>
      </c>
      <c r="T63" s="1420">
        <v>283</v>
      </c>
      <c r="U63" s="1407">
        <f t="shared" si="8"/>
        <v>14199</v>
      </c>
      <c r="V63" s="1408">
        <f t="shared" si="9"/>
        <v>15454</v>
      </c>
      <c r="W63" s="1409">
        <f t="shared" si="0"/>
        <v>111379.79834301706</v>
      </c>
      <c r="X63" s="1410"/>
      <c r="Y63" s="1411"/>
      <c r="Z63" s="1411">
        <f t="shared" si="1"/>
        <v>66800.798343017057</v>
      </c>
      <c r="AC63" s="1356" t="s">
        <v>724</v>
      </c>
      <c r="AD63" s="1412">
        <v>2.8357131043607695</v>
      </c>
      <c r="AE63" s="1412">
        <v>2.2908306247742898</v>
      </c>
      <c r="AF63" s="1412">
        <v>3.0586319218241043</v>
      </c>
      <c r="AG63" s="1412"/>
      <c r="AH63" s="1412">
        <f t="shared" si="10"/>
        <v>1.8357131043607695</v>
      </c>
      <c r="AI63" s="1412">
        <f t="shared" si="10"/>
        <v>1.2908306247742898</v>
      </c>
      <c r="AJ63" s="1412">
        <f t="shared" si="10"/>
        <v>2.0586319218241043</v>
      </c>
      <c r="AM63" s="1413"/>
      <c r="AN63" s="1411"/>
      <c r="AQ63" s="1414"/>
      <c r="AS63" s="1414">
        <f t="shared" si="11"/>
        <v>0</v>
      </c>
    </row>
    <row r="64" spans="1:45" ht="18.75" customHeight="1">
      <c r="A64" s="1354">
        <f>+A63+1</f>
        <v>59</v>
      </c>
      <c r="B64" s="1415" t="s">
        <v>111</v>
      </c>
      <c r="C64" s="1398">
        <f t="shared" si="2"/>
        <v>27977</v>
      </c>
      <c r="D64" s="1399">
        <f t="shared" si="3"/>
        <v>16859</v>
      </c>
      <c r="E64" s="1400">
        <f t="shared" si="4"/>
        <v>11118</v>
      </c>
      <c r="F64" s="1416">
        <f t="shared" si="5"/>
        <v>27974</v>
      </c>
      <c r="G64" s="1400">
        <v>16857</v>
      </c>
      <c r="H64" s="1417">
        <v>11117</v>
      </c>
      <c r="I64" s="1416">
        <f t="shared" si="6"/>
        <v>3</v>
      </c>
      <c r="J64" s="1400">
        <v>2</v>
      </c>
      <c r="K64" s="1417">
        <v>1</v>
      </c>
      <c r="L64" s="1416">
        <f t="shared" si="7"/>
        <v>0</v>
      </c>
      <c r="M64" s="1400">
        <v>0</v>
      </c>
      <c r="N64" s="1417">
        <v>0</v>
      </c>
      <c r="O64" s="1422">
        <v>325</v>
      </c>
      <c r="P64" s="1399">
        <v>94</v>
      </c>
      <c r="Q64" s="1399">
        <v>14365</v>
      </c>
      <c r="R64" s="1399">
        <v>4611</v>
      </c>
      <c r="S64" s="1399">
        <v>5555</v>
      </c>
      <c r="T64" s="1420">
        <v>631</v>
      </c>
      <c r="U64" s="1407">
        <f t="shared" si="8"/>
        <v>19395</v>
      </c>
      <c r="V64" s="1408">
        <f t="shared" si="9"/>
        <v>20339</v>
      </c>
      <c r="W64" s="1409">
        <f t="shared" si="0"/>
        <v>101699.84529046209</v>
      </c>
      <c r="X64" s="1410"/>
      <c r="Y64" s="1411"/>
      <c r="Z64" s="1411">
        <f t="shared" si="1"/>
        <v>53383.845290462094</v>
      </c>
      <c r="AC64" s="1356" t="s">
        <v>725</v>
      </c>
      <c r="AD64" s="1412">
        <v>2.3962801608579087</v>
      </c>
      <c r="AE64" s="1412">
        <v>1.9478868194842407</v>
      </c>
      <c r="AF64" s="1412">
        <v>2.6795252225519288</v>
      </c>
      <c r="AG64" s="1412"/>
      <c r="AH64" s="1412">
        <f t="shared" si="10"/>
        <v>1.3962801608579087</v>
      </c>
      <c r="AI64" s="1412">
        <f t="shared" si="10"/>
        <v>0.94788681948424069</v>
      </c>
      <c r="AJ64" s="1412">
        <f t="shared" si="10"/>
        <v>1.6795252225519288</v>
      </c>
      <c r="AM64" s="1413"/>
      <c r="AN64" s="1411"/>
      <c r="AQ64" s="1414"/>
      <c r="AS64" s="1414">
        <f t="shared" si="11"/>
        <v>0</v>
      </c>
    </row>
    <row r="65" spans="1:45" ht="18.75" customHeight="1">
      <c r="A65" s="1354">
        <f t="shared" ref="A65:A86" si="13">+A64+1</f>
        <v>60</v>
      </c>
      <c r="B65" s="1415" t="s">
        <v>528</v>
      </c>
      <c r="C65" s="1398">
        <f t="shared" si="2"/>
        <v>25179</v>
      </c>
      <c r="D65" s="1399">
        <f t="shared" si="3"/>
        <v>17352</v>
      </c>
      <c r="E65" s="1400">
        <f t="shared" si="4"/>
        <v>7827</v>
      </c>
      <c r="F65" s="1416">
        <f t="shared" si="5"/>
        <v>25178</v>
      </c>
      <c r="G65" s="1400">
        <v>17351</v>
      </c>
      <c r="H65" s="1417">
        <v>7827</v>
      </c>
      <c r="I65" s="1416">
        <f t="shared" si="6"/>
        <v>1</v>
      </c>
      <c r="J65" s="1400">
        <v>1</v>
      </c>
      <c r="K65" s="1417">
        <v>0</v>
      </c>
      <c r="L65" s="1416">
        <f t="shared" si="7"/>
        <v>0</v>
      </c>
      <c r="M65" s="1400">
        <v>0</v>
      </c>
      <c r="N65" s="1417">
        <v>0</v>
      </c>
      <c r="O65" s="1422">
        <v>191</v>
      </c>
      <c r="P65" s="1399">
        <v>123</v>
      </c>
      <c r="Q65" s="1399">
        <v>11103</v>
      </c>
      <c r="R65" s="1399">
        <v>3720</v>
      </c>
      <c r="S65" s="1399">
        <v>4660</v>
      </c>
      <c r="T65" s="1420">
        <v>390</v>
      </c>
      <c r="U65" s="1407">
        <f t="shared" si="8"/>
        <v>15137</v>
      </c>
      <c r="V65" s="1408">
        <f t="shared" si="9"/>
        <v>16077</v>
      </c>
      <c r="W65" s="1409">
        <f t="shared" si="0"/>
        <v>107132.62650384923</v>
      </c>
      <c r="X65" s="1410"/>
      <c r="Y65" s="1411"/>
      <c r="Z65" s="1411">
        <f t="shared" si="1"/>
        <v>65876.626503849227</v>
      </c>
      <c r="AC65" s="1356" t="s">
        <v>862</v>
      </c>
      <c r="AD65" s="1412">
        <v>3.0689906917624099</v>
      </c>
      <c r="AE65" s="1412">
        <v>2.1770932156646401</v>
      </c>
      <c r="AF65" s="1412">
        <v>3.2682926829268291</v>
      </c>
      <c r="AG65" s="1412"/>
      <c r="AH65" s="1412">
        <f t="shared" si="10"/>
        <v>2.0689906917624099</v>
      </c>
      <c r="AI65" s="1412">
        <f t="shared" si="10"/>
        <v>1.1770932156646401</v>
      </c>
      <c r="AJ65" s="1412">
        <f t="shared" si="10"/>
        <v>2.2682926829268291</v>
      </c>
      <c r="AM65" s="1413"/>
      <c r="AN65" s="1411"/>
      <c r="AQ65" s="1414"/>
      <c r="AS65" s="1414">
        <f t="shared" si="11"/>
        <v>0</v>
      </c>
    </row>
    <row r="66" spans="1:45" ht="18.75" customHeight="1">
      <c r="A66" s="1354">
        <f t="shared" si="13"/>
        <v>61</v>
      </c>
      <c r="B66" s="1415" t="s">
        <v>529</v>
      </c>
      <c r="C66" s="1398">
        <f t="shared" si="2"/>
        <v>36310</v>
      </c>
      <c r="D66" s="1399">
        <f t="shared" si="3"/>
        <v>22309</v>
      </c>
      <c r="E66" s="1400">
        <f t="shared" si="4"/>
        <v>14001</v>
      </c>
      <c r="F66" s="1416">
        <f t="shared" si="5"/>
        <v>36297</v>
      </c>
      <c r="G66" s="1400">
        <v>22296</v>
      </c>
      <c r="H66" s="1417">
        <v>14001</v>
      </c>
      <c r="I66" s="1416">
        <f t="shared" si="6"/>
        <v>4</v>
      </c>
      <c r="J66" s="1400">
        <v>4</v>
      </c>
      <c r="K66" s="1417">
        <v>0</v>
      </c>
      <c r="L66" s="1416">
        <f t="shared" si="7"/>
        <v>9</v>
      </c>
      <c r="M66" s="1400">
        <v>9</v>
      </c>
      <c r="N66" s="1417">
        <v>0</v>
      </c>
      <c r="O66" s="1422">
        <v>226</v>
      </c>
      <c r="P66" s="1399">
        <v>121</v>
      </c>
      <c r="Q66" s="1399">
        <v>16336</v>
      </c>
      <c r="R66" s="1399">
        <v>5339</v>
      </c>
      <c r="S66" s="1399">
        <v>6925</v>
      </c>
      <c r="T66" s="1420">
        <v>466</v>
      </c>
      <c r="U66" s="1407">
        <f t="shared" si="8"/>
        <v>22022</v>
      </c>
      <c r="V66" s="1408">
        <f t="shared" si="9"/>
        <v>23608</v>
      </c>
      <c r="W66" s="1409">
        <f t="shared" si="0"/>
        <v>143291.26981720951</v>
      </c>
      <c r="X66" s="1410"/>
      <c r="Y66" s="1411"/>
      <c r="Z66" s="1411">
        <f t="shared" si="1"/>
        <v>83373.269817209512</v>
      </c>
      <c r="AC66" s="1356" t="s">
        <v>598</v>
      </c>
      <c r="AD66" s="1412">
        <v>2.7651062074654567</v>
      </c>
      <c r="AE66" s="1412">
        <v>2.143635805312452</v>
      </c>
      <c r="AF66" s="1412">
        <v>2.7286135693215341</v>
      </c>
      <c r="AG66" s="1412"/>
      <c r="AH66" s="1412">
        <f t="shared" si="10"/>
        <v>1.7651062074654567</v>
      </c>
      <c r="AI66" s="1412">
        <f t="shared" si="10"/>
        <v>1.143635805312452</v>
      </c>
      <c r="AJ66" s="1412">
        <f t="shared" si="10"/>
        <v>1.7286135693215341</v>
      </c>
      <c r="AM66" s="1413"/>
      <c r="AN66" s="1411"/>
      <c r="AQ66" s="1414"/>
      <c r="AS66" s="1414">
        <f t="shared" si="11"/>
        <v>0</v>
      </c>
    </row>
    <row r="67" spans="1:45" ht="18.75" customHeight="1">
      <c r="A67" s="1354">
        <f t="shared" si="13"/>
        <v>62</v>
      </c>
      <c r="B67" s="1415" t="s">
        <v>530</v>
      </c>
      <c r="C67" s="1398">
        <f t="shared" si="2"/>
        <v>10629</v>
      </c>
      <c r="D67" s="1399">
        <f t="shared" si="3"/>
        <v>8715</v>
      </c>
      <c r="E67" s="1400">
        <f t="shared" si="4"/>
        <v>1914</v>
      </c>
      <c r="F67" s="1416">
        <f t="shared" si="5"/>
        <v>10627</v>
      </c>
      <c r="G67" s="1400">
        <v>8713</v>
      </c>
      <c r="H67" s="1417">
        <v>1914</v>
      </c>
      <c r="I67" s="1416">
        <f t="shared" si="6"/>
        <v>2</v>
      </c>
      <c r="J67" s="1400">
        <v>2</v>
      </c>
      <c r="K67" s="1417">
        <v>0</v>
      </c>
      <c r="L67" s="1416">
        <f t="shared" si="7"/>
        <v>0</v>
      </c>
      <c r="M67" s="1400">
        <v>0</v>
      </c>
      <c r="N67" s="1417">
        <v>0</v>
      </c>
      <c r="O67" s="1422">
        <v>35</v>
      </c>
      <c r="P67" s="1399">
        <v>18</v>
      </c>
      <c r="Q67" s="1399">
        <v>1689</v>
      </c>
      <c r="R67" s="1399">
        <v>637</v>
      </c>
      <c r="S67" s="1399">
        <v>834</v>
      </c>
      <c r="T67" s="1420">
        <v>53</v>
      </c>
      <c r="U67" s="1407">
        <f t="shared" si="8"/>
        <v>2379</v>
      </c>
      <c r="V67" s="1408">
        <f t="shared" si="9"/>
        <v>2576</v>
      </c>
      <c r="W67" s="1409">
        <f t="shared" si="0"/>
        <v>33533.411170355641</v>
      </c>
      <c r="X67" s="1410"/>
      <c r="Y67" s="1411"/>
      <c r="Z67" s="1411">
        <f t="shared" si="1"/>
        <v>20328.411170355641</v>
      </c>
      <c r="AC67" s="1356" t="s">
        <v>599</v>
      </c>
      <c r="AD67" s="1412">
        <v>2.6794620341832447</v>
      </c>
      <c r="AE67" s="1412">
        <v>2.4284377923292797</v>
      </c>
      <c r="AF67" s="1412">
        <v>2.2222222222222223</v>
      </c>
      <c r="AG67" s="1412"/>
      <c r="AH67" s="1412">
        <f t="shared" si="10"/>
        <v>1.6794620341832447</v>
      </c>
      <c r="AI67" s="1412">
        <f t="shared" si="10"/>
        <v>1.4284377923292797</v>
      </c>
      <c r="AJ67" s="1412">
        <f t="shared" si="10"/>
        <v>1.2222222222222223</v>
      </c>
      <c r="AM67" s="1413"/>
      <c r="AN67" s="1411"/>
      <c r="AQ67" s="1414"/>
      <c r="AS67" s="1414">
        <f t="shared" si="11"/>
        <v>0</v>
      </c>
    </row>
    <row r="68" spans="1:45" ht="18.75" customHeight="1">
      <c r="A68" s="1354">
        <f t="shared" si="13"/>
        <v>63</v>
      </c>
      <c r="B68" s="1415" t="s">
        <v>510</v>
      </c>
      <c r="C68" s="1398">
        <f t="shared" si="2"/>
        <v>50150</v>
      </c>
      <c r="D68" s="1399">
        <f t="shared" si="3"/>
        <v>33883</v>
      </c>
      <c r="E68" s="1400">
        <f t="shared" si="4"/>
        <v>16267</v>
      </c>
      <c r="F68" s="1416">
        <f t="shared" si="5"/>
        <v>50144</v>
      </c>
      <c r="G68" s="1400">
        <v>33877</v>
      </c>
      <c r="H68" s="1417">
        <v>16267</v>
      </c>
      <c r="I68" s="1416">
        <f t="shared" si="6"/>
        <v>3</v>
      </c>
      <c r="J68" s="1400">
        <v>3</v>
      </c>
      <c r="K68" s="1417">
        <v>0</v>
      </c>
      <c r="L68" s="1416">
        <f t="shared" si="7"/>
        <v>3</v>
      </c>
      <c r="M68" s="1400">
        <v>3</v>
      </c>
      <c r="N68" s="1417">
        <v>0</v>
      </c>
      <c r="O68" s="1422">
        <v>93</v>
      </c>
      <c r="P68" s="1399">
        <v>73</v>
      </c>
      <c r="Q68" s="1399">
        <v>6041</v>
      </c>
      <c r="R68" s="1399">
        <v>2763</v>
      </c>
      <c r="S68" s="1399">
        <v>4353</v>
      </c>
      <c r="T68" s="1420">
        <v>424</v>
      </c>
      <c r="U68" s="1407">
        <f t="shared" si="8"/>
        <v>8970</v>
      </c>
      <c r="V68" s="1408">
        <f t="shared" si="9"/>
        <v>10560</v>
      </c>
      <c r="W68" s="1409">
        <f t="shared" si="0"/>
        <v>180275.45331145541</v>
      </c>
      <c r="X68" s="1410"/>
      <c r="Y68" s="1411"/>
      <c r="Z68" s="1411">
        <f t="shared" si="1"/>
        <v>119565.45331145541</v>
      </c>
      <c r="AC68" s="1356" t="s">
        <v>600</v>
      </c>
      <c r="AD68" s="1412">
        <v>3.0814654360519871</v>
      </c>
      <c r="AE68" s="1412">
        <v>3.4169857765542599</v>
      </c>
      <c r="AF68" s="1412">
        <v>4.4876543209876543</v>
      </c>
      <c r="AG68" s="1412"/>
      <c r="AH68" s="1412">
        <f t="shared" si="10"/>
        <v>2.0814654360519871</v>
      </c>
      <c r="AI68" s="1412">
        <f t="shared" si="10"/>
        <v>2.4169857765542599</v>
      </c>
      <c r="AJ68" s="1412">
        <f t="shared" si="10"/>
        <v>3.4876543209876543</v>
      </c>
      <c r="AM68" s="1413"/>
      <c r="AN68" s="1411"/>
      <c r="AQ68" s="1414"/>
      <c r="AS68" s="1414">
        <f t="shared" si="11"/>
        <v>0</v>
      </c>
    </row>
    <row r="69" spans="1:45" ht="18.75" customHeight="1">
      <c r="A69" s="1354">
        <f t="shared" si="13"/>
        <v>64</v>
      </c>
      <c r="B69" s="1415" t="s">
        <v>511</v>
      </c>
      <c r="C69" s="1398">
        <f t="shared" si="2"/>
        <v>12918</v>
      </c>
      <c r="D69" s="1399">
        <f t="shared" si="3"/>
        <v>7829</v>
      </c>
      <c r="E69" s="1400">
        <f t="shared" si="4"/>
        <v>5089</v>
      </c>
      <c r="F69" s="1416">
        <f t="shared" si="5"/>
        <v>12893</v>
      </c>
      <c r="G69" s="1400">
        <v>7805</v>
      </c>
      <c r="H69" s="1417">
        <v>5088</v>
      </c>
      <c r="I69" s="1416">
        <f t="shared" si="6"/>
        <v>2</v>
      </c>
      <c r="J69" s="1400">
        <v>1</v>
      </c>
      <c r="K69" s="1417">
        <v>1</v>
      </c>
      <c r="L69" s="1416">
        <f t="shared" si="7"/>
        <v>23</v>
      </c>
      <c r="M69" s="1400">
        <v>23</v>
      </c>
      <c r="N69" s="1417">
        <v>0</v>
      </c>
      <c r="O69" s="1422">
        <v>116</v>
      </c>
      <c r="P69" s="1399">
        <v>72</v>
      </c>
      <c r="Q69" s="1399">
        <v>7033</v>
      </c>
      <c r="R69" s="1399">
        <v>1908</v>
      </c>
      <c r="S69" s="1399">
        <v>2301</v>
      </c>
      <c r="T69" s="1420">
        <v>174</v>
      </c>
      <c r="U69" s="1407">
        <f t="shared" si="8"/>
        <v>9129</v>
      </c>
      <c r="V69" s="1408">
        <f t="shared" si="9"/>
        <v>9522</v>
      </c>
      <c r="W69" s="1409">
        <f t="shared" si="0"/>
        <v>45971.583151459425</v>
      </c>
      <c r="X69" s="1410"/>
      <c r="Y69" s="1411"/>
      <c r="Z69" s="1411">
        <f t="shared" si="1"/>
        <v>23531.583151459425</v>
      </c>
      <c r="AC69" s="1356" t="s">
        <v>373</v>
      </c>
      <c r="AD69" s="1412">
        <v>2.2816860465116302</v>
      </c>
      <c r="AE69" s="1412">
        <v>1.9484225451967387</v>
      </c>
      <c r="AF69" s="1412">
        <v>2.619718309859155</v>
      </c>
      <c r="AG69" s="1412"/>
      <c r="AH69" s="1412">
        <f t="shared" si="10"/>
        <v>1.2816860465116302</v>
      </c>
      <c r="AI69" s="1412">
        <f t="shared" si="10"/>
        <v>0.94842254519673874</v>
      </c>
      <c r="AJ69" s="1412">
        <f t="shared" si="10"/>
        <v>1.619718309859155</v>
      </c>
      <c r="AM69" s="1413"/>
      <c r="AN69" s="1411"/>
      <c r="AQ69" s="1414"/>
      <c r="AS69" s="1414">
        <f t="shared" si="11"/>
        <v>0</v>
      </c>
    </row>
    <row r="70" spans="1:45" ht="18.75" customHeight="1">
      <c r="A70" s="1354">
        <f t="shared" si="13"/>
        <v>65</v>
      </c>
      <c r="B70" s="1415" t="s">
        <v>512</v>
      </c>
      <c r="C70" s="1398">
        <f t="shared" si="2"/>
        <v>37864</v>
      </c>
      <c r="D70" s="1399">
        <f t="shared" si="3"/>
        <v>26638</v>
      </c>
      <c r="E70" s="1400">
        <f t="shared" si="4"/>
        <v>11226</v>
      </c>
      <c r="F70" s="1416">
        <f t="shared" si="5"/>
        <v>37860</v>
      </c>
      <c r="G70" s="1400">
        <v>26634</v>
      </c>
      <c r="H70" s="1417">
        <v>11226</v>
      </c>
      <c r="I70" s="1416">
        <f t="shared" si="6"/>
        <v>4</v>
      </c>
      <c r="J70" s="1400">
        <v>4</v>
      </c>
      <c r="K70" s="1417">
        <v>0</v>
      </c>
      <c r="L70" s="1416">
        <f t="shared" si="7"/>
        <v>0</v>
      </c>
      <c r="M70" s="1400">
        <v>0</v>
      </c>
      <c r="N70" s="1417">
        <v>0</v>
      </c>
      <c r="O70" s="1422">
        <v>60</v>
      </c>
      <c r="P70" s="1399">
        <v>105</v>
      </c>
      <c r="Q70" s="1399">
        <v>7358</v>
      </c>
      <c r="R70" s="1399">
        <v>2586</v>
      </c>
      <c r="S70" s="1399">
        <v>4068</v>
      </c>
      <c r="T70" s="1420">
        <v>291</v>
      </c>
      <c r="U70" s="1407">
        <f t="shared" si="8"/>
        <v>10109</v>
      </c>
      <c r="V70" s="1408">
        <f t="shared" si="9"/>
        <v>11591</v>
      </c>
      <c r="W70" s="1409">
        <f t="shared" ref="W70:W87" si="14">(C70*AD70)+(O70*AF70)+(P70*AF70)+(Q70*AE70)+S70</f>
        <v>142685.23148652716</v>
      </c>
      <c r="X70" s="1410"/>
      <c r="Y70" s="1411"/>
      <c r="Z70" s="1411">
        <f t="shared" ref="Z70:Z87" si="15">+W70-C70-O70-P70-Q70-S70</f>
        <v>93230.231486527162</v>
      </c>
      <c r="AC70" s="1356" t="s">
        <v>374</v>
      </c>
      <c r="AD70" s="1412">
        <v>3.0479935022602902</v>
      </c>
      <c r="AE70" s="1412">
        <v>3.0587714910909698</v>
      </c>
      <c r="AF70" s="1412">
        <v>4.2519083969465647</v>
      </c>
      <c r="AG70" s="1412"/>
      <c r="AH70" s="1412">
        <f t="shared" si="10"/>
        <v>2.0479935022602902</v>
      </c>
      <c r="AI70" s="1412">
        <f t="shared" si="10"/>
        <v>2.0587714910909698</v>
      </c>
      <c r="AJ70" s="1412">
        <f t="shared" si="10"/>
        <v>3.2519083969465647</v>
      </c>
      <c r="AM70" s="1413"/>
      <c r="AN70" s="1411"/>
      <c r="AQ70" s="1414"/>
      <c r="AS70" s="1414">
        <f t="shared" si="11"/>
        <v>0</v>
      </c>
    </row>
    <row r="71" spans="1:45" ht="18.75" customHeight="1">
      <c r="A71" s="1354">
        <f t="shared" si="13"/>
        <v>66</v>
      </c>
      <c r="B71" s="1415" t="s">
        <v>427</v>
      </c>
      <c r="C71" s="1398">
        <f t="shared" ref="C71:C86" si="16">+D71+E71</f>
        <v>17092</v>
      </c>
      <c r="D71" s="1399">
        <f t="shared" ref="D71:D87" si="17">+G71+J71+M71</f>
        <v>11843</v>
      </c>
      <c r="E71" s="1400">
        <f t="shared" ref="E71:E87" si="18">+H71+K71+N71</f>
        <v>5249</v>
      </c>
      <c r="F71" s="1416">
        <f t="shared" ref="F71:F88" si="19">+G71+H71</f>
        <v>17091</v>
      </c>
      <c r="G71" s="1400">
        <v>11842</v>
      </c>
      <c r="H71" s="1417">
        <v>5249</v>
      </c>
      <c r="I71" s="1416">
        <f t="shared" ref="I71:I86" si="20">+J71+K71</f>
        <v>1</v>
      </c>
      <c r="J71" s="1400">
        <v>1</v>
      </c>
      <c r="K71" s="1417">
        <v>0</v>
      </c>
      <c r="L71" s="1416">
        <f t="shared" ref="L71:L86" si="21">+M71+N71</f>
        <v>0</v>
      </c>
      <c r="M71" s="1400">
        <v>0</v>
      </c>
      <c r="N71" s="1417">
        <v>0</v>
      </c>
      <c r="O71" s="1422">
        <v>115</v>
      </c>
      <c r="P71" s="1399">
        <v>73</v>
      </c>
      <c r="Q71" s="1399">
        <v>5946</v>
      </c>
      <c r="R71" s="1399">
        <v>2449</v>
      </c>
      <c r="S71" s="1399">
        <v>3122</v>
      </c>
      <c r="T71" s="1420">
        <v>239</v>
      </c>
      <c r="U71" s="1407">
        <f t="shared" ref="U71:U87" si="22">+O71+P71+Q71+R71</f>
        <v>8583</v>
      </c>
      <c r="V71" s="1408">
        <f t="shared" ref="V71:V87" si="23">+O71+P71+Q71+S71</f>
        <v>9256</v>
      </c>
      <c r="W71" s="1409">
        <f t="shared" si="14"/>
        <v>69948.210071045032</v>
      </c>
      <c r="X71" s="1410"/>
      <c r="Y71" s="1411"/>
      <c r="Z71" s="1411">
        <f t="shared" si="15"/>
        <v>43600.210071045032</v>
      </c>
      <c r="AC71" s="1356" t="s">
        <v>375</v>
      </c>
      <c r="AD71" s="1412">
        <v>3.0309992145698499</v>
      </c>
      <c r="AE71" s="1412">
        <v>2.4196024404644754</v>
      </c>
      <c r="AF71" s="1412">
        <v>3.3692307692307693</v>
      </c>
      <c r="AG71" s="1412"/>
      <c r="AH71" s="1412">
        <f t="shared" ref="AH71:AJ86" si="24">AD71-1</f>
        <v>2.0309992145698499</v>
      </c>
      <c r="AI71" s="1412">
        <f t="shared" si="24"/>
        <v>1.4196024404644754</v>
      </c>
      <c r="AJ71" s="1412">
        <f t="shared" si="24"/>
        <v>2.3692307692307693</v>
      </c>
      <c r="AM71" s="1413"/>
      <c r="AN71" s="1411"/>
      <c r="AQ71" s="1414"/>
      <c r="AS71" s="1414">
        <f t="shared" ref="AS71:AS87" si="25">+AQ71-AO71</f>
        <v>0</v>
      </c>
    </row>
    <row r="72" spans="1:45" ht="18.75" customHeight="1">
      <c r="A72" s="1355">
        <f t="shared" si="13"/>
        <v>67</v>
      </c>
      <c r="B72" s="1415" t="s">
        <v>428</v>
      </c>
      <c r="C72" s="1398">
        <f t="shared" si="16"/>
        <v>22416</v>
      </c>
      <c r="D72" s="1399">
        <f t="shared" si="17"/>
        <v>13579</v>
      </c>
      <c r="E72" s="1400">
        <f t="shared" si="18"/>
        <v>8837</v>
      </c>
      <c r="F72" s="1416">
        <f t="shared" si="19"/>
        <v>22414</v>
      </c>
      <c r="G72" s="1400">
        <v>13578</v>
      </c>
      <c r="H72" s="1417">
        <v>8836</v>
      </c>
      <c r="I72" s="1416">
        <f t="shared" si="20"/>
        <v>2</v>
      </c>
      <c r="J72" s="1400">
        <v>1</v>
      </c>
      <c r="K72" s="1417">
        <v>1</v>
      </c>
      <c r="L72" s="1416">
        <f t="shared" si="21"/>
        <v>0</v>
      </c>
      <c r="M72" s="1400">
        <v>0</v>
      </c>
      <c r="N72" s="1417">
        <v>0</v>
      </c>
      <c r="O72" s="1422">
        <v>133</v>
      </c>
      <c r="P72" s="1399">
        <v>98</v>
      </c>
      <c r="Q72" s="1399">
        <v>7947</v>
      </c>
      <c r="R72" s="1399">
        <v>3001</v>
      </c>
      <c r="S72" s="1399">
        <v>3787</v>
      </c>
      <c r="T72" s="1420">
        <v>556</v>
      </c>
      <c r="U72" s="1407">
        <f t="shared" si="22"/>
        <v>11179</v>
      </c>
      <c r="V72" s="1408">
        <f t="shared" si="23"/>
        <v>11965</v>
      </c>
      <c r="W72" s="1409">
        <f t="shared" si="14"/>
        <v>65569.946921180235</v>
      </c>
      <c r="X72" s="1410"/>
      <c r="Y72" s="1411"/>
      <c r="Z72" s="1411">
        <f t="shared" si="15"/>
        <v>31188.946921180235</v>
      </c>
      <c r="AC72" s="1356" t="s">
        <v>815</v>
      </c>
      <c r="AD72" s="1412">
        <v>2.0702854790008201</v>
      </c>
      <c r="AE72" s="1412">
        <v>1.87345025510204</v>
      </c>
      <c r="AF72" s="1412">
        <v>2.1087378640776699</v>
      </c>
      <c r="AG72" s="1412"/>
      <c r="AH72" s="1412">
        <f t="shared" si="24"/>
        <v>1.0702854790008201</v>
      </c>
      <c r="AI72" s="1412">
        <f t="shared" si="24"/>
        <v>0.87345025510204</v>
      </c>
      <c r="AJ72" s="1412">
        <f t="shared" si="24"/>
        <v>1.1087378640776699</v>
      </c>
      <c r="AM72" s="1413"/>
      <c r="AN72" s="1411"/>
      <c r="AQ72" s="1414"/>
      <c r="AS72" s="1414">
        <f t="shared" si="25"/>
        <v>0</v>
      </c>
    </row>
    <row r="73" spans="1:45" ht="18.75" customHeight="1">
      <c r="A73" s="1355">
        <f t="shared" si="13"/>
        <v>68</v>
      </c>
      <c r="B73" s="1415" t="s">
        <v>429</v>
      </c>
      <c r="C73" s="1398">
        <f t="shared" si="16"/>
        <v>13172</v>
      </c>
      <c r="D73" s="1399">
        <f t="shared" si="17"/>
        <v>8288</v>
      </c>
      <c r="E73" s="1400">
        <f t="shared" si="18"/>
        <v>4884</v>
      </c>
      <c r="F73" s="1416">
        <f t="shared" si="19"/>
        <v>13164</v>
      </c>
      <c r="G73" s="1400">
        <v>8280</v>
      </c>
      <c r="H73" s="1417">
        <v>4884</v>
      </c>
      <c r="I73" s="1416">
        <f t="shared" si="20"/>
        <v>0</v>
      </c>
      <c r="J73" s="1400">
        <v>0</v>
      </c>
      <c r="K73" s="1417">
        <v>0</v>
      </c>
      <c r="L73" s="1416">
        <f t="shared" si="21"/>
        <v>8</v>
      </c>
      <c r="M73" s="1400">
        <v>8</v>
      </c>
      <c r="N73" s="1417">
        <v>0</v>
      </c>
      <c r="O73" s="1422">
        <v>86</v>
      </c>
      <c r="P73" s="1399">
        <v>62</v>
      </c>
      <c r="Q73" s="1399">
        <v>3520</v>
      </c>
      <c r="R73" s="1399">
        <v>1336</v>
      </c>
      <c r="S73" s="1399">
        <v>1789</v>
      </c>
      <c r="T73" s="1420">
        <v>158</v>
      </c>
      <c r="U73" s="1407">
        <f t="shared" si="22"/>
        <v>5004</v>
      </c>
      <c r="V73" s="1408">
        <f t="shared" si="23"/>
        <v>5457</v>
      </c>
      <c r="W73" s="1409">
        <f t="shared" si="14"/>
        <v>47591.117846531502</v>
      </c>
      <c r="X73" s="1410"/>
      <c r="Y73" s="1411"/>
      <c r="Z73" s="1411">
        <f t="shared" si="15"/>
        <v>28962.117846531502</v>
      </c>
      <c r="AC73" s="1356" t="s">
        <v>816</v>
      </c>
      <c r="AD73" s="1412">
        <v>2.83389999936999</v>
      </c>
      <c r="AE73" s="1412">
        <v>2.2610321615557218</v>
      </c>
      <c r="AF73" s="1412">
        <v>3.4807692307692308</v>
      </c>
      <c r="AG73" s="1412"/>
      <c r="AH73" s="1412">
        <f t="shared" si="24"/>
        <v>1.83389999936999</v>
      </c>
      <c r="AI73" s="1412">
        <f t="shared" si="24"/>
        <v>1.2610321615557218</v>
      </c>
      <c r="AJ73" s="1412">
        <f t="shared" si="24"/>
        <v>2.4807692307692308</v>
      </c>
      <c r="AM73" s="1413"/>
      <c r="AN73" s="1411"/>
      <c r="AQ73" s="1414"/>
      <c r="AS73" s="1414">
        <f t="shared" si="25"/>
        <v>0</v>
      </c>
    </row>
    <row r="74" spans="1:45" ht="18.75" customHeight="1">
      <c r="A74" s="1355">
        <f t="shared" si="13"/>
        <v>69</v>
      </c>
      <c r="B74" s="1415" t="s">
        <v>705</v>
      </c>
      <c r="C74" s="1398">
        <f t="shared" si="16"/>
        <v>4363</v>
      </c>
      <c r="D74" s="1399">
        <f t="shared" si="17"/>
        <v>3131</v>
      </c>
      <c r="E74" s="1400">
        <f t="shared" si="18"/>
        <v>1232</v>
      </c>
      <c r="F74" s="1416">
        <f t="shared" si="19"/>
        <v>4363</v>
      </c>
      <c r="G74" s="1400">
        <v>3131</v>
      </c>
      <c r="H74" s="1417">
        <v>1232</v>
      </c>
      <c r="I74" s="1416">
        <f t="shared" si="20"/>
        <v>0</v>
      </c>
      <c r="J74" s="1400">
        <v>0</v>
      </c>
      <c r="K74" s="1417">
        <v>0</v>
      </c>
      <c r="L74" s="1416">
        <f t="shared" si="21"/>
        <v>0</v>
      </c>
      <c r="M74" s="1400">
        <v>0</v>
      </c>
      <c r="N74" s="1417">
        <v>0</v>
      </c>
      <c r="O74" s="1422">
        <v>13</v>
      </c>
      <c r="P74" s="1399">
        <v>13</v>
      </c>
      <c r="Q74" s="1399">
        <v>561</v>
      </c>
      <c r="R74" s="1399">
        <v>275</v>
      </c>
      <c r="S74" s="1399">
        <v>387</v>
      </c>
      <c r="T74" s="1420">
        <v>49</v>
      </c>
      <c r="U74" s="1407">
        <f t="shared" si="22"/>
        <v>862</v>
      </c>
      <c r="V74" s="1408">
        <f t="shared" si="23"/>
        <v>974</v>
      </c>
      <c r="W74" s="1409">
        <f t="shared" si="14"/>
        <v>15655.270614602558</v>
      </c>
      <c r="X74" s="1410"/>
      <c r="Y74" s="1411"/>
      <c r="Z74" s="1411">
        <f t="shared" si="15"/>
        <v>10318.270614602558</v>
      </c>
      <c r="AC74" s="1356" t="s">
        <v>85</v>
      </c>
      <c r="AD74" s="1412">
        <v>3.1387874360847334</v>
      </c>
      <c r="AE74" s="1412">
        <v>2.6826503340757202</v>
      </c>
      <c r="AF74" s="1412">
        <v>2.6451612903225805</v>
      </c>
      <c r="AG74" s="1412"/>
      <c r="AH74" s="1412">
        <f t="shared" si="24"/>
        <v>2.1387874360847334</v>
      </c>
      <c r="AI74" s="1412">
        <f t="shared" si="24"/>
        <v>1.6826503340757202</v>
      </c>
      <c r="AJ74" s="1412">
        <f t="shared" si="24"/>
        <v>1.6451612903225805</v>
      </c>
      <c r="AM74" s="1413"/>
      <c r="AN74" s="1411"/>
      <c r="AQ74" s="1414"/>
      <c r="AS74" s="1414">
        <f t="shared" si="25"/>
        <v>0</v>
      </c>
    </row>
    <row r="75" spans="1:45" ht="18.75" customHeight="1">
      <c r="A75" s="1355">
        <f t="shared" si="13"/>
        <v>70</v>
      </c>
      <c r="B75" s="1415" t="s">
        <v>706</v>
      </c>
      <c r="C75" s="1398">
        <f t="shared" si="16"/>
        <v>9534</v>
      </c>
      <c r="D75" s="1399">
        <f t="shared" si="17"/>
        <v>6217</v>
      </c>
      <c r="E75" s="1400">
        <f t="shared" si="18"/>
        <v>3317</v>
      </c>
      <c r="F75" s="1416">
        <f t="shared" si="19"/>
        <v>9533</v>
      </c>
      <c r="G75" s="1400">
        <v>6216</v>
      </c>
      <c r="H75" s="1417">
        <v>3317</v>
      </c>
      <c r="I75" s="1416">
        <f t="shared" si="20"/>
        <v>1</v>
      </c>
      <c r="J75" s="1400">
        <v>1</v>
      </c>
      <c r="K75" s="1417">
        <v>0</v>
      </c>
      <c r="L75" s="1416">
        <f t="shared" si="21"/>
        <v>0</v>
      </c>
      <c r="M75" s="1400">
        <v>0</v>
      </c>
      <c r="N75" s="1417">
        <v>0</v>
      </c>
      <c r="O75" s="1422">
        <v>68</v>
      </c>
      <c r="P75" s="1399">
        <v>35</v>
      </c>
      <c r="Q75" s="1399">
        <v>3015</v>
      </c>
      <c r="R75" s="1399">
        <v>1089</v>
      </c>
      <c r="S75" s="1399">
        <v>1424</v>
      </c>
      <c r="T75" s="1420">
        <v>121</v>
      </c>
      <c r="U75" s="1407">
        <f t="shared" si="22"/>
        <v>4207</v>
      </c>
      <c r="V75" s="1408">
        <f t="shared" si="23"/>
        <v>4542</v>
      </c>
      <c r="W75" s="1409">
        <f t="shared" si="14"/>
        <v>36990.436860321417</v>
      </c>
      <c r="X75" s="1410"/>
      <c r="Y75" s="1411"/>
      <c r="Z75" s="1411">
        <f t="shared" si="15"/>
        <v>22914.436860321417</v>
      </c>
      <c r="AC75" s="1356" t="s">
        <v>432</v>
      </c>
      <c r="AD75" s="1412">
        <v>2.9607227688513</v>
      </c>
      <c r="AE75" s="1412">
        <v>2.3220475614671505</v>
      </c>
      <c r="AF75" s="1412">
        <v>3.2808988764044944</v>
      </c>
      <c r="AG75" s="1412"/>
      <c r="AH75" s="1412">
        <f t="shared" si="24"/>
        <v>1.9607227688513</v>
      </c>
      <c r="AI75" s="1412">
        <f t="shared" si="24"/>
        <v>1.3220475614671505</v>
      </c>
      <c r="AJ75" s="1412">
        <f t="shared" si="24"/>
        <v>2.2808988764044944</v>
      </c>
      <c r="AM75" s="1413"/>
      <c r="AN75" s="1411"/>
      <c r="AQ75" s="1414"/>
      <c r="AS75" s="1414">
        <f t="shared" si="25"/>
        <v>0</v>
      </c>
    </row>
    <row r="76" spans="1:45" ht="18.75" customHeight="1">
      <c r="A76" s="1355">
        <f t="shared" si="13"/>
        <v>71</v>
      </c>
      <c r="B76" s="1415" t="s">
        <v>707</v>
      </c>
      <c r="C76" s="1398">
        <f t="shared" si="16"/>
        <v>16404</v>
      </c>
      <c r="D76" s="1399">
        <f t="shared" si="17"/>
        <v>11675</v>
      </c>
      <c r="E76" s="1400">
        <f t="shared" si="18"/>
        <v>4729</v>
      </c>
      <c r="F76" s="1416">
        <f t="shared" si="19"/>
        <v>16404</v>
      </c>
      <c r="G76" s="1400">
        <v>11675</v>
      </c>
      <c r="H76" s="1417">
        <v>4729</v>
      </c>
      <c r="I76" s="1416">
        <f t="shared" si="20"/>
        <v>0</v>
      </c>
      <c r="J76" s="1400">
        <v>0</v>
      </c>
      <c r="K76" s="1417">
        <v>0</v>
      </c>
      <c r="L76" s="1416">
        <f t="shared" si="21"/>
        <v>0</v>
      </c>
      <c r="M76" s="1400">
        <v>0</v>
      </c>
      <c r="N76" s="1417">
        <v>0</v>
      </c>
      <c r="O76" s="1422">
        <v>178</v>
      </c>
      <c r="P76" s="1399">
        <v>77</v>
      </c>
      <c r="Q76" s="1399">
        <v>6092</v>
      </c>
      <c r="R76" s="1399">
        <v>2274</v>
      </c>
      <c r="S76" s="1399">
        <v>2961</v>
      </c>
      <c r="T76" s="1420">
        <v>185</v>
      </c>
      <c r="U76" s="1407">
        <f t="shared" si="22"/>
        <v>8621</v>
      </c>
      <c r="V76" s="1408">
        <f t="shared" si="23"/>
        <v>9308</v>
      </c>
      <c r="W76" s="1409">
        <f t="shared" si="14"/>
        <v>68248.091817619061</v>
      </c>
      <c r="X76" s="1410"/>
      <c r="Y76" s="1411"/>
      <c r="Z76" s="1411">
        <f t="shared" si="15"/>
        <v>42536.091817619061</v>
      </c>
      <c r="AC76" s="1356" t="s">
        <v>433</v>
      </c>
      <c r="AD76" s="1412">
        <v>3.0371257999969101</v>
      </c>
      <c r="AE76" s="1412">
        <v>2.4047620409060899</v>
      </c>
      <c r="AF76" s="1412">
        <v>3.2010582010582009</v>
      </c>
      <c r="AG76" s="1412"/>
      <c r="AH76" s="1412">
        <f t="shared" si="24"/>
        <v>2.0371257999969101</v>
      </c>
      <c r="AI76" s="1412">
        <f t="shared" si="24"/>
        <v>1.4047620409060899</v>
      </c>
      <c r="AJ76" s="1412">
        <f t="shared" si="24"/>
        <v>2.2010582010582009</v>
      </c>
      <c r="AM76" s="1413"/>
      <c r="AN76" s="1411"/>
      <c r="AQ76" s="1414"/>
      <c r="AS76" s="1414">
        <f t="shared" si="25"/>
        <v>0</v>
      </c>
    </row>
    <row r="77" spans="1:45" ht="18.75" customHeight="1">
      <c r="A77" s="1355">
        <f t="shared" si="13"/>
        <v>72</v>
      </c>
      <c r="B77" s="1415" t="s">
        <v>708</v>
      </c>
      <c r="C77" s="1398">
        <f t="shared" si="16"/>
        <v>20548</v>
      </c>
      <c r="D77" s="1399">
        <f t="shared" si="17"/>
        <v>14923</v>
      </c>
      <c r="E77" s="1400">
        <f t="shared" si="18"/>
        <v>5625</v>
      </c>
      <c r="F77" s="1416">
        <f t="shared" si="19"/>
        <v>20538</v>
      </c>
      <c r="G77" s="1400">
        <v>14913</v>
      </c>
      <c r="H77" s="1417">
        <v>5625</v>
      </c>
      <c r="I77" s="1416">
        <f t="shared" si="20"/>
        <v>1</v>
      </c>
      <c r="J77" s="1400">
        <v>1</v>
      </c>
      <c r="K77" s="1417">
        <v>0</v>
      </c>
      <c r="L77" s="1416">
        <f t="shared" si="21"/>
        <v>9</v>
      </c>
      <c r="M77" s="1400">
        <v>9</v>
      </c>
      <c r="N77" s="1417">
        <v>0</v>
      </c>
      <c r="O77" s="1422">
        <v>46</v>
      </c>
      <c r="P77" s="1399">
        <v>82</v>
      </c>
      <c r="Q77" s="1399">
        <v>2872</v>
      </c>
      <c r="R77" s="1399">
        <v>1324</v>
      </c>
      <c r="S77" s="1399">
        <v>2290</v>
      </c>
      <c r="T77" s="1420">
        <v>143</v>
      </c>
      <c r="U77" s="1407">
        <f t="shared" si="22"/>
        <v>4324</v>
      </c>
      <c r="V77" s="1408">
        <f t="shared" si="23"/>
        <v>5290</v>
      </c>
      <c r="W77" s="1409">
        <f t="shared" si="14"/>
        <v>81124.11894220559</v>
      </c>
      <c r="X77" s="1410"/>
      <c r="Y77" s="1411"/>
      <c r="Z77" s="1411">
        <f t="shared" si="15"/>
        <v>55286.11894220559</v>
      </c>
      <c r="AC77" s="1356" t="s">
        <v>434</v>
      </c>
      <c r="AD77" s="1412">
        <v>3.2377534745955798</v>
      </c>
      <c r="AE77" s="1412">
        <v>4.0487044534413004</v>
      </c>
      <c r="AF77" s="1412">
        <v>5.2881355932203391</v>
      </c>
      <c r="AG77" s="1412"/>
      <c r="AH77" s="1412">
        <f t="shared" si="24"/>
        <v>2.2377534745955798</v>
      </c>
      <c r="AI77" s="1412">
        <f t="shared" si="24"/>
        <v>3.0487044534413004</v>
      </c>
      <c r="AJ77" s="1412">
        <f t="shared" si="24"/>
        <v>4.2881355932203391</v>
      </c>
      <c r="AM77" s="1413"/>
      <c r="AN77" s="1411"/>
      <c r="AQ77" s="1414"/>
      <c r="AS77" s="1414">
        <f t="shared" si="25"/>
        <v>0</v>
      </c>
    </row>
    <row r="78" spans="1:45" ht="18.75" customHeight="1">
      <c r="A78" s="1355">
        <f t="shared" si="13"/>
        <v>73</v>
      </c>
      <c r="B78" s="1415" t="s">
        <v>709</v>
      </c>
      <c r="C78" s="1398">
        <f t="shared" si="16"/>
        <v>26694</v>
      </c>
      <c r="D78" s="1399">
        <f t="shared" si="17"/>
        <v>22750</v>
      </c>
      <c r="E78" s="1400">
        <f t="shared" si="18"/>
        <v>3944</v>
      </c>
      <c r="F78" s="1416">
        <f t="shared" si="19"/>
        <v>26689</v>
      </c>
      <c r="G78" s="1400">
        <v>22745</v>
      </c>
      <c r="H78" s="1417">
        <v>3944</v>
      </c>
      <c r="I78" s="1416">
        <f t="shared" si="20"/>
        <v>5</v>
      </c>
      <c r="J78" s="1400">
        <v>5</v>
      </c>
      <c r="K78" s="1417">
        <v>0</v>
      </c>
      <c r="L78" s="1416">
        <f t="shared" si="21"/>
        <v>0</v>
      </c>
      <c r="M78" s="1400">
        <v>0</v>
      </c>
      <c r="N78" s="1417">
        <v>0</v>
      </c>
      <c r="O78" s="1422">
        <v>10</v>
      </c>
      <c r="P78" s="1399">
        <v>236</v>
      </c>
      <c r="Q78" s="1399">
        <v>2669</v>
      </c>
      <c r="R78" s="1399">
        <v>1407</v>
      </c>
      <c r="S78" s="1399">
        <v>2487</v>
      </c>
      <c r="T78" s="1420">
        <v>149</v>
      </c>
      <c r="U78" s="1407">
        <f t="shared" si="22"/>
        <v>4322</v>
      </c>
      <c r="V78" s="1408">
        <f t="shared" si="23"/>
        <v>5402</v>
      </c>
      <c r="W78" s="1409">
        <f t="shared" si="14"/>
        <v>93972.454356266186</v>
      </c>
      <c r="X78" s="1410"/>
      <c r="Y78" s="1411"/>
      <c r="Z78" s="1411">
        <f t="shared" si="15"/>
        <v>61876.454356266186</v>
      </c>
      <c r="AC78" s="1356" t="s">
        <v>435</v>
      </c>
      <c r="AD78" s="1412">
        <v>2.8830019385425398</v>
      </c>
      <c r="AE78" s="1412">
        <v>4.8387972508591099</v>
      </c>
      <c r="AF78" s="1412">
        <v>6.5522388059701493</v>
      </c>
      <c r="AG78" s="1412"/>
      <c r="AH78" s="1412">
        <f t="shared" si="24"/>
        <v>1.8830019385425398</v>
      </c>
      <c r="AI78" s="1412">
        <f t="shared" si="24"/>
        <v>3.8387972508591099</v>
      </c>
      <c r="AJ78" s="1412">
        <f t="shared" si="24"/>
        <v>5.5522388059701493</v>
      </c>
      <c r="AM78" s="1413"/>
      <c r="AN78" s="1411"/>
      <c r="AQ78" s="1414"/>
      <c r="AS78" s="1414">
        <f t="shared" si="25"/>
        <v>0</v>
      </c>
    </row>
    <row r="79" spans="1:45" ht="18.75" customHeight="1">
      <c r="A79" s="1355">
        <f t="shared" si="13"/>
        <v>74</v>
      </c>
      <c r="B79" s="1415" t="s">
        <v>710</v>
      </c>
      <c r="C79" s="1398">
        <f t="shared" si="16"/>
        <v>8100</v>
      </c>
      <c r="D79" s="1399">
        <f t="shared" si="17"/>
        <v>5285</v>
      </c>
      <c r="E79" s="1400">
        <f t="shared" si="18"/>
        <v>2815</v>
      </c>
      <c r="F79" s="1416">
        <f t="shared" si="19"/>
        <v>8100</v>
      </c>
      <c r="G79" s="1400">
        <v>5285</v>
      </c>
      <c r="H79" s="1417">
        <v>2815</v>
      </c>
      <c r="I79" s="1416">
        <f t="shared" si="20"/>
        <v>0</v>
      </c>
      <c r="J79" s="1400">
        <v>0</v>
      </c>
      <c r="K79" s="1417">
        <v>0</v>
      </c>
      <c r="L79" s="1416">
        <f t="shared" si="21"/>
        <v>0</v>
      </c>
      <c r="M79" s="1400">
        <v>0</v>
      </c>
      <c r="N79" s="1417">
        <v>0</v>
      </c>
      <c r="O79" s="1422">
        <v>32</v>
      </c>
      <c r="P79" s="1399">
        <v>33</v>
      </c>
      <c r="Q79" s="1399">
        <v>2609</v>
      </c>
      <c r="R79" s="1399">
        <v>883</v>
      </c>
      <c r="S79" s="1399">
        <v>1114</v>
      </c>
      <c r="T79" s="1420">
        <v>155</v>
      </c>
      <c r="U79" s="1407">
        <f t="shared" si="22"/>
        <v>3557</v>
      </c>
      <c r="V79" s="1408">
        <f t="shared" si="23"/>
        <v>3788</v>
      </c>
      <c r="W79" s="1409">
        <f t="shared" si="14"/>
        <v>27318.415558519402</v>
      </c>
      <c r="X79" s="1410"/>
      <c r="Y79" s="1411"/>
      <c r="Z79" s="1411">
        <f t="shared" si="15"/>
        <v>15430.415558519402</v>
      </c>
      <c r="AC79" s="1356" t="s">
        <v>257</v>
      </c>
      <c r="AD79" s="1412">
        <v>2.5648594377510041</v>
      </c>
      <c r="AE79" s="1412">
        <v>2.0129096325719962</v>
      </c>
      <c r="AF79" s="1412">
        <v>2.7288135593220337</v>
      </c>
      <c r="AG79" s="1412"/>
      <c r="AH79" s="1412">
        <f t="shared" si="24"/>
        <v>1.5648594377510041</v>
      </c>
      <c r="AI79" s="1412">
        <f t="shared" si="24"/>
        <v>1.0129096325719962</v>
      </c>
      <c r="AJ79" s="1412">
        <f t="shared" si="24"/>
        <v>1.7288135593220337</v>
      </c>
      <c r="AM79" s="1413"/>
      <c r="AN79" s="1411"/>
      <c r="AQ79" s="1414"/>
      <c r="AS79" s="1414">
        <f t="shared" si="25"/>
        <v>0</v>
      </c>
    </row>
    <row r="80" spans="1:45" ht="18.75" customHeight="1">
      <c r="A80" s="1355">
        <f t="shared" si="13"/>
        <v>75</v>
      </c>
      <c r="B80" s="1423" t="s">
        <v>711</v>
      </c>
      <c r="C80" s="1398">
        <f t="shared" si="16"/>
        <v>5054</v>
      </c>
      <c r="D80" s="1399">
        <f t="shared" si="17"/>
        <v>3504</v>
      </c>
      <c r="E80" s="1400">
        <f t="shared" si="18"/>
        <v>1550</v>
      </c>
      <c r="F80" s="1416">
        <f t="shared" si="19"/>
        <v>5053</v>
      </c>
      <c r="G80" s="1400">
        <v>3503</v>
      </c>
      <c r="H80" s="1417">
        <v>1550</v>
      </c>
      <c r="I80" s="1416">
        <f t="shared" si="20"/>
        <v>1</v>
      </c>
      <c r="J80" s="1400">
        <v>1</v>
      </c>
      <c r="K80" s="1417">
        <v>0</v>
      </c>
      <c r="L80" s="1416">
        <f t="shared" si="21"/>
        <v>0</v>
      </c>
      <c r="M80" s="1400">
        <v>0</v>
      </c>
      <c r="N80" s="1417">
        <v>0</v>
      </c>
      <c r="O80" s="1422">
        <v>18</v>
      </c>
      <c r="P80" s="1399">
        <v>16</v>
      </c>
      <c r="Q80" s="1399">
        <v>887</v>
      </c>
      <c r="R80" s="1399">
        <v>379</v>
      </c>
      <c r="S80" s="1399">
        <v>467</v>
      </c>
      <c r="T80" s="1420">
        <v>37</v>
      </c>
      <c r="U80" s="1407">
        <f t="shared" si="22"/>
        <v>1300</v>
      </c>
      <c r="V80" s="1408">
        <f t="shared" si="23"/>
        <v>1388</v>
      </c>
      <c r="W80" s="1409">
        <f t="shared" si="14"/>
        <v>15727.148817921468</v>
      </c>
      <c r="X80" s="1410"/>
      <c r="Y80" s="1411"/>
      <c r="Z80" s="1411">
        <f t="shared" si="15"/>
        <v>9285.1488179214684</v>
      </c>
      <c r="AC80" s="1356" t="s">
        <v>258</v>
      </c>
      <c r="AD80" s="1412">
        <v>2.5546161650321273</v>
      </c>
      <c r="AE80" s="1412">
        <v>2.5438460508701501</v>
      </c>
      <c r="AF80" s="1412">
        <v>2.7272727272727271</v>
      </c>
      <c r="AG80" s="1412"/>
      <c r="AH80" s="1412">
        <f t="shared" si="24"/>
        <v>1.5546161650321273</v>
      </c>
      <c r="AI80" s="1412">
        <f t="shared" si="24"/>
        <v>1.5438460508701501</v>
      </c>
      <c r="AJ80" s="1412">
        <f t="shared" si="24"/>
        <v>1.7272727272727271</v>
      </c>
      <c r="AM80" s="1413"/>
      <c r="AN80" s="1411"/>
      <c r="AQ80" s="1414"/>
      <c r="AS80" s="1414">
        <f t="shared" si="25"/>
        <v>0</v>
      </c>
    </row>
    <row r="81" spans="1:46" ht="18.75" customHeight="1">
      <c r="A81" s="1355">
        <f t="shared" si="13"/>
        <v>76</v>
      </c>
      <c r="B81" s="1423" t="s">
        <v>712</v>
      </c>
      <c r="C81" s="1398">
        <f t="shared" si="16"/>
        <v>8373</v>
      </c>
      <c r="D81" s="1399">
        <f t="shared" si="17"/>
        <v>5811</v>
      </c>
      <c r="E81" s="1400">
        <f t="shared" si="18"/>
        <v>2562</v>
      </c>
      <c r="F81" s="1416">
        <f t="shared" si="19"/>
        <v>8373</v>
      </c>
      <c r="G81" s="1400">
        <v>5811</v>
      </c>
      <c r="H81" s="1417">
        <v>2562</v>
      </c>
      <c r="I81" s="1416">
        <f t="shared" si="20"/>
        <v>0</v>
      </c>
      <c r="J81" s="1400">
        <v>0</v>
      </c>
      <c r="K81" s="1417">
        <v>0</v>
      </c>
      <c r="L81" s="1416">
        <f t="shared" si="21"/>
        <v>0</v>
      </c>
      <c r="M81" s="1400">
        <v>0</v>
      </c>
      <c r="N81" s="1417">
        <v>0</v>
      </c>
      <c r="O81" s="1422">
        <v>13</v>
      </c>
      <c r="P81" s="1399">
        <v>27</v>
      </c>
      <c r="Q81" s="1399">
        <v>1146</v>
      </c>
      <c r="R81" s="1399">
        <v>509</v>
      </c>
      <c r="S81" s="1399">
        <v>747</v>
      </c>
      <c r="T81" s="1420">
        <v>84</v>
      </c>
      <c r="U81" s="1407">
        <f t="shared" si="22"/>
        <v>1695</v>
      </c>
      <c r="V81" s="1408">
        <f t="shared" si="23"/>
        <v>1933</v>
      </c>
      <c r="W81" s="1409">
        <f t="shared" si="14"/>
        <v>25990.963607688504</v>
      </c>
      <c r="X81" s="1410"/>
      <c r="Y81" s="1411"/>
      <c r="Z81" s="1411">
        <f t="shared" si="15"/>
        <v>15684.963607688504</v>
      </c>
      <c r="AC81" s="1356" t="s">
        <v>259</v>
      </c>
      <c r="AD81" s="1412">
        <v>2.6398924105830499</v>
      </c>
      <c r="AE81" s="1412">
        <v>2.638440860215054</v>
      </c>
      <c r="AF81" s="1412">
        <v>2.9122807017543861</v>
      </c>
      <c r="AG81" s="1412"/>
      <c r="AH81" s="1412">
        <f t="shared" si="24"/>
        <v>1.6398924105830499</v>
      </c>
      <c r="AI81" s="1412">
        <f t="shared" si="24"/>
        <v>1.638440860215054</v>
      </c>
      <c r="AJ81" s="1412">
        <f t="shared" si="24"/>
        <v>1.9122807017543861</v>
      </c>
      <c r="AM81" s="1413"/>
      <c r="AN81" s="1411"/>
      <c r="AQ81" s="1414"/>
      <c r="AS81" s="1414">
        <f t="shared" si="25"/>
        <v>0</v>
      </c>
    </row>
    <row r="82" spans="1:46" ht="18.75" customHeight="1">
      <c r="A82" s="1355">
        <f t="shared" si="13"/>
        <v>77</v>
      </c>
      <c r="B82" s="1423" t="s">
        <v>713</v>
      </c>
      <c r="C82" s="1398">
        <f t="shared" si="16"/>
        <v>9609</v>
      </c>
      <c r="D82" s="1399">
        <f t="shared" si="17"/>
        <v>5983</v>
      </c>
      <c r="E82" s="1400">
        <f t="shared" si="18"/>
        <v>3626</v>
      </c>
      <c r="F82" s="1416">
        <f t="shared" si="19"/>
        <v>9608</v>
      </c>
      <c r="G82" s="1400">
        <v>5982</v>
      </c>
      <c r="H82" s="1417">
        <v>3626</v>
      </c>
      <c r="I82" s="1416">
        <f t="shared" si="20"/>
        <v>1</v>
      </c>
      <c r="J82" s="1400">
        <v>1</v>
      </c>
      <c r="K82" s="1417">
        <v>0</v>
      </c>
      <c r="L82" s="1416">
        <f t="shared" si="21"/>
        <v>0</v>
      </c>
      <c r="M82" s="1400">
        <v>0</v>
      </c>
      <c r="N82" s="1417">
        <v>0</v>
      </c>
      <c r="O82" s="1422">
        <v>88</v>
      </c>
      <c r="P82" s="1399">
        <v>38</v>
      </c>
      <c r="Q82" s="1399">
        <v>5229</v>
      </c>
      <c r="R82" s="1399">
        <v>2324</v>
      </c>
      <c r="S82" s="1399">
        <v>2744</v>
      </c>
      <c r="T82" s="1420">
        <v>159</v>
      </c>
      <c r="U82" s="1407">
        <f t="shared" si="22"/>
        <v>7679</v>
      </c>
      <c r="V82" s="1408">
        <f t="shared" si="23"/>
        <v>8099</v>
      </c>
      <c r="W82" s="1409">
        <f t="shared" si="14"/>
        <v>37910.906061950256</v>
      </c>
      <c r="X82" s="1410"/>
      <c r="Y82" s="1411"/>
      <c r="Z82" s="1411">
        <f t="shared" si="15"/>
        <v>20202.906061950256</v>
      </c>
      <c r="AC82" s="1356" t="s">
        <v>482</v>
      </c>
      <c r="AD82" s="1412">
        <v>2.5769999365688498</v>
      </c>
      <c r="AE82" s="1412">
        <v>1.9377400793650801</v>
      </c>
      <c r="AF82" s="1412">
        <v>2.1592920353982299</v>
      </c>
      <c r="AG82" s="1412"/>
      <c r="AH82" s="1412">
        <f t="shared" si="24"/>
        <v>1.5769999365688498</v>
      </c>
      <c r="AI82" s="1412">
        <f t="shared" si="24"/>
        <v>0.93774007936508008</v>
      </c>
      <c r="AJ82" s="1412">
        <f t="shared" si="24"/>
        <v>1.1592920353982299</v>
      </c>
      <c r="AM82" s="1413"/>
      <c r="AN82" s="1411"/>
      <c r="AQ82" s="1414"/>
      <c r="AS82" s="1414">
        <f t="shared" si="25"/>
        <v>0</v>
      </c>
    </row>
    <row r="83" spans="1:46" ht="18.75" customHeight="1">
      <c r="A83" s="1355">
        <f t="shared" si="13"/>
        <v>78</v>
      </c>
      <c r="B83" s="1423" t="s">
        <v>714</v>
      </c>
      <c r="C83" s="1398">
        <f t="shared" si="16"/>
        <v>13308</v>
      </c>
      <c r="D83" s="1399">
        <f t="shared" si="17"/>
        <v>9507</v>
      </c>
      <c r="E83" s="1400">
        <f t="shared" si="18"/>
        <v>3801</v>
      </c>
      <c r="F83" s="1416">
        <f t="shared" si="19"/>
        <v>13308</v>
      </c>
      <c r="G83" s="1400">
        <v>9507</v>
      </c>
      <c r="H83" s="1417">
        <v>3801</v>
      </c>
      <c r="I83" s="1416">
        <f t="shared" si="20"/>
        <v>0</v>
      </c>
      <c r="J83" s="1400">
        <v>0</v>
      </c>
      <c r="K83" s="1417">
        <v>0</v>
      </c>
      <c r="L83" s="1416">
        <f t="shared" si="21"/>
        <v>0</v>
      </c>
      <c r="M83" s="1400">
        <v>0</v>
      </c>
      <c r="N83" s="1417">
        <v>0</v>
      </c>
      <c r="O83" s="1422">
        <v>65</v>
      </c>
      <c r="P83" s="1399">
        <v>50</v>
      </c>
      <c r="Q83" s="1399">
        <v>4134</v>
      </c>
      <c r="R83" s="1399">
        <v>1454</v>
      </c>
      <c r="S83" s="1399">
        <v>1813</v>
      </c>
      <c r="T83" s="1420">
        <v>193</v>
      </c>
      <c r="U83" s="1407">
        <f t="shared" si="22"/>
        <v>5703</v>
      </c>
      <c r="V83" s="1408">
        <f t="shared" si="23"/>
        <v>6062</v>
      </c>
      <c r="W83" s="1409">
        <f t="shared" si="14"/>
        <v>45959.957494721835</v>
      </c>
      <c r="X83" s="1410"/>
      <c r="Y83" s="1411"/>
      <c r="Z83" s="1411">
        <f t="shared" si="15"/>
        <v>26589.957494721835</v>
      </c>
      <c r="AC83" s="1356" t="s">
        <v>563</v>
      </c>
      <c r="AD83" s="1412">
        <v>2.6617224648986002</v>
      </c>
      <c r="AE83" s="1412">
        <v>2.0287190684133898</v>
      </c>
      <c r="AF83" s="1412">
        <v>2.9393939393939394</v>
      </c>
      <c r="AG83" s="1412"/>
      <c r="AH83" s="1412">
        <f t="shared" si="24"/>
        <v>1.6617224648986002</v>
      </c>
      <c r="AI83" s="1412">
        <f t="shared" si="24"/>
        <v>1.0287190684133898</v>
      </c>
      <c r="AJ83" s="1412">
        <f t="shared" si="24"/>
        <v>1.9393939393939394</v>
      </c>
      <c r="AM83" s="1413"/>
      <c r="AN83" s="1411"/>
      <c r="AQ83" s="1414"/>
      <c r="AS83" s="1414">
        <f t="shared" si="25"/>
        <v>0</v>
      </c>
    </row>
    <row r="84" spans="1:46" ht="18.75" customHeight="1">
      <c r="A84" s="1355">
        <f t="shared" si="13"/>
        <v>79</v>
      </c>
      <c r="B84" s="1423" t="s">
        <v>715</v>
      </c>
      <c r="C84" s="1398">
        <f t="shared" si="16"/>
        <v>6087</v>
      </c>
      <c r="D84" s="1399">
        <f t="shared" si="17"/>
        <v>4263</v>
      </c>
      <c r="E84" s="1400">
        <f t="shared" si="18"/>
        <v>1824</v>
      </c>
      <c r="F84" s="1416">
        <f t="shared" si="19"/>
        <v>6081</v>
      </c>
      <c r="G84" s="1400">
        <v>4257</v>
      </c>
      <c r="H84" s="1417">
        <v>1824</v>
      </c>
      <c r="I84" s="1416">
        <f t="shared" si="20"/>
        <v>1</v>
      </c>
      <c r="J84" s="1400">
        <v>1</v>
      </c>
      <c r="K84" s="1417">
        <v>0</v>
      </c>
      <c r="L84" s="1416">
        <f t="shared" si="21"/>
        <v>5</v>
      </c>
      <c r="M84" s="1400">
        <v>5</v>
      </c>
      <c r="N84" s="1417">
        <v>0</v>
      </c>
      <c r="O84" s="1422">
        <v>28</v>
      </c>
      <c r="P84" s="1399">
        <v>17</v>
      </c>
      <c r="Q84" s="1399">
        <v>1314</v>
      </c>
      <c r="R84" s="1399">
        <v>602</v>
      </c>
      <c r="S84" s="1399">
        <v>810</v>
      </c>
      <c r="T84" s="1420">
        <v>61</v>
      </c>
      <c r="U84" s="1407">
        <f t="shared" si="22"/>
        <v>1961</v>
      </c>
      <c r="V84" s="1408">
        <f t="shared" si="23"/>
        <v>2169</v>
      </c>
      <c r="W84" s="1409">
        <f t="shared" si="14"/>
        <v>22740.374987936368</v>
      </c>
      <c r="X84" s="1410"/>
      <c r="Y84" s="1411"/>
      <c r="Z84" s="1411">
        <f t="shared" si="15"/>
        <v>14484.374987936368</v>
      </c>
      <c r="AC84" s="1356" t="s">
        <v>564</v>
      </c>
      <c r="AD84" s="1412">
        <v>3.0558922558922559</v>
      </c>
      <c r="AE84" s="1412">
        <v>2.4133790737564325</v>
      </c>
      <c r="AF84" s="1412">
        <v>3.5106382978723403</v>
      </c>
      <c r="AG84" s="1412"/>
      <c r="AH84" s="1412">
        <f t="shared" si="24"/>
        <v>2.0558922558922559</v>
      </c>
      <c r="AI84" s="1412">
        <f t="shared" si="24"/>
        <v>1.4133790737564325</v>
      </c>
      <c r="AJ84" s="1412">
        <f t="shared" si="24"/>
        <v>2.5106382978723403</v>
      </c>
      <c r="AM84" s="1413"/>
      <c r="AN84" s="1411"/>
      <c r="AQ84" s="1414"/>
      <c r="AS84" s="1414">
        <f t="shared" si="25"/>
        <v>0</v>
      </c>
    </row>
    <row r="85" spans="1:46" ht="18.75" customHeight="1">
      <c r="A85" s="1355">
        <f t="shared" si="13"/>
        <v>80</v>
      </c>
      <c r="B85" s="1423" t="s">
        <v>227</v>
      </c>
      <c r="C85" s="1398">
        <f t="shared" si="16"/>
        <v>18351</v>
      </c>
      <c r="D85" s="1399">
        <f t="shared" si="17"/>
        <v>11893</v>
      </c>
      <c r="E85" s="1400">
        <f t="shared" si="18"/>
        <v>6458</v>
      </c>
      <c r="F85" s="1416">
        <f t="shared" si="19"/>
        <v>18350</v>
      </c>
      <c r="G85" s="1400">
        <v>11892</v>
      </c>
      <c r="H85" s="1417">
        <v>6458</v>
      </c>
      <c r="I85" s="1416">
        <f t="shared" si="20"/>
        <v>1</v>
      </c>
      <c r="J85" s="1400">
        <v>1</v>
      </c>
      <c r="K85" s="1417">
        <v>0</v>
      </c>
      <c r="L85" s="1416">
        <f t="shared" si="21"/>
        <v>0</v>
      </c>
      <c r="M85" s="1400">
        <v>0</v>
      </c>
      <c r="N85" s="1417">
        <v>0</v>
      </c>
      <c r="O85" s="1422">
        <v>277</v>
      </c>
      <c r="P85" s="1399">
        <v>138</v>
      </c>
      <c r="Q85" s="1399">
        <v>8471</v>
      </c>
      <c r="R85" s="1399">
        <v>2489</v>
      </c>
      <c r="S85" s="1399">
        <v>3606</v>
      </c>
      <c r="T85" s="1420">
        <v>204</v>
      </c>
      <c r="U85" s="1407">
        <f t="shared" si="22"/>
        <v>11375</v>
      </c>
      <c r="V85" s="1408">
        <f t="shared" si="23"/>
        <v>12492</v>
      </c>
      <c r="W85" s="1409">
        <f t="shared" si="14"/>
        <v>86856.218510641571</v>
      </c>
      <c r="X85" s="1410"/>
      <c r="Y85" s="1411"/>
      <c r="Z85" s="1411">
        <f t="shared" si="15"/>
        <v>56013.218510641571</v>
      </c>
      <c r="AC85" s="1356" t="s">
        <v>565</v>
      </c>
      <c r="AD85" s="1412">
        <v>3.2866603485361501</v>
      </c>
      <c r="AE85" s="1412">
        <v>2.5237655092973501</v>
      </c>
      <c r="AF85" s="1412">
        <v>3.753968253968254</v>
      </c>
      <c r="AG85" s="1412"/>
      <c r="AH85" s="1412">
        <f t="shared" si="24"/>
        <v>2.2866603485361501</v>
      </c>
      <c r="AI85" s="1412">
        <f t="shared" si="24"/>
        <v>1.5237655092973501</v>
      </c>
      <c r="AJ85" s="1412">
        <f t="shared" si="24"/>
        <v>2.753968253968254</v>
      </c>
      <c r="AM85" s="1413"/>
      <c r="AN85" s="1411"/>
      <c r="AQ85" s="1414"/>
      <c r="AS85" s="1414">
        <f t="shared" si="25"/>
        <v>0</v>
      </c>
    </row>
    <row r="86" spans="1:46" ht="18.75" customHeight="1">
      <c r="A86" s="1355">
        <f t="shared" si="13"/>
        <v>81</v>
      </c>
      <c r="B86" s="1423" t="s">
        <v>883</v>
      </c>
      <c r="C86" s="1398">
        <f t="shared" si="16"/>
        <v>12389</v>
      </c>
      <c r="D86" s="1399">
        <f t="shared" si="17"/>
        <v>7417</v>
      </c>
      <c r="E86" s="1400">
        <f t="shared" si="18"/>
        <v>4972</v>
      </c>
      <c r="F86" s="1416">
        <f t="shared" si="19"/>
        <v>12383</v>
      </c>
      <c r="G86" s="1400">
        <v>7411</v>
      </c>
      <c r="H86" s="1417">
        <v>4972</v>
      </c>
      <c r="I86" s="1416">
        <f t="shared" si="20"/>
        <v>1</v>
      </c>
      <c r="J86" s="1400">
        <v>1</v>
      </c>
      <c r="K86" s="1417">
        <v>0</v>
      </c>
      <c r="L86" s="1416">
        <f t="shared" si="21"/>
        <v>5</v>
      </c>
      <c r="M86" s="1400">
        <v>5</v>
      </c>
      <c r="N86" s="1417">
        <v>0</v>
      </c>
      <c r="O86" s="1422">
        <v>84</v>
      </c>
      <c r="P86" s="1399">
        <v>57</v>
      </c>
      <c r="Q86" s="1399">
        <v>5133</v>
      </c>
      <c r="R86" s="1399">
        <v>1934</v>
      </c>
      <c r="S86" s="1399">
        <v>2428</v>
      </c>
      <c r="T86" s="1420">
        <v>282</v>
      </c>
      <c r="U86" s="1407">
        <f t="shared" si="22"/>
        <v>7208</v>
      </c>
      <c r="V86" s="1408">
        <f t="shared" si="23"/>
        <v>7702</v>
      </c>
      <c r="W86" s="1409">
        <f t="shared" si="14"/>
        <v>47322.055232910359</v>
      </c>
      <c r="X86" s="1410"/>
      <c r="Y86" s="1411"/>
      <c r="Z86" s="1411">
        <f t="shared" si="15"/>
        <v>27231.055232910359</v>
      </c>
      <c r="AC86" s="1356" t="s">
        <v>580</v>
      </c>
      <c r="AD86" s="1412">
        <v>2.6898285038438794</v>
      </c>
      <c r="AE86" s="1412">
        <v>2.17894754645069</v>
      </c>
      <c r="AF86" s="1412">
        <v>2.7321428571428572</v>
      </c>
      <c r="AG86" s="1412"/>
      <c r="AH86" s="1412">
        <f t="shared" si="24"/>
        <v>1.6898285038438794</v>
      </c>
      <c r="AI86" s="1412">
        <f t="shared" si="24"/>
        <v>1.17894754645069</v>
      </c>
      <c r="AJ86" s="1412">
        <f t="shared" si="24"/>
        <v>1.7321428571428572</v>
      </c>
      <c r="AM86" s="1413"/>
      <c r="AN86" s="1411"/>
      <c r="AQ86" s="1414"/>
      <c r="AS86" s="1414">
        <f t="shared" si="25"/>
        <v>0</v>
      </c>
    </row>
    <row r="87" spans="1:46" ht="18.75" customHeight="1">
      <c r="A87" s="1424"/>
      <c r="B87" s="1425" t="s">
        <v>884</v>
      </c>
      <c r="C87" s="1426">
        <v>0</v>
      </c>
      <c r="D87" s="1399">
        <f t="shared" si="17"/>
        <v>0</v>
      </c>
      <c r="E87" s="1400">
        <f t="shared" si="18"/>
        <v>0</v>
      </c>
      <c r="F87" s="1416">
        <f t="shared" si="19"/>
        <v>0</v>
      </c>
      <c r="G87" s="1400">
        <v>0</v>
      </c>
      <c r="H87" s="1417">
        <v>0</v>
      </c>
      <c r="I87" s="1416">
        <v>0</v>
      </c>
      <c r="J87" s="1400">
        <v>0</v>
      </c>
      <c r="K87" s="1417">
        <v>0</v>
      </c>
      <c r="L87" s="1416">
        <v>0</v>
      </c>
      <c r="M87" s="1400">
        <v>0</v>
      </c>
      <c r="N87" s="1417">
        <v>0</v>
      </c>
      <c r="O87" s="1422">
        <v>9</v>
      </c>
      <c r="P87" s="1399">
        <v>4</v>
      </c>
      <c r="Q87" s="1399">
        <v>551</v>
      </c>
      <c r="R87" s="1399">
        <v>177</v>
      </c>
      <c r="S87" s="1399">
        <v>203</v>
      </c>
      <c r="T87" s="1420">
        <f>638-8</f>
        <v>630</v>
      </c>
      <c r="U87" s="1407">
        <f t="shared" si="22"/>
        <v>741</v>
      </c>
      <c r="V87" s="1408">
        <f t="shared" si="23"/>
        <v>767</v>
      </c>
      <c r="W87" s="1409">
        <f t="shared" si="14"/>
        <v>1439.1179552371873</v>
      </c>
      <c r="X87" s="1410"/>
      <c r="Y87" s="1411"/>
      <c r="Z87" s="1411">
        <f t="shared" si="15"/>
        <v>672.11795523718729</v>
      </c>
      <c r="AC87" s="1356" t="s">
        <v>368</v>
      </c>
      <c r="AD87" s="1412">
        <v>2.6898285038438794</v>
      </c>
      <c r="AE87" s="1412">
        <v>2.17894754645069</v>
      </c>
      <c r="AF87" s="1412">
        <v>2.7321428571428572</v>
      </c>
      <c r="AG87" s="1412"/>
      <c r="AH87" s="1412">
        <f t="shared" ref="AH87:AJ88" si="26">AD87-1</f>
        <v>1.6898285038438794</v>
      </c>
      <c r="AI87" s="1412">
        <f t="shared" si="26"/>
        <v>1.17894754645069</v>
      </c>
      <c r="AJ87" s="1412">
        <f t="shared" si="26"/>
        <v>1.7321428571428572</v>
      </c>
      <c r="AN87" s="1411"/>
      <c r="AQ87" s="1414"/>
      <c r="AS87" s="1414">
        <f t="shared" si="25"/>
        <v>0</v>
      </c>
    </row>
    <row r="88" spans="1:46" ht="16.5" customHeight="1" thickBot="1">
      <c r="A88" s="1427"/>
      <c r="B88" s="1428" t="s">
        <v>885</v>
      </c>
      <c r="C88" s="1429">
        <f>SUM(C6:C87)</f>
        <v>2970797</v>
      </c>
      <c r="D88" s="1430">
        <f>SUM(D6:D87)</f>
        <v>1881794</v>
      </c>
      <c r="E88" s="1431">
        <f t="shared" ref="E88:W88" si="27">SUM(E6:E87)</f>
        <v>1089003</v>
      </c>
      <c r="F88" s="1429">
        <f t="shared" si="19"/>
        <v>2969930</v>
      </c>
      <c r="G88" s="1430">
        <f t="shared" si="27"/>
        <v>1881076</v>
      </c>
      <c r="H88" s="1432">
        <f t="shared" si="27"/>
        <v>1088854</v>
      </c>
      <c r="I88" s="1433">
        <f>SUM(I6:I87)</f>
        <v>342</v>
      </c>
      <c r="J88" s="1430">
        <f t="shared" si="27"/>
        <v>198</v>
      </c>
      <c r="K88" s="1432">
        <f t="shared" si="27"/>
        <v>144</v>
      </c>
      <c r="L88" s="1433">
        <f>SUM(L6:L87)</f>
        <v>525</v>
      </c>
      <c r="M88" s="1430">
        <f t="shared" si="27"/>
        <v>520</v>
      </c>
      <c r="N88" s="1432">
        <f t="shared" si="27"/>
        <v>5</v>
      </c>
      <c r="O88" s="1434">
        <f t="shared" si="27"/>
        <v>25373</v>
      </c>
      <c r="P88" s="1435">
        <f t="shared" si="27"/>
        <v>12403</v>
      </c>
      <c r="Q88" s="1435">
        <f t="shared" si="27"/>
        <v>1400866</v>
      </c>
      <c r="R88" s="1435">
        <f t="shared" si="27"/>
        <v>504810</v>
      </c>
      <c r="S88" s="1435">
        <f>(SUM(S6:S87))+0</f>
        <v>642420</v>
      </c>
      <c r="T88" s="1436">
        <f t="shared" si="27"/>
        <v>45550</v>
      </c>
      <c r="U88" s="1437">
        <f t="shared" si="27"/>
        <v>1943452</v>
      </c>
      <c r="V88" s="1438">
        <f t="shared" si="27"/>
        <v>2081062</v>
      </c>
      <c r="W88" s="1439">
        <f t="shared" si="27"/>
        <v>11548442.795283843</v>
      </c>
      <c r="X88" s="1440"/>
      <c r="Y88" s="1440"/>
      <c r="Z88" s="1441"/>
      <c r="AA88" s="1440"/>
      <c r="AB88" s="1440"/>
      <c r="AC88" s="1440"/>
      <c r="AD88" s="1412">
        <v>2.6898285038438794</v>
      </c>
      <c r="AE88" s="1412">
        <v>2.17894754645069</v>
      </c>
      <c r="AF88" s="1412">
        <v>2.7321428571428572</v>
      </c>
      <c r="AG88" s="1412"/>
      <c r="AH88" s="1412">
        <f t="shared" si="26"/>
        <v>1.6898285038438794</v>
      </c>
      <c r="AI88" s="1412">
        <f t="shared" si="26"/>
        <v>1.17894754645069</v>
      </c>
      <c r="AJ88" s="1412">
        <f t="shared" si="26"/>
        <v>1.7321428571428572</v>
      </c>
      <c r="AK88" s="1440"/>
      <c r="AL88" s="1440"/>
      <c r="AM88" s="1440"/>
      <c r="AN88" s="1440"/>
      <c r="AO88" s="1440"/>
      <c r="AP88" s="1440"/>
      <c r="AQ88" s="1440"/>
      <c r="AR88" s="1440"/>
      <c r="AS88" s="1440"/>
      <c r="AT88" s="1440" t="s">
        <v>729</v>
      </c>
    </row>
    <row r="89" spans="1:46" ht="16.5" customHeight="1">
      <c r="A89" s="1922" t="s">
        <v>1140</v>
      </c>
      <c r="B89" s="1922"/>
      <c r="C89" s="1922"/>
      <c r="D89" s="1922"/>
      <c r="E89" s="1922"/>
      <c r="F89" s="1922"/>
      <c r="G89" s="1922"/>
      <c r="H89" s="1922"/>
      <c r="I89" s="1922"/>
      <c r="J89" s="1922"/>
      <c r="K89" s="1922"/>
      <c r="L89" s="1922"/>
      <c r="M89" s="1922"/>
      <c r="N89" s="1922"/>
      <c r="O89" s="1922"/>
      <c r="P89" s="1922"/>
      <c r="Q89" s="1922"/>
      <c r="R89" s="1922"/>
      <c r="S89" s="1922"/>
      <c r="T89" s="1922"/>
      <c r="U89" s="1922"/>
      <c r="V89" s="1922"/>
      <c r="W89" s="1922"/>
      <c r="Z89" s="1411">
        <f>SUM(Z6:Z87)</f>
        <v>6496583.7952838428</v>
      </c>
    </row>
    <row r="90" spans="1:46" ht="17.25" customHeight="1">
      <c r="A90" s="1922" t="s">
        <v>821</v>
      </c>
      <c r="B90" s="1923"/>
      <c r="C90" s="1923"/>
      <c r="D90" s="1923"/>
      <c r="E90" s="1923"/>
      <c r="F90" s="1923"/>
      <c r="G90" s="1923"/>
      <c r="H90" s="1923"/>
      <c r="I90" s="1923"/>
      <c r="J90" s="1923"/>
      <c r="K90" s="1923"/>
      <c r="L90" s="1923"/>
      <c r="M90" s="1923"/>
      <c r="N90" s="1923"/>
      <c r="O90" s="1923"/>
      <c r="P90" s="1923"/>
      <c r="Q90" s="1923"/>
      <c r="R90" s="1923"/>
      <c r="S90" s="1923"/>
      <c r="T90" s="1923"/>
      <c r="U90" s="1923"/>
      <c r="V90" s="1923"/>
      <c r="W90" s="1923"/>
      <c r="Z90" s="1411">
        <f>+W90-N90-O90-P90-Q90-S90</f>
        <v>0</v>
      </c>
      <c r="AK90" s="1363"/>
    </row>
    <row r="91" spans="1:46">
      <c r="A91" s="1362"/>
      <c r="B91" s="1362"/>
      <c r="C91" s="1359"/>
      <c r="D91" s="1359"/>
      <c r="E91" s="1359"/>
      <c r="F91" s="1359"/>
      <c r="G91" s="1359"/>
      <c r="H91" s="1359"/>
      <c r="I91" s="1359"/>
      <c r="J91" s="1359"/>
      <c r="K91" s="1359"/>
      <c r="L91" s="1359"/>
      <c r="M91" s="1359"/>
      <c r="N91" s="1359"/>
      <c r="O91" s="1362"/>
      <c r="P91" s="1362"/>
      <c r="Q91" s="1362"/>
      <c r="R91" s="1442"/>
      <c r="S91" s="1443" t="s">
        <v>729</v>
      </c>
      <c r="T91" s="1444"/>
      <c r="U91" s="1362"/>
      <c r="V91" s="1362"/>
      <c r="W91" s="1362"/>
      <c r="AK91" s="1363"/>
    </row>
    <row r="92" spans="1:46">
      <c r="T92" s="1625" t="s">
        <v>729</v>
      </c>
    </row>
  </sheetData>
  <mergeCells count="14">
    <mergeCell ref="A89:W89"/>
    <mergeCell ref="A90:W90"/>
    <mergeCell ref="V2:X2"/>
    <mergeCell ref="C3:N3"/>
    <mergeCell ref="O3:T3"/>
    <mergeCell ref="U3:U5"/>
    <mergeCell ref="V3:V5"/>
    <mergeCell ref="W3:W5"/>
    <mergeCell ref="C4:E4"/>
    <mergeCell ref="F4:H4"/>
    <mergeCell ref="I4:K4"/>
    <mergeCell ref="L4:N4"/>
    <mergeCell ref="A3:A5"/>
    <mergeCell ref="R4:S4"/>
  </mergeCells>
  <phoneticPr fontId="7" type="noConversion"/>
  <printOptions horizontalCentered="1" verticalCentered="1"/>
  <pageMargins left="0.23622047244094491" right="0" top="0" bottom="0" header="0" footer="0"/>
  <pageSetup paperSize="9" scale="47" orientation="portrait" r:id="rId1"/>
  <headerFooter alignWithMargins="0"/>
  <colBreaks count="1" manualBreakCount="1">
    <brk id="11" max="89" man="1"/>
  </col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ayfa7">
    <tabColor theme="3" tint="0.59999389629810485"/>
  </sheetPr>
  <dimension ref="A1:P130"/>
  <sheetViews>
    <sheetView showGridLines="0" zoomScaleNormal="100" workbookViewId="0">
      <selection sqref="A1:M1"/>
    </sheetView>
  </sheetViews>
  <sheetFormatPr defaultRowHeight="12.75"/>
  <cols>
    <col min="1" max="1" width="32.5703125" customWidth="1"/>
    <col min="9" max="9" width="10.28515625" customWidth="1"/>
    <col min="10" max="10" width="7.42578125" customWidth="1"/>
    <col min="11" max="11" width="7.7109375" customWidth="1"/>
    <col min="12" max="12" width="8.42578125" customWidth="1"/>
    <col min="13" max="13" width="7.85546875" customWidth="1"/>
    <col min="251" max="251" width="26.7109375" customWidth="1"/>
  </cols>
  <sheetData>
    <row r="1" spans="1:14" ht="15.75">
      <c r="A1" s="1950" t="s">
        <v>1166</v>
      </c>
      <c r="B1" s="1950"/>
      <c r="C1" s="1950"/>
      <c r="D1" s="1950"/>
      <c r="E1" s="1950"/>
      <c r="F1" s="1950"/>
      <c r="G1" s="1950"/>
      <c r="H1" s="1950"/>
      <c r="I1" s="1950"/>
      <c r="J1" s="1950"/>
      <c r="K1" s="1950"/>
      <c r="L1" s="1950"/>
      <c r="M1" s="1950"/>
      <c r="N1" s="755"/>
    </row>
    <row r="2" spans="1:14" ht="15">
      <c r="A2" s="1951" t="s">
        <v>1167</v>
      </c>
      <c r="B2" s="1951"/>
      <c r="C2" s="1951"/>
      <c r="D2" s="1951"/>
      <c r="E2" s="1951"/>
      <c r="F2" s="1951"/>
      <c r="G2" s="1951"/>
      <c r="H2" s="1951"/>
      <c r="I2" s="1951"/>
      <c r="J2" s="1951"/>
      <c r="K2" s="1951"/>
      <c r="L2" s="1951"/>
      <c r="M2" s="1951"/>
      <c r="N2" s="756"/>
    </row>
    <row r="3" spans="1:14">
      <c r="A3" s="757">
        <v>2017</v>
      </c>
      <c r="B3" s="820" t="s">
        <v>836</v>
      </c>
      <c r="C3" s="758" t="s">
        <v>760</v>
      </c>
      <c r="D3" s="758" t="s">
        <v>761</v>
      </c>
      <c r="E3" s="759" t="s">
        <v>762</v>
      </c>
      <c r="F3" s="759" t="s">
        <v>763</v>
      </c>
      <c r="G3" s="759" t="s">
        <v>764</v>
      </c>
      <c r="H3" s="759" t="s">
        <v>765</v>
      </c>
      <c r="I3" s="759" t="s">
        <v>869</v>
      </c>
      <c r="J3" s="759" t="s">
        <v>870</v>
      </c>
      <c r="K3" s="759" t="s">
        <v>871</v>
      </c>
      <c r="L3" s="759" t="s">
        <v>872</v>
      </c>
      <c r="M3" s="759" t="s">
        <v>689</v>
      </c>
      <c r="N3" s="755"/>
    </row>
    <row r="4" spans="1:14" ht="36" customHeight="1">
      <c r="A4" s="1952" t="s">
        <v>1105</v>
      </c>
      <c r="B4" s="1953"/>
      <c r="C4" s="1953"/>
      <c r="D4" s="1953"/>
      <c r="E4" s="1953"/>
      <c r="F4" s="1953"/>
      <c r="G4" s="1953"/>
      <c r="H4" s="1953"/>
      <c r="I4" s="1953"/>
      <c r="J4" s="1953"/>
      <c r="K4" s="1953"/>
      <c r="L4" s="1953"/>
      <c r="M4" s="1954"/>
      <c r="N4" s="756"/>
    </row>
    <row r="5" spans="1:14" ht="16.5" customHeight="1">
      <c r="A5" s="760" t="s">
        <v>1106</v>
      </c>
      <c r="B5" s="738">
        <v>3790</v>
      </c>
      <c r="C5" s="738">
        <v>3791</v>
      </c>
      <c r="D5" s="738">
        <v>3791</v>
      </c>
      <c r="E5" s="738">
        <v>3790</v>
      </c>
      <c r="F5" s="738"/>
      <c r="G5" s="738"/>
      <c r="H5" s="738"/>
      <c r="I5" s="738"/>
      <c r="J5" s="738"/>
      <c r="K5" s="738"/>
      <c r="L5" s="738"/>
      <c r="M5" s="738"/>
      <c r="N5" s="755"/>
    </row>
    <row r="6" spans="1:14" ht="16.5" customHeight="1">
      <c r="A6" s="760" t="s">
        <v>1107</v>
      </c>
      <c r="B6" s="738">
        <v>6592</v>
      </c>
      <c r="C6" s="738">
        <v>6577</v>
      </c>
      <c r="D6" s="738">
        <v>6570</v>
      </c>
      <c r="E6" s="738">
        <v>6547</v>
      </c>
      <c r="F6" s="738"/>
      <c r="G6" s="738"/>
      <c r="H6" s="738"/>
      <c r="I6" s="738"/>
      <c r="J6" s="738"/>
      <c r="K6" s="738"/>
      <c r="L6" s="738"/>
      <c r="M6" s="738"/>
      <c r="N6" s="755"/>
    </row>
    <row r="7" spans="1:14">
      <c r="A7" s="762" t="s">
        <v>1108</v>
      </c>
      <c r="B7" s="737">
        <f>+B6+B5</f>
        <v>10382</v>
      </c>
      <c r="C7" s="737">
        <f>SUM(C5:C6)</f>
        <v>10368</v>
      </c>
      <c r="D7" s="737">
        <f>SUM(D5:D6)</f>
        <v>10361</v>
      </c>
      <c r="E7" s="737">
        <v>10337</v>
      </c>
      <c r="F7" s="737"/>
      <c r="G7" s="737"/>
      <c r="H7" s="737"/>
      <c r="I7" s="736"/>
      <c r="J7" s="736"/>
      <c r="K7" s="736"/>
      <c r="L7" s="737"/>
      <c r="M7" s="737"/>
      <c r="N7" s="763"/>
    </row>
    <row r="8" spans="1:14" ht="33" customHeight="1">
      <c r="A8" s="1952" t="s">
        <v>1109</v>
      </c>
      <c r="B8" s="1953"/>
      <c r="C8" s="1953"/>
      <c r="D8" s="1953"/>
      <c r="E8" s="1953"/>
      <c r="F8" s="1953"/>
      <c r="G8" s="1953"/>
      <c r="H8" s="1953"/>
      <c r="I8" s="1953"/>
      <c r="J8" s="1953"/>
      <c r="K8" s="1953"/>
      <c r="L8" s="1953"/>
      <c r="M8" s="1954"/>
      <c r="N8" s="764"/>
    </row>
    <row r="9" spans="1:14" ht="16.5" customHeight="1">
      <c r="A9" s="760" t="s">
        <v>1106</v>
      </c>
      <c r="B9" s="738">
        <v>363</v>
      </c>
      <c r="C9" s="738">
        <v>361</v>
      </c>
      <c r="D9" s="738">
        <v>360</v>
      </c>
      <c r="E9" s="738">
        <v>359</v>
      </c>
      <c r="F9" s="738"/>
      <c r="G9" s="738"/>
      <c r="H9" s="738"/>
      <c r="I9" s="738"/>
      <c r="J9" s="738"/>
      <c r="K9" s="738"/>
      <c r="L9" s="738"/>
      <c r="M9" s="738"/>
      <c r="N9" s="765"/>
    </row>
    <row r="10" spans="1:14" ht="16.5" customHeight="1">
      <c r="A10" s="760" t="s">
        <v>1107</v>
      </c>
      <c r="B10" s="738">
        <v>4334</v>
      </c>
      <c r="C10" s="738">
        <v>4292</v>
      </c>
      <c r="D10" s="738">
        <v>4268</v>
      </c>
      <c r="E10" s="738">
        <v>4230</v>
      </c>
      <c r="F10" s="738"/>
      <c r="G10" s="738"/>
      <c r="H10" s="738"/>
      <c r="I10" s="738"/>
      <c r="J10" s="738"/>
      <c r="K10" s="738"/>
      <c r="L10" s="738"/>
      <c r="M10" s="738"/>
      <c r="N10" s="755"/>
    </row>
    <row r="11" spans="1:14">
      <c r="A11" s="762" t="s">
        <v>1108</v>
      </c>
      <c r="B11" s="737">
        <f>+B10+B9</f>
        <v>4697</v>
      </c>
      <c r="C11" s="737">
        <f>SUM(C9:C10)</f>
        <v>4653</v>
      </c>
      <c r="D11" s="737">
        <v>4628</v>
      </c>
      <c r="E11" s="737">
        <v>4589</v>
      </c>
      <c r="F11" s="737"/>
      <c r="G11" s="737"/>
      <c r="H11" s="737"/>
      <c r="I11" s="736"/>
      <c r="J11" s="737"/>
      <c r="K11" s="737"/>
      <c r="L11" s="737"/>
      <c r="M11" s="737"/>
      <c r="N11" s="763"/>
    </row>
    <row r="12" spans="1:14" ht="29.25" customHeight="1">
      <c r="A12" s="1952" t="s">
        <v>1110</v>
      </c>
      <c r="B12" s="1953"/>
      <c r="C12" s="1953"/>
      <c r="D12" s="1953"/>
      <c r="E12" s="1953"/>
      <c r="F12" s="1953"/>
      <c r="G12" s="1953"/>
      <c r="H12" s="1953"/>
      <c r="I12" s="1953"/>
      <c r="J12" s="1953"/>
      <c r="K12" s="1953"/>
      <c r="L12" s="1953"/>
      <c r="M12" s="1954"/>
      <c r="N12" s="764"/>
    </row>
    <row r="13" spans="1:14" ht="16.5" customHeight="1">
      <c r="A13" s="760" t="s">
        <v>1106</v>
      </c>
      <c r="B13" s="738">
        <v>531</v>
      </c>
      <c r="C13" s="738">
        <v>533</v>
      </c>
      <c r="D13" s="738">
        <v>536</v>
      </c>
      <c r="E13" s="738">
        <v>537</v>
      </c>
      <c r="F13" s="738"/>
      <c r="G13" s="738"/>
      <c r="H13" s="738"/>
      <c r="I13" s="738"/>
      <c r="J13" s="738"/>
      <c r="K13" s="738"/>
      <c r="L13" s="738"/>
      <c r="M13" s="738"/>
      <c r="N13" s="765"/>
    </row>
    <row r="14" spans="1:14">
      <c r="A14" s="760" t="s">
        <v>1107</v>
      </c>
      <c r="B14" s="738">
        <v>3680</v>
      </c>
      <c r="C14" s="738">
        <v>3674</v>
      </c>
      <c r="D14" s="738">
        <v>3668</v>
      </c>
      <c r="E14" s="738">
        <v>3681</v>
      </c>
      <c r="F14" s="738"/>
      <c r="G14" s="738"/>
      <c r="H14" s="738"/>
      <c r="I14" s="738"/>
      <c r="J14" s="738"/>
      <c r="K14" s="738"/>
      <c r="L14" s="738"/>
      <c r="M14" s="738"/>
      <c r="N14" s="766"/>
    </row>
    <row r="15" spans="1:14">
      <c r="A15" s="762" t="s">
        <v>1108</v>
      </c>
      <c r="B15" s="737">
        <f>+B14+B13</f>
        <v>4211</v>
      </c>
      <c r="C15" s="737">
        <f>SUM(C13:C14)</f>
        <v>4207</v>
      </c>
      <c r="D15" s="737">
        <f>SUM(D13:D14)</f>
        <v>4204</v>
      </c>
      <c r="E15" s="737">
        <v>4218</v>
      </c>
      <c r="F15" s="737"/>
      <c r="G15" s="737"/>
      <c r="H15" s="737"/>
      <c r="I15" s="736"/>
      <c r="J15" s="737"/>
      <c r="K15" s="737"/>
      <c r="L15" s="737"/>
      <c r="M15" s="737"/>
      <c r="N15" s="763"/>
    </row>
    <row r="16" spans="1:14" ht="36" customHeight="1">
      <c r="A16" s="1952" t="s">
        <v>1111</v>
      </c>
      <c r="B16" s="1953"/>
      <c r="C16" s="1953"/>
      <c r="D16" s="1953"/>
      <c r="E16" s="1953"/>
      <c r="F16" s="1953"/>
      <c r="G16" s="1953"/>
      <c r="H16" s="1953"/>
      <c r="I16" s="1953"/>
      <c r="J16" s="1953"/>
      <c r="K16" s="1953"/>
      <c r="L16" s="1953"/>
      <c r="M16" s="1954"/>
      <c r="N16" s="764"/>
    </row>
    <row r="17" spans="1:16" ht="16.5" customHeight="1">
      <c r="A17" s="760" t="s">
        <v>1106</v>
      </c>
      <c r="B17" s="738">
        <v>671</v>
      </c>
      <c r="C17" s="738">
        <v>670</v>
      </c>
      <c r="D17" s="738">
        <v>670</v>
      </c>
      <c r="E17" s="738">
        <v>670</v>
      </c>
      <c r="F17" s="738"/>
      <c r="G17" s="738"/>
      <c r="H17" s="738"/>
      <c r="I17" s="738"/>
      <c r="J17" s="738"/>
      <c r="K17" s="738"/>
      <c r="L17" s="738"/>
      <c r="M17" s="738"/>
      <c r="N17" s="765"/>
    </row>
    <row r="18" spans="1:16">
      <c r="A18" s="760" t="s">
        <v>1107</v>
      </c>
      <c r="B18" s="738">
        <v>2001</v>
      </c>
      <c r="C18" s="738">
        <v>1995</v>
      </c>
      <c r="D18" s="738">
        <v>1992</v>
      </c>
      <c r="E18" s="738">
        <v>1987</v>
      </c>
      <c r="F18" s="738"/>
      <c r="G18" s="738"/>
      <c r="H18" s="738"/>
      <c r="I18" s="738"/>
      <c r="J18" s="738"/>
      <c r="K18" s="738"/>
      <c r="L18" s="738"/>
      <c r="M18" s="738"/>
      <c r="N18" s="755"/>
    </row>
    <row r="19" spans="1:16">
      <c r="A19" s="762" t="s">
        <v>1108</v>
      </c>
      <c r="B19" s="737">
        <f>+B18+B17</f>
        <v>2672</v>
      </c>
      <c r="C19" s="737">
        <f>SUM(C17:C18)</f>
        <v>2665</v>
      </c>
      <c r="D19" s="737">
        <f>SUM(D17:D18)</f>
        <v>2662</v>
      </c>
      <c r="E19" s="737">
        <v>2657</v>
      </c>
      <c r="F19" s="737"/>
      <c r="G19" s="737"/>
      <c r="H19" s="737"/>
      <c r="I19" s="736"/>
      <c r="J19" s="737"/>
      <c r="K19" s="737"/>
      <c r="L19" s="737"/>
      <c r="M19" s="737"/>
      <c r="N19" s="764"/>
    </row>
    <row r="20" spans="1:16" ht="35.25" customHeight="1">
      <c r="A20" s="1952" t="s">
        <v>1112</v>
      </c>
      <c r="B20" s="1953"/>
      <c r="C20" s="1953"/>
      <c r="D20" s="1953"/>
      <c r="E20" s="1953"/>
      <c r="F20" s="1953"/>
      <c r="G20" s="1953"/>
      <c r="H20" s="1953"/>
      <c r="I20" s="1953"/>
      <c r="J20" s="1953"/>
      <c r="K20" s="1953"/>
      <c r="L20" s="1953"/>
      <c r="M20" s="1954"/>
      <c r="N20" s="764"/>
    </row>
    <row r="21" spans="1:16" ht="16.5" customHeight="1">
      <c r="A21" s="760" t="s">
        <v>1106</v>
      </c>
      <c r="B21" s="738">
        <v>54</v>
      </c>
      <c r="C21" s="738">
        <v>54</v>
      </c>
      <c r="D21" s="738">
        <v>54</v>
      </c>
      <c r="E21" s="738">
        <v>54</v>
      </c>
      <c r="F21" s="738"/>
      <c r="G21" s="738"/>
      <c r="H21" s="738"/>
      <c r="I21" s="738"/>
      <c r="J21" s="738"/>
      <c r="K21" s="738"/>
      <c r="L21" s="738"/>
      <c r="M21" s="738"/>
      <c r="N21" s="765"/>
    </row>
    <row r="22" spans="1:16">
      <c r="A22" s="760" t="s">
        <v>1107</v>
      </c>
      <c r="B22" s="738">
        <v>544</v>
      </c>
      <c r="C22" s="738">
        <v>542</v>
      </c>
      <c r="D22" s="738">
        <v>536</v>
      </c>
      <c r="E22" s="738">
        <v>531</v>
      </c>
      <c r="F22" s="738"/>
      <c r="G22" s="738"/>
      <c r="H22" s="738"/>
      <c r="I22" s="738"/>
      <c r="J22" s="738"/>
      <c r="K22" s="738"/>
      <c r="L22" s="738"/>
      <c r="M22" s="738"/>
      <c r="N22" s="755"/>
    </row>
    <row r="23" spans="1:16">
      <c r="A23" s="762" t="s">
        <v>1108</v>
      </c>
      <c r="B23" s="737">
        <f>+B22+B21</f>
        <v>598</v>
      </c>
      <c r="C23" s="737">
        <f>SUM(C21:C22)</f>
        <v>596</v>
      </c>
      <c r="D23" s="737">
        <f>SUM(D21:D22)</f>
        <v>590</v>
      </c>
      <c r="E23" s="737">
        <v>585</v>
      </c>
      <c r="F23" s="737"/>
      <c r="G23" s="737"/>
      <c r="H23" s="737"/>
      <c r="I23" s="736"/>
      <c r="J23" s="736"/>
      <c r="K23" s="737"/>
      <c r="L23" s="737"/>
      <c r="M23" s="737"/>
      <c r="N23" s="764" t="s">
        <v>729</v>
      </c>
    </row>
    <row r="24" spans="1:16" ht="33" customHeight="1">
      <c r="A24" s="1952" t="s">
        <v>1113</v>
      </c>
      <c r="B24" s="1953"/>
      <c r="C24" s="1953"/>
      <c r="D24" s="1953"/>
      <c r="E24" s="1953"/>
      <c r="F24" s="1953"/>
      <c r="G24" s="1953"/>
      <c r="H24" s="1953"/>
      <c r="I24" s="1953"/>
      <c r="J24" s="1953"/>
      <c r="K24" s="1953"/>
      <c r="L24" s="1953"/>
      <c r="M24" s="1954"/>
      <c r="N24" s="764"/>
    </row>
    <row r="25" spans="1:16" ht="16.5" customHeight="1">
      <c r="A25" s="760" t="s">
        <v>1106</v>
      </c>
      <c r="B25" s="738">
        <v>3105</v>
      </c>
      <c r="C25" s="738">
        <v>3105</v>
      </c>
      <c r="D25" s="738">
        <v>3107</v>
      </c>
      <c r="E25" s="738">
        <v>3112</v>
      </c>
      <c r="F25" s="738"/>
      <c r="G25" s="738"/>
      <c r="H25" s="738"/>
      <c r="I25" s="738"/>
      <c r="J25" s="738"/>
      <c r="K25" s="738"/>
      <c r="L25" s="738"/>
      <c r="M25" s="738"/>
      <c r="N25" s="765"/>
    </row>
    <row r="26" spans="1:16">
      <c r="A26" s="760" t="s">
        <v>1107</v>
      </c>
      <c r="B26" s="738">
        <v>6668</v>
      </c>
      <c r="C26" s="738">
        <v>6645</v>
      </c>
      <c r="D26" s="738">
        <v>6634</v>
      </c>
      <c r="E26" s="738">
        <v>6623</v>
      </c>
      <c r="F26" s="738"/>
      <c r="G26" s="738"/>
      <c r="H26" s="738"/>
      <c r="I26" s="738"/>
      <c r="J26" s="738"/>
      <c r="K26" s="738"/>
      <c r="L26" s="738"/>
      <c r="M26" s="738"/>
      <c r="N26" s="766"/>
    </row>
    <row r="27" spans="1:16">
      <c r="A27" s="762" t="s">
        <v>1108</v>
      </c>
      <c r="B27" s="737">
        <f>+B26+B25</f>
        <v>9773</v>
      </c>
      <c r="C27" s="737">
        <f>SUM(C25:C26)</f>
        <v>9750</v>
      </c>
      <c r="D27" s="737">
        <f>SUM(D25:D26)</f>
        <v>9741</v>
      </c>
      <c r="E27" s="737">
        <v>9735</v>
      </c>
      <c r="F27" s="737"/>
      <c r="G27" s="737"/>
      <c r="H27" s="737"/>
      <c r="I27" s="736"/>
      <c r="J27" s="737"/>
      <c r="K27" s="737"/>
      <c r="L27" s="737"/>
      <c r="M27" s="737"/>
      <c r="N27" s="764" t="s">
        <v>729</v>
      </c>
    </row>
    <row r="28" spans="1:16" ht="35.25" customHeight="1">
      <c r="A28" s="1952" t="s">
        <v>1143</v>
      </c>
      <c r="B28" s="1953"/>
      <c r="C28" s="1953"/>
      <c r="D28" s="1953"/>
      <c r="E28" s="1953"/>
      <c r="F28" s="1953"/>
      <c r="G28" s="1953"/>
      <c r="H28" s="1953"/>
      <c r="I28" s="1953"/>
      <c r="J28" s="1953"/>
      <c r="K28" s="1953"/>
      <c r="L28" s="1953"/>
      <c r="M28" s="1954"/>
      <c r="N28" s="764"/>
    </row>
    <row r="29" spans="1:16" ht="24">
      <c r="A29" s="768" t="s">
        <v>1114</v>
      </c>
      <c r="B29" s="738">
        <v>311</v>
      </c>
      <c r="C29" s="738">
        <v>303</v>
      </c>
      <c r="D29" s="738">
        <v>299</v>
      </c>
      <c r="E29" s="738">
        <v>295</v>
      </c>
      <c r="F29" s="738"/>
      <c r="G29" s="738"/>
      <c r="H29" s="738"/>
      <c r="I29" s="738"/>
      <c r="J29" s="738"/>
      <c r="K29" s="738"/>
      <c r="L29" s="738"/>
      <c r="M29" s="738"/>
      <c r="N29" s="765"/>
      <c r="P29" s="7" t="s">
        <v>729</v>
      </c>
    </row>
    <row r="30" spans="1:16" ht="24">
      <c r="A30" s="768" t="s">
        <v>1115</v>
      </c>
      <c r="B30" s="738">
        <v>2809</v>
      </c>
      <c r="C30" s="738">
        <v>2770</v>
      </c>
      <c r="D30" s="738">
        <v>2725</v>
      </c>
      <c r="E30" s="738">
        <v>2691</v>
      </c>
      <c r="F30" s="738"/>
      <c r="G30" s="738"/>
      <c r="H30" s="738"/>
      <c r="I30" s="738"/>
      <c r="J30" s="738"/>
      <c r="K30" s="738"/>
      <c r="L30" s="738"/>
      <c r="M30" s="738"/>
      <c r="N30" s="755"/>
    </row>
    <row r="31" spans="1:16" ht="24">
      <c r="A31" s="768" t="s">
        <v>1116</v>
      </c>
      <c r="B31" s="738">
        <v>7455</v>
      </c>
      <c r="C31" s="738">
        <v>7416</v>
      </c>
      <c r="D31" s="738">
        <v>7397</v>
      </c>
      <c r="E31" s="738">
        <v>7404</v>
      </c>
      <c r="F31" s="738"/>
      <c r="G31" s="738"/>
      <c r="H31" s="738"/>
      <c r="I31" s="738"/>
      <c r="J31" s="738"/>
      <c r="K31" s="738"/>
      <c r="L31" s="738"/>
      <c r="M31" s="738"/>
      <c r="N31" s="755"/>
    </row>
    <row r="32" spans="1:16" ht="24">
      <c r="A32" s="768" t="s">
        <v>1117</v>
      </c>
      <c r="B32" s="738">
        <v>28572</v>
      </c>
      <c r="C32" s="738">
        <v>28533</v>
      </c>
      <c r="D32" s="738">
        <v>28491</v>
      </c>
      <c r="E32" s="738">
        <v>28454</v>
      </c>
      <c r="F32" s="738"/>
      <c r="G32" s="738"/>
      <c r="H32" s="738"/>
      <c r="I32" s="738"/>
      <c r="J32" s="738"/>
      <c r="K32" s="738"/>
      <c r="L32" s="738"/>
      <c r="M32" s="738"/>
      <c r="N32" s="755"/>
    </row>
    <row r="33" spans="1:14" ht="24">
      <c r="A33" s="831" t="s">
        <v>1118</v>
      </c>
      <c r="B33" s="738">
        <v>5929</v>
      </c>
      <c r="C33" s="738">
        <v>5946</v>
      </c>
      <c r="D33" s="738">
        <v>5972</v>
      </c>
      <c r="E33" s="738">
        <v>6024</v>
      </c>
      <c r="F33" s="738"/>
      <c r="G33" s="738"/>
      <c r="H33" s="738"/>
      <c r="I33" s="738"/>
      <c r="J33" s="738"/>
      <c r="K33" s="738"/>
      <c r="L33" s="738"/>
      <c r="M33" s="738"/>
      <c r="N33" s="755"/>
    </row>
    <row r="34" spans="1:14">
      <c r="A34" s="762" t="s">
        <v>1108</v>
      </c>
      <c r="B34" s="736">
        <f>+B29+B30+B31+B32+B33</f>
        <v>45076</v>
      </c>
      <c r="C34" s="736">
        <f>SUM(C29:C33)</f>
        <v>44968</v>
      </c>
      <c r="D34" s="736">
        <f>SUM(D29:D33)</f>
        <v>44884</v>
      </c>
      <c r="E34" s="736">
        <v>44868</v>
      </c>
      <c r="F34" s="736"/>
      <c r="G34" s="736"/>
      <c r="H34" s="736"/>
      <c r="I34" s="736"/>
      <c r="J34" s="737"/>
      <c r="K34" s="737"/>
      <c r="L34" s="737"/>
      <c r="M34" s="737"/>
      <c r="N34" s="755"/>
    </row>
    <row r="35" spans="1:14" ht="36" customHeight="1">
      <c r="A35" s="1952" t="s">
        <v>1119</v>
      </c>
      <c r="B35" s="1953"/>
      <c r="C35" s="1953"/>
      <c r="D35" s="1953"/>
      <c r="E35" s="1953"/>
      <c r="F35" s="1953"/>
      <c r="G35" s="1953"/>
      <c r="H35" s="1953"/>
      <c r="I35" s="1953"/>
      <c r="J35" s="1953"/>
      <c r="K35" s="1953"/>
      <c r="L35" s="1953"/>
      <c r="M35" s="1954"/>
      <c r="N35" s="755"/>
    </row>
    <row r="36" spans="1:14" ht="36.75" customHeight="1">
      <c r="A36" s="768" t="s">
        <v>1120</v>
      </c>
      <c r="B36" s="738">
        <v>35</v>
      </c>
      <c r="C36" s="738">
        <v>35</v>
      </c>
      <c r="D36" s="738">
        <v>35</v>
      </c>
      <c r="E36" s="738">
        <v>35</v>
      </c>
      <c r="F36" s="738"/>
      <c r="G36" s="738"/>
      <c r="H36" s="738"/>
      <c r="I36" s="738"/>
      <c r="J36" s="738"/>
      <c r="K36" s="738"/>
      <c r="L36" s="738"/>
      <c r="M36" s="738"/>
      <c r="N36" s="755"/>
    </row>
    <row r="37" spans="1:14" ht="48">
      <c r="A37" s="770" t="s">
        <v>1121</v>
      </c>
      <c r="B37" s="738">
        <v>91</v>
      </c>
      <c r="C37" s="738">
        <v>90</v>
      </c>
      <c r="D37" s="738">
        <v>90</v>
      </c>
      <c r="E37" s="738">
        <v>89</v>
      </c>
      <c r="F37" s="738"/>
      <c r="G37" s="738"/>
      <c r="H37" s="738"/>
      <c r="I37" s="738"/>
      <c r="J37" s="738"/>
      <c r="K37" s="738"/>
      <c r="L37" s="738"/>
      <c r="M37" s="738"/>
      <c r="N37" s="766"/>
    </row>
    <row r="38" spans="1:14">
      <c r="A38" s="762" t="s">
        <v>1108</v>
      </c>
      <c r="B38" s="737">
        <f>+B37+B36</f>
        <v>126</v>
      </c>
      <c r="C38" s="737">
        <f>SUM(C36:C37)</f>
        <v>125</v>
      </c>
      <c r="D38" s="737">
        <f>SUM(D36:D37)</f>
        <v>125</v>
      </c>
      <c r="E38" s="737">
        <v>124</v>
      </c>
      <c r="F38" s="737"/>
      <c r="G38" s="737"/>
      <c r="H38" s="737"/>
      <c r="I38" s="737"/>
      <c r="J38" s="737"/>
      <c r="K38" s="737"/>
      <c r="L38" s="737"/>
      <c r="M38" s="737"/>
      <c r="N38" s="755"/>
    </row>
    <row r="39" spans="1:14" ht="45.75" customHeight="1">
      <c r="A39" s="1952" t="s">
        <v>1122</v>
      </c>
      <c r="B39" s="1953"/>
      <c r="C39" s="1953"/>
      <c r="D39" s="1953"/>
      <c r="E39" s="1953"/>
      <c r="F39" s="1953"/>
      <c r="G39" s="1953"/>
      <c r="H39" s="1953"/>
      <c r="I39" s="1953"/>
      <c r="J39" s="1953"/>
      <c r="K39" s="1953"/>
      <c r="L39" s="1953"/>
      <c r="M39" s="1954"/>
      <c r="N39" s="755"/>
    </row>
    <row r="40" spans="1:14" ht="25.5">
      <c r="A40" s="771" t="s">
        <v>1123</v>
      </c>
      <c r="B40" s="738">
        <v>494</v>
      </c>
      <c r="C40" s="772">
        <v>494</v>
      </c>
      <c r="D40" s="738">
        <v>513</v>
      </c>
      <c r="E40" s="772">
        <v>522</v>
      </c>
      <c r="F40" s="772"/>
      <c r="G40" s="772"/>
      <c r="H40" s="772"/>
      <c r="I40" s="772"/>
      <c r="J40" s="772"/>
      <c r="K40" s="772"/>
      <c r="L40" s="772"/>
      <c r="M40" s="772"/>
      <c r="N40" s="765"/>
    </row>
    <row r="41" spans="1:14" ht="38.25">
      <c r="A41" s="771" t="s">
        <v>1124</v>
      </c>
      <c r="B41" s="738">
        <v>36</v>
      </c>
      <c r="C41" s="738">
        <v>36</v>
      </c>
      <c r="D41" s="738">
        <v>36</v>
      </c>
      <c r="E41" s="738">
        <v>36</v>
      </c>
      <c r="F41" s="738"/>
      <c r="G41" s="738"/>
      <c r="H41" s="738"/>
      <c r="I41" s="738"/>
      <c r="J41" s="738"/>
      <c r="K41" s="738"/>
      <c r="L41" s="738"/>
      <c r="M41" s="738"/>
      <c r="N41" s="766"/>
    </row>
    <row r="42" spans="1:14">
      <c r="A42" s="773" t="s">
        <v>1125</v>
      </c>
      <c r="B42" s="737">
        <f>+B41+B40</f>
        <v>530</v>
      </c>
      <c r="C42" s="904">
        <f>SUM(C40:C41)</f>
        <v>530</v>
      </c>
      <c r="D42" s="904">
        <f>SUM(D40:D41)</f>
        <v>549</v>
      </c>
      <c r="E42" s="737">
        <v>558</v>
      </c>
      <c r="F42" s="737"/>
      <c r="G42" s="737"/>
      <c r="H42" s="737"/>
      <c r="I42" s="736"/>
      <c r="J42" s="904"/>
      <c r="K42" s="904"/>
      <c r="L42" s="904"/>
      <c r="M42" s="904"/>
      <c r="N42" s="755"/>
    </row>
    <row r="43" spans="1:14" ht="29.25" customHeight="1">
      <c r="A43" s="1952" t="s">
        <v>1126</v>
      </c>
      <c r="B43" s="1953"/>
      <c r="C43" s="1953"/>
      <c r="D43" s="1953"/>
      <c r="E43" s="1953"/>
      <c r="F43" s="1953"/>
      <c r="G43" s="1953"/>
      <c r="H43" s="1953"/>
      <c r="I43" s="1953"/>
      <c r="J43" s="1953"/>
      <c r="K43" s="1953"/>
      <c r="L43" s="1953"/>
      <c r="M43" s="1954"/>
      <c r="N43" s="755"/>
    </row>
    <row r="44" spans="1:14">
      <c r="A44" s="760" t="s">
        <v>1106</v>
      </c>
      <c r="B44" s="738">
        <v>19261</v>
      </c>
      <c r="C44" s="738">
        <v>19484</v>
      </c>
      <c r="D44" s="738">
        <v>22619</v>
      </c>
      <c r="E44" s="738">
        <v>31641</v>
      </c>
      <c r="F44" s="738"/>
      <c r="G44" s="738"/>
      <c r="H44" s="738"/>
      <c r="I44" s="738"/>
      <c r="J44" s="738"/>
      <c r="K44" s="738"/>
      <c r="L44" s="738"/>
      <c r="M44" s="738"/>
      <c r="N44" s="765"/>
    </row>
    <row r="45" spans="1:14" ht="15.75" customHeight="1">
      <c r="A45" s="760" t="s">
        <v>1107</v>
      </c>
      <c r="B45" s="738">
        <v>2537</v>
      </c>
      <c r="C45" s="738">
        <v>2564</v>
      </c>
      <c r="D45" s="738">
        <v>2571</v>
      </c>
      <c r="E45" s="738">
        <v>2610</v>
      </c>
      <c r="F45" s="738"/>
      <c r="G45" s="738"/>
      <c r="H45" s="738"/>
      <c r="I45" s="738"/>
      <c r="J45" s="738"/>
      <c r="K45" s="738"/>
      <c r="L45" s="738"/>
      <c r="M45" s="738"/>
      <c r="N45" s="766"/>
    </row>
    <row r="46" spans="1:14" ht="25.5">
      <c r="A46" s="771" t="s">
        <v>1127</v>
      </c>
      <c r="B46" s="738">
        <v>93</v>
      </c>
      <c r="C46" s="738">
        <v>32</v>
      </c>
      <c r="D46" s="738">
        <v>0</v>
      </c>
      <c r="E46" s="943">
        <v>0</v>
      </c>
      <c r="F46" s="738"/>
      <c r="G46" s="738"/>
      <c r="H46" s="738"/>
      <c r="I46" s="738"/>
      <c r="J46" s="738"/>
      <c r="K46" s="738"/>
      <c r="L46" s="738"/>
      <c r="M46" s="738"/>
      <c r="N46" s="764"/>
    </row>
    <row r="47" spans="1:14">
      <c r="A47" s="762" t="s">
        <v>976</v>
      </c>
      <c r="B47" s="737">
        <f>+B44+B45+B46</f>
        <v>21891</v>
      </c>
      <c r="C47" s="737">
        <f>SUM(C44:C46)</f>
        <v>22080</v>
      </c>
      <c r="D47" s="737">
        <f>SUM(D44:D46)</f>
        <v>25190</v>
      </c>
      <c r="E47" s="737">
        <v>34251</v>
      </c>
      <c r="F47" s="737"/>
      <c r="G47" s="737"/>
      <c r="H47" s="737"/>
      <c r="I47" s="736"/>
      <c r="J47" s="736"/>
      <c r="K47" s="737"/>
      <c r="L47" s="737"/>
      <c r="M47" s="737"/>
      <c r="N47" s="774" t="s">
        <v>729</v>
      </c>
    </row>
    <row r="48" spans="1:14" ht="37.5" customHeight="1">
      <c r="A48" s="1952" t="s">
        <v>1132</v>
      </c>
      <c r="B48" s="1953"/>
      <c r="C48" s="1953"/>
      <c r="D48" s="1953"/>
      <c r="E48" s="1953"/>
      <c r="F48" s="1953"/>
      <c r="G48" s="1953"/>
      <c r="H48" s="1953"/>
      <c r="I48" s="1953"/>
      <c r="J48" s="1953"/>
      <c r="K48" s="1953"/>
      <c r="L48" s="1953"/>
      <c r="M48" s="1954"/>
      <c r="N48" s="764"/>
    </row>
    <row r="49" spans="1:15">
      <c r="A49" s="760" t="s">
        <v>1106</v>
      </c>
      <c r="B49" s="738">
        <v>435</v>
      </c>
      <c r="C49" s="738">
        <v>440</v>
      </c>
      <c r="D49" s="738">
        <v>445</v>
      </c>
      <c r="E49" s="738">
        <v>446</v>
      </c>
      <c r="F49" s="738"/>
      <c r="G49" s="738"/>
      <c r="H49" s="738"/>
      <c r="I49" s="738"/>
      <c r="J49" s="738"/>
      <c r="K49" s="738"/>
      <c r="L49" s="738"/>
      <c r="M49" s="738"/>
      <c r="N49" s="765"/>
    </row>
    <row r="50" spans="1:15">
      <c r="A50" s="760" t="s">
        <v>1107</v>
      </c>
      <c r="B50" s="738">
        <v>4787</v>
      </c>
      <c r="C50" s="738">
        <v>4789</v>
      </c>
      <c r="D50" s="738">
        <v>4821</v>
      </c>
      <c r="E50" s="738">
        <v>4860</v>
      </c>
      <c r="F50" s="738"/>
      <c r="G50" s="738"/>
      <c r="H50" s="738"/>
      <c r="I50" s="738"/>
      <c r="J50" s="738"/>
      <c r="K50" s="738"/>
      <c r="L50" s="738"/>
      <c r="M50" s="738"/>
      <c r="N50" s="766"/>
      <c r="O50" s="7"/>
    </row>
    <row r="51" spans="1:15">
      <c r="A51" s="760" t="s">
        <v>1263</v>
      </c>
      <c r="B51" s="738">
        <v>19</v>
      </c>
      <c r="C51" s="738">
        <v>21</v>
      </c>
      <c r="D51" s="738">
        <v>25</v>
      </c>
      <c r="E51" s="738">
        <v>25</v>
      </c>
      <c r="F51" s="738"/>
      <c r="G51" s="738"/>
      <c r="H51" s="738"/>
      <c r="I51" s="738"/>
      <c r="J51" s="738"/>
      <c r="K51" s="738"/>
      <c r="L51" s="738"/>
      <c r="M51" s="738"/>
      <c r="N51" s="766"/>
      <c r="O51" s="7"/>
    </row>
    <row r="52" spans="1:15">
      <c r="A52" s="760" t="s">
        <v>1264</v>
      </c>
      <c r="B52" s="738">
        <v>127</v>
      </c>
      <c r="C52" s="738">
        <v>127</v>
      </c>
      <c r="D52" s="738">
        <v>127</v>
      </c>
      <c r="E52" s="738">
        <v>129</v>
      </c>
      <c r="F52" s="738"/>
      <c r="G52" s="738"/>
      <c r="H52" s="738"/>
      <c r="I52" s="738"/>
      <c r="J52" s="738"/>
      <c r="K52" s="738"/>
      <c r="L52" s="738"/>
      <c r="M52" s="738"/>
      <c r="N52" s="766"/>
    </row>
    <row r="53" spans="1:15">
      <c r="A53" s="760" t="s">
        <v>1265</v>
      </c>
      <c r="B53" s="738"/>
      <c r="C53" s="738"/>
      <c r="D53" s="738">
        <v>78</v>
      </c>
      <c r="E53" s="738">
        <v>93</v>
      </c>
      <c r="F53" s="738"/>
      <c r="G53" s="738"/>
      <c r="H53" s="738"/>
      <c r="I53" s="738"/>
      <c r="J53" s="738"/>
      <c r="K53" s="738"/>
      <c r="L53" s="738"/>
      <c r="M53" s="738"/>
      <c r="N53" s="766"/>
    </row>
    <row r="54" spans="1:15">
      <c r="A54" s="762" t="s">
        <v>976</v>
      </c>
      <c r="B54" s="737">
        <f>SUM(B49:B52)</f>
        <v>5368</v>
      </c>
      <c r="C54" s="737">
        <f>SUM(C49:C52)</f>
        <v>5377</v>
      </c>
      <c r="D54" s="737">
        <f>SUM(D49:D53)</f>
        <v>5496</v>
      </c>
      <c r="E54" s="737">
        <f>SUM(E49:E53)</f>
        <v>5553</v>
      </c>
      <c r="F54" s="737"/>
      <c r="G54" s="737"/>
      <c r="H54" s="737"/>
      <c r="I54" s="736"/>
      <c r="J54" s="736"/>
      <c r="K54" s="737"/>
      <c r="L54" s="737"/>
      <c r="M54" s="737"/>
      <c r="N54" s="774" t="s">
        <v>729</v>
      </c>
    </row>
    <row r="55" spans="1:15">
      <c r="A55" s="762"/>
      <c r="B55" s="737"/>
      <c r="C55" s="737"/>
      <c r="D55" s="737"/>
      <c r="E55" s="737"/>
      <c r="F55" s="737"/>
      <c r="G55" s="737"/>
      <c r="H55" s="737"/>
      <c r="I55" s="736"/>
      <c r="J55" s="736"/>
      <c r="K55" s="737"/>
      <c r="L55" s="737"/>
      <c r="M55" s="737"/>
      <c r="N55" s="774"/>
    </row>
    <row r="56" spans="1:15">
      <c r="A56" s="776" t="s">
        <v>1128</v>
      </c>
      <c r="B56" s="777">
        <f>+B7+B11+B15+B19+B23+B27+B34+B38+B42+B44+B45+B49+B50+B51+B52</f>
        <v>105231</v>
      </c>
      <c r="C56" s="777">
        <f>+C7+C11+C15+C19+C23+C27+C34+C38+C42+C44+C45+C49+C50+C51+C52</f>
        <v>105287</v>
      </c>
      <c r="D56" s="777">
        <f>+D7+D11+D15+D19+D23+D27+D34+D38+D42+D44+D45+D49+D50+D51+D52+D53</f>
        <v>108430</v>
      </c>
      <c r="E56" s="777">
        <f>+E7+E11+E15+E19+E23+E27+E34+E38+E42+E44+E45+E49+E50+E51+E52+E53</f>
        <v>117475</v>
      </c>
      <c r="F56" s="737"/>
      <c r="G56" s="737"/>
      <c r="H56" s="737"/>
      <c r="I56" s="777"/>
      <c r="J56" s="777"/>
      <c r="K56" s="777"/>
      <c r="L56" s="777"/>
      <c r="M56" s="777"/>
      <c r="N56" s="767"/>
      <c r="O56" s="7"/>
    </row>
    <row r="57" spans="1:15">
      <c r="A57" s="778" t="s">
        <v>1149</v>
      </c>
      <c r="B57" s="755"/>
      <c r="C57" s="755"/>
      <c r="D57" s="755"/>
      <c r="E57" s="775"/>
      <c r="F57" s="755"/>
      <c r="G57" s="755"/>
      <c r="H57" s="755"/>
      <c r="I57" s="755"/>
      <c r="J57" s="755"/>
      <c r="K57" s="755"/>
      <c r="L57" s="755"/>
      <c r="M57" s="755"/>
      <c r="N57" s="767"/>
    </row>
    <row r="58" spans="1:15">
      <c r="A58" s="778" t="s">
        <v>1091</v>
      </c>
      <c r="B58" s="755"/>
      <c r="C58" s="755"/>
      <c r="D58" s="755"/>
      <c r="E58" s="775"/>
      <c r="F58" s="755"/>
      <c r="G58" s="755"/>
      <c r="H58" s="755"/>
      <c r="I58" s="755"/>
      <c r="J58" s="755"/>
      <c r="K58" s="755"/>
      <c r="L58" s="755"/>
      <c r="M58" s="755"/>
      <c r="N58" s="767"/>
    </row>
    <row r="59" spans="1:15">
      <c r="A59" s="778" t="s">
        <v>1168</v>
      </c>
      <c r="B59" s="755"/>
      <c r="C59" s="755"/>
      <c r="D59" s="755"/>
      <c r="E59" s="775"/>
      <c r="F59" s="755"/>
      <c r="G59" s="755"/>
      <c r="H59" s="755"/>
      <c r="I59" s="755"/>
      <c r="J59" s="755"/>
      <c r="K59" s="755"/>
      <c r="L59" s="755"/>
      <c r="M59" s="755"/>
      <c r="N59" s="767"/>
    </row>
    <row r="60" spans="1:15">
      <c r="A60" s="779"/>
      <c r="B60" s="755"/>
      <c r="C60" s="755"/>
      <c r="D60" s="755"/>
      <c r="E60" s="775"/>
      <c r="F60" s="755"/>
      <c r="G60" s="755"/>
      <c r="H60" s="755"/>
      <c r="I60" s="755"/>
      <c r="J60" s="755"/>
      <c r="K60" s="761"/>
      <c r="L60" s="755"/>
      <c r="M60" s="755"/>
      <c r="N60" s="767"/>
    </row>
    <row r="61" spans="1:15">
      <c r="A61" s="755" t="s">
        <v>729</v>
      </c>
      <c r="B61" s="755"/>
      <c r="C61" s="755"/>
      <c r="D61" s="755"/>
      <c r="E61" s="775"/>
      <c r="F61" s="755"/>
      <c r="G61" s="755"/>
      <c r="H61" s="755"/>
      <c r="I61" s="755"/>
      <c r="J61" s="755"/>
      <c r="K61" s="755"/>
      <c r="L61" s="755"/>
      <c r="M61" s="755"/>
      <c r="N61" s="767"/>
    </row>
    <row r="62" spans="1:15">
      <c r="A62" s="755"/>
      <c r="B62" s="769"/>
      <c r="C62" s="769"/>
      <c r="D62" s="755"/>
      <c r="E62" s="775"/>
      <c r="F62" s="755"/>
      <c r="G62" s="755"/>
      <c r="H62" s="755"/>
      <c r="I62" s="755"/>
      <c r="J62" s="755"/>
      <c r="K62" s="755"/>
      <c r="L62" s="755"/>
      <c r="M62" s="755"/>
      <c r="N62" s="767"/>
    </row>
    <row r="63" spans="1:15">
      <c r="A63" s="755"/>
      <c r="B63" s="761"/>
      <c r="C63" s="761"/>
      <c r="D63" s="755"/>
      <c r="E63" s="775"/>
      <c r="F63" s="755"/>
      <c r="G63" s="755"/>
      <c r="H63" s="755"/>
      <c r="I63" s="755"/>
      <c r="J63" s="755"/>
      <c r="K63" s="755"/>
      <c r="L63" s="755"/>
      <c r="M63" s="755"/>
      <c r="N63" s="767"/>
    </row>
    <row r="64" spans="1:15">
      <c r="A64" s="755"/>
      <c r="B64" s="755"/>
      <c r="C64" s="761"/>
      <c r="D64" s="755"/>
      <c r="E64" s="775"/>
      <c r="F64" s="755"/>
      <c r="G64" s="755"/>
      <c r="H64" s="755"/>
      <c r="I64" s="755"/>
      <c r="J64" s="755"/>
      <c r="K64" s="755"/>
      <c r="L64" s="755"/>
      <c r="M64" s="755"/>
      <c r="N64" s="767"/>
    </row>
    <row r="65" spans="1:14">
      <c r="A65" s="755"/>
      <c r="B65" s="755"/>
      <c r="C65" s="755"/>
      <c r="D65" s="755"/>
      <c r="E65" s="775"/>
      <c r="F65" s="755"/>
      <c r="G65" s="755"/>
      <c r="H65" s="755"/>
      <c r="I65" s="755"/>
      <c r="J65" s="755"/>
      <c r="K65" s="755"/>
      <c r="L65" s="755"/>
      <c r="M65" s="755"/>
      <c r="N65" s="767"/>
    </row>
    <row r="66" spans="1:14">
      <c r="A66" s="755"/>
      <c r="B66" s="761"/>
      <c r="C66" s="761"/>
      <c r="D66" s="755"/>
      <c r="E66" s="775"/>
      <c r="F66" s="755"/>
      <c r="G66" s="755"/>
      <c r="H66" s="755"/>
      <c r="I66" s="755"/>
      <c r="J66" s="755"/>
      <c r="K66" s="755"/>
      <c r="L66" s="755"/>
      <c r="M66" s="755"/>
      <c r="N66" s="767"/>
    </row>
    <row r="67" spans="1:14">
      <c r="A67" s="755"/>
      <c r="B67" s="755"/>
      <c r="C67" s="761"/>
      <c r="D67" s="755"/>
      <c r="E67" s="775"/>
      <c r="F67" s="755"/>
      <c r="G67" s="755"/>
      <c r="H67" s="755"/>
      <c r="I67" s="755"/>
      <c r="J67" s="755"/>
      <c r="K67" s="755"/>
      <c r="L67" s="755"/>
      <c r="M67" s="755"/>
      <c r="N67" s="767"/>
    </row>
    <row r="68" spans="1:14">
      <c r="A68" s="755"/>
      <c r="B68" s="755"/>
      <c r="C68" s="761"/>
      <c r="D68" s="755"/>
      <c r="E68" s="775"/>
      <c r="F68" s="755"/>
      <c r="G68" s="755"/>
      <c r="H68" s="755"/>
      <c r="I68" s="755"/>
      <c r="J68" s="755"/>
      <c r="K68" s="755"/>
      <c r="L68" s="755"/>
      <c r="M68" s="755"/>
      <c r="N68" s="767"/>
    </row>
    <row r="69" spans="1:14">
      <c r="A69" s="755"/>
      <c r="B69" s="755"/>
      <c r="C69" s="755"/>
      <c r="D69" s="755"/>
      <c r="E69" s="775"/>
      <c r="F69" s="769"/>
      <c r="G69" s="755"/>
      <c r="H69" s="755"/>
      <c r="I69" s="755"/>
      <c r="J69" s="755"/>
      <c r="K69" s="755"/>
      <c r="L69" s="755"/>
      <c r="M69" s="755"/>
      <c r="N69" s="767"/>
    </row>
    <row r="70" spans="1:14">
      <c r="A70" s="755"/>
      <c r="B70" s="755"/>
      <c r="C70" s="755"/>
      <c r="D70" s="755"/>
      <c r="E70" s="775"/>
      <c r="F70" s="755"/>
      <c r="G70" s="755"/>
      <c r="H70" s="755"/>
      <c r="I70" s="755"/>
      <c r="J70" s="755"/>
      <c r="K70" s="755"/>
      <c r="L70" s="755"/>
      <c r="M70" s="755"/>
      <c r="N70" s="822"/>
    </row>
    <row r="71" spans="1:14">
      <c r="A71" s="755"/>
      <c r="B71" s="755"/>
      <c r="C71" s="755"/>
      <c r="D71" s="755"/>
      <c r="E71" s="775"/>
      <c r="F71" s="755"/>
      <c r="G71" s="755"/>
      <c r="H71" s="755"/>
      <c r="I71" s="755"/>
      <c r="J71" s="755"/>
      <c r="K71" s="755"/>
      <c r="L71" s="755"/>
      <c r="M71" s="755"/>
      <c r="N71" s="822"/>
    </row>
    <row r="72" spans="1:14">
      <c r="A72" s="767"/>
      <c r="B72" s="767"/>
      <c r="C72" s="767"/>
      <c r="D72" s="767"/>
      <c r="E72" s="775"/>
      <c r="F72" s="767"/>
      <c r="G72" s="767"/>
      <c r="H72" s="767"/>
      <c r="I72" s="767"/>
      <c r="J72" s="767"/>
      <c r="K72" s="767"/>
      <c r="L72" s="767"/>
      <c r="M72" s="767"/>
      <c r="N72" s="822"/>
    </row>
    <row r="73" spans="1:14">
      <c r="A73" s="767"/>
      <c r="B73" s="767"/>
      <c r="C73" s="767"/>
      <c r="D73" s="767"/>
      <c r="E73" s="775"/>
      <c r="F73" s="767"/>
      <c r="G73" s="767"/>
      <c r="H73" s="767"/>
      <c r="I73" s="767"/>
      <c r="J73" s="767"/>
      <c r="K73" s="767"/>
      <c r="L73" s="767"/>
      <c r="M73" s="767"/>
      <c r="N73" s="822"/>
    </row>
    <row r="74" spans="1:14">
      <c r="A74" s="767"/>
      <c r="B74" s="767"/>
      <c r="C74" s="767"/>
      <c r="D74" s="767"/>
      <c r="E74" s="775"/>
      <c r="F74" s="767"/>
      <c r="G74" s="767"/>
      <c r="H74" s="767"/>
      <c r="I74" s="767"/>
      <c r="J74" s="767"/>
      <c r="K74" s="767"/>
      <c r="L74" s="767"/>
      <c r="M74" s="767"/>
      <c r="N74" s="822"/>
    </row>
    <row r="75" spans="1:14">
      <c r="A75" s="767"/>
      <c r="B75" s="767"/>
      <c r="C75" s="767"/>
      <c r="D75" s="767"/>
      <c r="E75" s="775"/>
      <c r="F75" s="767"/>
      <c r="G75" s="767"/>
      <c r="H75" s="767"/>
      <c r="I75" s="767"/>
      <c r="J75" s="767"/>
      <c r="K75" s="767"/>
      <c r="L75" s="767"/>
      <c r="M75" s="767"/>
      <c r="N75" s="822"/>
    </row>
    <row r="76" spans="1:14">
      <c r="A76" s="767"/>
      <c r="B76" s="767"/>
      <c r="C76" s="767"/>
      <c r="D76" s="767"/>
      <c r="E76" s="775"/>
      <c r="F76" s="767"/>
      <c r="G76" s="767"/>
      <c r="H76" s="767"/>
      <c r="I76" s="767"/>
      <c r="J76" s="767"/>
      <c r="K76" s="767"/>
      <c r="L76" s="767"/>
      <c r="M76" s="767"/>
      <c r="N76" s="822"/>
    </row>
    <row r="77" spans="1:14">
      <c r="A77" s="767"/>
      <c r="B77" s="767"/>
      <c r="C77" s="767"/>
      <c r="D77" s="767"/>
      <c r="E77" s="775"/>
      <c r="F77" s="767"/>
      <c r="G77" s="767"/>
      <c r="H77" s="767"/>
      <c r="I77" s="767"/>
      <c r="J77" s="767"/>
      <c r="K77" s="767"/>
      <c r="L77" s="767"/>
      <c r="M77" s="767"/>
      <c r="N77" s="822"/>
    </row>
    <row r="78" spans="1:14">
      <c r="A78" s="767"/>
      <c r="B78" s="767"/>
      <c r="C78" s="767"/>
      <c r="D78" s="767"/>
      <c r="E78" s="775"/>
      <c r="F78" s="767"/>
      <c r="G78" s="767"/>
      <c r="H78" s="767"/>
      <c r="I78" s="767"/>
      <c r="J78" s="767"/>
      <c r="K78" s="767"/>
      <c r="L78" s="767"/>
      <c r="M78" s="767"/>
      <c r="N78" s="822"/>
    </row>
    <row r="79" spans="1:14">
      <c r="A79" s="767"/>
      <c r="B79" s="767"/>
      <c r="C79" s="767"/>
      <c r="D79" s="767"/>
      <c r="E79" s="775"/>
      <c r="F79" s="767"/>
      <c r="G79" s="767"/>
      <c r="H79" s="767"/>
      <c r="I79" s="767"/>
      <c r="J79" s="767"/>
      <c r="K79" s="767"/>
      <c r="L79" s="767"/>
      <c r="M79" s="767"/>
      <c r="N79" s="822"/>
    </row>
    <row r="80" spans="1:14">
      <c r="A80" s="767"/>
      <c r="B80" s="767"/>
      <c r="C80" s="767"/>
      <c r="D80" s="767"/>
      <c r="E80" s="775"/>
      <c r="F80" s="767"/>
      <c r="G80" s="767"/>
      <c r="H80" s="767"/>
      <c r="I80" s="767"/>
      <c r="J80" s="767"/>
      <c r="K80" s="767"/>
      <c r="L80" s="767"/>
      <c r="M80" s="767"/>
      <c r="N80" s="822"/>
    </row>
    <row r="81" spans="1:14">
      <c r="A81" s="767"/>
      <c r="B81" s="767"/>
      <c r="C81" s="767"/>
      <c r="D81" s="767"/>
      <c r="E81" s="775"/>
      <c r="F81" s="767"/>
      <c r="G81" s="767"/>
      <c r="H81" s="767"/>
      <c r="I81" s="767"/>
      <c r="J81" s="767"/>
      <c r="K81" s="767"/>
      <c r="L81" s="767"/>
      <c r="M81" s="767"/>
      <c r="N81" s="822"/>
    </row>
    <row r="82" spans="1:14">
      <c r="A82" s="767"/>
      <c r="B82" s="767"/>
      <c r="C82" s="767"/>
      <c r="D82" s="767"/>
      <c r="E82" s="775"/>
      <c r="F82" s="767"/>
      <c r="G82" s="767"/>
      <c r="H82" s="767"/>
      <c r="I82" s="767"/>
      <c r="J82" s="767"/>
      <c r="K82" s="767"/>
      <c r="L82" s="767"/>
      <c r="M82" s="767"/>
      <c r="N82" s="822"/>
    </row>
    <row r="83" spans="1:14">
      <c r="A83" s="767"/>
      <c r="B83" s="767"/>
      <c r="C83" s="767"/>
      <c r="D83" s="767"/>
      <c r="E83" s="775"/>
      <c r="F83" s="767"/>
      <c r="G83" s="767"/>
      <c r="H83" s="767"/>
      <c r="I83" s="767"/>
      <c r="J83" s="767"/>
      <c r="K83" s="767"/>
      <c r="L83" s="767"/>
      <c r="M83" s="767"/>
      <c r="N83" s="822"/>
    </row>
    <row r="84" spans="1:14">
      <c r="A84" s="767"/>
      <c r="B84" s="767"/>
      <c r="C84" s="767"/>
      <c r="D84" s="767"/>
      <c r="E84" s="775"/>
      <c r="F84" s="767"/>
      <c r="G84" s="767"/>
      <c r="H84" s="767"/>
      <c r="I84" s="767"/>
      <c r="J84" s="767"/>
      <c r="K84" s="767"/>
      <c r="L84" s="767"/>
      <c r="M84" s="767"/>
    </row>
    <row r="85" spans="1:14">
      <c r="A85" s="767"/>
      <c r="B85" s="767"/>
      <c r="C85" s="767"/>
      <c r="D85" s="767"/>
      <c r="E85" s="775"/>
      <c r="F85" s="767"/>
      <c r="G85" s="767"/>
      <c r="H85" s="767"/>
      <c r="I85" s="767"/>
      <c r="J85" s="767"/>
      <c r="K85" s="767"/>
      <c r="L85" s="767"/>
      <c r="M85" s="767"/>
    </row>
    <row r="86" spans="1:14">
      <c r="A86" s="822"/>
      <c r="B86" s="822"/>
      <c r="C86" s="822"/>
      <c r="D86" s="822"/>
      <c r="E86" s="775"/>
      <c r="F86" s="822"/>
      <c r="G86" s="822"/>
      <c r="H86" s="822"/>
      <c r="I86" s="822"/>
      <c r="J86" s="822"/>
      <c r="K86" s="822"/>
      <c r="L86" s="822"/>
      <c r="M86" s="822"/>
    </row>
    <row r="87" spans="1:14">
      <c r="A87" s="822"/>
      <c r="B87" s="822"/>
      <c r="C87" s="822"/>
      <c r="D87" s="822"/>
      <c r="E87" s="775"/>
      <c r="F87" s="822"/>
      <c r="G87" s="822"/>
      <c r="H87" s="822"/>
      <c r="I87" s="822"/>
      <c r="J87" s="822"/>
      <c r="K87" s="822"/>
      <c r="L87" s="822"/>
      <c r="M87" s="822"/>
    </row>
    <row r="88" spans="1:14">
      <c r="A88" s="822"/>
      <c r="B88" s="822"/>
      <c r="C88" s="822"/>
      <c r="D88" s="822"/>
      <c r="E88" s="775"/>
      <c r="F88" s="822"/>
      <c r="G88" s="822"/>
      <c r="H88" s="822"/>
      <c r="I88" s="822"/>
      <c r="J88" s="822"/>
      <c r="K88" s="822"/>
      <c r="L88" s="822"/>
      <c r="M88" s="822"/>
    </row>
    <row r="89" spans="1:14">
      <c r="A89" s="822"/>
      <c r="B89" s="822"/>
      <c r="C89" s="822"/>
      <c r="D89" s="822"/>
      <c r="E89" s="775"/>
      <c r="F89" s="822"/>
      <c r="G89" s="822"/>
      <c r="H89" s="822"/>
      <c r="I89" s="822"/>
      <c r="J89" s="822"/>
      <c r="K89" s="822"/>
      <c r="L89" s="822"/>
      <c r="M89" s="822"/>
    </row>
    <row r="90" spans="1:14">
      <c r="A90" s="822"/>
      <c r="B90" s="822"/>
      <c r="C90" s="822"/>
      <c r="D90" s="822"/>
      <c r="E90" s="775"/>
      <c r="F90" s="822"/>
      <c r="G90" s="822"/>
      <c r="H90" s="822"/>
      <c r="I90" s="822"/>
      <c r="J90" s="822"/>
      <c r="K90" s="822"/>
      <c r="L90" s="822"/>
      <c r="M90" s="822"/>
    </row>
    <row r="91" spans="1:14">
      <c r="A91" s="822"/>
      <c r="B91" s="822"/>
      <c r="C91" s="822"/>
      <c r="D91" s="822"/>
      <c r="E91" s="775"/>
      <c r="F91" s="822"/>
      <c r="G91" s="822"/>
      <c r="H91" s="822"/>
      <c r="I91" s="822"/>
      <c r="J91" s="822"/>
      <c r="K91" s="822"/>
      <c r="L91" s="822"/>
      <c r="M91" s="822"/>
    </row>
    <row r="92" spans="1:14">
      <c r="A92" s="822"/>
      <c r="B92" s="822"/>
      <c r="C92" s="822"/>
      <c r="D92" s="822"/>
      <c r="E92" s="775"/>
      <c r="F92" s="822"/>
      <c r="G92" s="822"/>
      <c r="H92" s="822"/>
      <c r="I92" s="822"/>
      <c r="J92" s="822"/>
      <c r="K92" s="822"/>
      <c r="L92" s="822"/>
      <c r="M92" s="822"/>
    </row>
    <row r="93" spans="1:14">
      <c r="A93" s="822"/>
      <c r="B93" s="822"/>
      <c r="C93" s="822"/>
      <c r="D93" s="822"/>
      <c r="E93" s="775"/>
      <c r="F93" s="822"/>
      <c r="G93" s="822"/>
      <c r="H93" s="822"/>
      <c r="I93" s="822"/>
      <c r="J93" s="822"/>
      <c r="K93" s="822"/>
      <c r="L93" s="822"/>
      <c r="M93" s="822"/>
    </row>
    <row r="94" spans="1:14">
      <c r="A94" s="822"/>
      <c r="B94" s="822"/>
      <c r="C94" s="822"/>
      <c r="D94" s="822"/>
      <c r="E94" s="775"/>
      <c r="F94" s="822"/>
      <c r="G94" s="822"/>
      <c r="H94" s="822"/>
      <c r="I94" s="822"/>
      <c r="J94" s="822"/>
      <c r="K94" s="822"/>
      <c r="L94" s="822"/>
      <c r="M94" s="822"/>
    </row>
    <row r="95" spans="1:14">
      <c r="A95" s="822"/>
      <c r="B95" s="822"/>
      <c r="C95" s="822"/>
      <c r="D95" s="822"/>
      <c r="E95" s="775"/>
      <c r="F95" s="822"/>
      <c r="G95" s="822"/>
      <c r="H95" s="822"/>
      <c r="I95" s="822"/>
      <c r="J95" s="822"/>
      <c r="K95" s="822"/>
      <c r="L95" s="822"/>
      <c r="M95" s="822"/>
    </row>
    <row r="96" spans="1:14">
      <c r="A96" s="822"/>
      <c r="B96" s="822"/>
      <c r="C96" s="822"/>
      <c r="D96" s="822"/>
      <c r="E96" s="775"/>
      <c r="F96" s="822"/>
      <c r="G96" s="822"/>
      <c r="H96" s="822"/>
      <c r="I96" s="822"/>
      <c r="J96" s="822"/>
      <c r="K96" s="822"/>
      <c r="L96" s="822"/>
      <c r="M96" s="822"/>
    </row>
    <row r="97" spans="1:13">
      <c r="A97" s="822"/>
      <c r="B97" s="822"/>
      <c r="C97" s="822"/>
      <c r="D97" s="822"/>
      <c r="E97" s="775"/>
      <c r="F97" s="822"/>
      <c r="G97" s="822"/>
      <c r="H97" s="822"/>
      <c r="I97" s="822"/>
      <c r="J97" s="822"/>
      <c r="K97" s="822"/>
      <c r="L97" s="822"/>
      <c r="M97" s="822"/>
    </row>
    <row r="98" spans="1:13">
      <c r="A98" s="822"/>
      <c r="B98" s="822"/>
      <c r="C98" s="822"/>
      <c r="D98" s="822"/>
      <c r="E98" s="775"/>
      <c r="F98" s="822"/>
      <c r="G98" s="822"/>
      <c r="H98" s="822"/>
      <c r="I98" s="822"/>
      <c r="J98" s="822"/>
      <c r="K98" s="822"/>
      <c r="L98" s="822"/>
      <c r="M98" s="822"/>
    </row>
    <row r="99" spans="1:13">
      <c r="A99" s="822"/>
      <c r="B99" s="822"/>
      <c r="C99" s="822"/>
      <c r="D99" s="822"/>
      <c r="E99" s="775"/>
      <c r="F99" s="822"/>
      <c r="G99" s="822"/>
      <c r="H99" s="822"/>
      <c r="I99" s="822"/>
      <c r="J99" s="822"/>
      <c r="K99" s="822"/>
      <c r="L99" s="822"/>
      <c r="M99" s="822"/>
    </row>
    <row r="100" spans="1:13">
      <c r="E100" s="775"/>
    </row>
    <row r="101" spans="1:13">
      <c r="E101" s="775"/>
    </row>
    <row r="102" spans="1:13">
      <c r="E102" s="775"/>
    </row>
    <row r="103" spans="1:13">
      <c r="E103" s="775"/>
    </row>
    <row r="104" spans="1:13">
      <c r="E104" s="775"/>
    </row>
    <row r="105" spans="1:13">
      <c r="E105" s="775"/>
    </row>
    <row r="106" spans="1:13">
      <c r="E106" s="775"/>
    </row>
    <row r="107" spans="1:13">
      <c r="E107" s="775"/>
    </row>
    <row r="108" spans="1:13">
      <c r="E108" s="775"/>
    </row>
    <row r="109" spans="1:13">
      <c r="E109" s="775"/>
    </row>
    <row r="110" spans="1:13">
      <c r="E110" s="775"/>
    </row>
    <row r="111" spans="1:13">
      <c r="E111" s="775"/>
    </row>
    <row r="112" spans="1:13">
      <c r="E112" s="775"/>
    </row>
    <row r="113" spans="5:5">
      <c r="E113" s="775"/>
    </row>
    <row r="114" spans="5:5">
      <c r="E114" s="775"/>
    </row>
    <row r="115" spans="5:5">
      <c r="E115" s="775"/>
    </row>
    <row r="116" spans="5:5">
      <c r="E116" s="775"/>
    </row>
    <row r="117" spans="5:5">
      <c r="E117" s="775"/>
    </row>
    <row r="118" spans="5:5">
      <c r="E118" s="775"/>
    </row>
    <row r="119" spans="5:5">
      <c r="E119" s="775"/>
    </row>
    <row r="120" spans="5:5">
      <c r="E120" s="775"/>
    </row>
    <row r="121" spans="5:5">
      <c r="E121" s="775"/>
    </row>
    <row r="122" spans="5:5">
      <c r="E122" s="775"/>
    </row>
    <row r="123" spans="5:5">
      <c r="E123" s="775"/>
    </row>
    <row r="124" spans="5:5">
      <c r="E124" s="775"/>
    </row>
    <row r="125" spans="5:5">
      <c r="E125" s="775"/>
    </row>
    <row r="126" spans="5:5">
      <c r="E126" s="775"/>
    </row>
    <row r="127" spans="5:5">
      <c r="E127" s="775"/>
    </row>
    <row r="128" spans="5:5">
      <c r="E128" s="775"/>
    </row>
    <row r="129" spans="5:5">
      <c r="E129" s="775"/>
    </row>
    <row r="130" spans="5:5">
      <c r="E130" s="775"/>
    </row>
  </sheetData>
  <mergeCells count="13">
    <mergeCell ref="A1:M1"/>
    <mergeCell ref="A2:M2"/>
    <mergeCell ref="A48:M48"/>
    <mergeCell ref="A43:M43"/>
    <mergeCell ref="A8:M8"/>
    <mergeCell ref="A12:M12"/>
    <mergeCell ref="A16:M16"/>
    <mergeCell ref="A20:M20"/>
    <mergeCell ref="A4:M4"/>
    <mergeCell ref="A24:M24"/>
    <mergeCell ref="A28:M28"/>
    <mergeCell ref="A35:M35"/>
    <mergeCell ref="A39:M39"/>
  </mergeCells>
  <phoneticPr fontId="0" type="noConversion"/>
  <pageMargins left="0.59055118110236227" right="0" top="0.74803149606299213" bottom="0" header="0" footer="0"/>
  <pageSetup paperSize="9" scale="62"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AL58"/>
  <sheetViews>
    <sheetView showGridLines="0" showWhiteSpace="0" topLeftCell="A31" zoomScaleNormal="100" workbookViewId="0">
      <selection activeCell="A2" sqref="A2:M2"/>
    </sheetView>
  </sheetViews>
  <sheetFormatPr defaultRowHeight="14.25"/>
  <cols>
    <col min="1" max="1" width="56.140625" style="4" customWidth="1"/>
    <col min="2" max="2" width="0.140625" style="4" hidden="1" customWidth="1"/>
    <col min="3" max="3" width="13" style="4" hidden="1" customWidth="1"/>
    <col min="4" max="4" width="11.85546875" style="4" hidden="1" customWidth="1"/>
    <col min="5" max="5" width="9.28515625" style="4" hidden="1" customWidth="1"/>
    <col min="6" max="6" width="8" style="4" hidden="1" customWidth="1"/>
    <col min="7" max="7" width="11" style="4" hidden="1" customWidth="1"/>
    <col min="8" max="8" width="12.140625" style="4" hidden="1" customWidth="1"/>
    <col min="9" max="9" width="11.28515625" style="4" hidden="1" customWidth="1"/>
    <col min="10" max="10" width="13.42578125" style="4" hidden="1" customWidth="1"/>
    <col min="11" max="11" width="11.85546875" style="4" customWidth="1"/>
    <col min="12" max="12" width="10.85546875" style="4" customWidth="1"/>
    <col min="13" max="13" width="11" style="4" customWidth="1"/>
    <col min="14" max="14" width="11.42578125" style="4" customWidth="1"/>
    <col min="15" max="15" width="11.85546875" style="4" customWidth="1"/>
    <col min="16" max="16" width="10.7109375" style="415" customWidth="1"/>
    <col min="17" max="17" width="13.85546875" style="4" customWidth="1"/>
    <col min="18" max="18" width="10.5703125" style="415" customWidth="1"/>
    <col min="19" max="19" width="12.28515625" style="4" customWidth="1"/>
    <col min="20" max="20" width="11.28515625" style="415" customWidth="1"/>
    <col min="21" max="21" width="10.85546875" style="4" customWidth="1"/>
    <col min="22" max="22" width="10.5703125" style="4" customWidth="1"/>
    <col min="23" max="23" width="14.42578125" style="4" customWidth="1"/>
    <col min="24" max="24" width="9.140625" style="4"/>
    <col min="25" max="25" width="12.140625" style="739" customWidth="1"/>
    <col min="26" max="26" width="10.140625" style="4" customWidth="1"/>
    <col min="27" max="27" width="10.85546875" style="739" customWidth="1"/>
    <col min="28" max="28" width="10.140625" style="4" customWidth="1"/>
    <col min="29" max="29" width="10.85546875" style="739" customWidth="1"/>
    <col min="30" max="30" width="26.7109375" style="4" customWidth="1"/>
    <col min="31" max="31" width="19.42578125" style="4" customWidth="1"/>
    <col min="32" max="16384" width="9.140625" style="4"/>
  </cols>
  <sheetData>
    <row r="1" spans="1:37" ht="19.5" customHeight="1">
      <c r="A1" s="388" t="s">
        <v>1073</v>
      </c>
      <c r="B1" s="388"/>
      <c r="C1" s="388"/>
      <c r="D1" s="388"/>
      <c r="E1" s="388"/>
      <c r="F1" s="388"/>
      <c r="G1" s="388"/>
      <c r="H1" s="388"/>
      <c r="I1" s="388"/>
      <c r="J1" s="388"/>
      <c r="K1" s="388"/>
      <c r="L1" s="388"/>
      <c r="M1" s="388"/>
      <c r="N1" s="388"/>
      <c r="O1" s="388"/>
      <c r="Q1" s="388"/>
      <c r="S1" s="388"/>
      <c r="U1" s="388"/>
      <c r="V1" s="388"/>
      <c r="W1" s="388"/>
    </row>
    <row r="2" spans="1:37" ht="20.25" customHeight="1" thickBot="1">
      <c r="A2" s="1959" t="s">
        <v>1074</v>
      </c>
      <c r="B2" s="1959"/>
      <c r="C2" s="1959"/>
      <c r="D2" s="1959"/>
      <c r="E2" s="1959"/>
      <c r="F2" s="1959"/>
      <c r="G2" s="1959"/>
      <c r="H2" s="1959"/>
      <c r="I2" s="1959"/>
      <c r="J2" s="1959"/>
      <c r="K2" s="1959"/>
      <c r="L2" s="1959"/>
      <c r="M2" s="1959"/>
      <c r="R2" s="415" t="s">
        <v>729</v>
      </c>
      <c r="T2" s="415" t="s">
        <v>729</v>
      </c>
    </row>
    <row r="3" spans="1:37" ht="15" customHeight="1" thickBot="1">
      <c r="A3" s="1955" t="s">
        <v>982</v>
      </c>
      <c r="B3" s="1956"/>
      <c r="C3" s="1956"/>
      <c r="D3" s="1956"/>
      <c r="E3" s="1956"/>
      <c r="F3" s="1956"/>
      <c r="G3" s="1956"/>
      <c r="H3" s="1956"/>
      <c r="I3" s="1956"/>
      <c r="J3" s="1956"/>
      <c r="K3" s="1956"/>
      <c r="L3" s="1956"/>
      <c r="M3" s="1956"/>
      <c r="N3" s="1956"/>
      <c r="O3" s="1956"/>
      <c r="P3" s="1956"/>
      <c r="Q3" s="1956"/>
      <c r="R3" s="1956"/>
      <c r="S3" s="1956"/>
      <c r="T3" s="1956"/>
      <c r="U3" s="1956"/>
      <c r="V3" s="1956"/>
      <c r="W3" s="1956"/>
      <c r="X3" s="1956"/>
      <c r="Y3" s="1956"/>
      <c r="Z3" s="1956"/>
      <c r="AA3" s="1956"/>
      <c r="AB3" s="1956"/>
      <c r="AC3" s="1957"/>
    </row>
    <row r="4" spans="1:37" ht="58.5" customHeight="1">
      <c r="A4" s="531" t="s">
        <v>577</v>
      </c>
      <c r="B4" s="532">
        <v>2002</v>
      </c>
      <c r="C4" s="532">
        <v>2003</v>
      </c>
      <c r="D4" s="532" t="s">
        <v>605</v>
      </c>
      <c r="E4" s="533">
        <v>2005</v>
      </c>
      <c r="F4" s="534" t="s">
        <v>177</v>
      </c>
      <c r="G4" s="533">
        <v>2006</v>
      </c>
      <c r="H4" s="534" t="s">
        <v>177</v>
      </c>
      <c r="I4" s="533">
        <v>2007</v>
      </c>
      <c r="J4" s="534" t="s">
        <v>177</v>
      </c>
      <c r="K4" s="533">
        <v>2008</v>
      </c>
      <c r="L4" s="534" t="s">
        <v>177</v>
      </c>
      <c r="M4" s="535">
        <v>2009</v>
      </c>
      <c r="N4" s="534" t="s">
        <v>177</v>
      </c>
      <c r="O4" s="536">
        <v>2010</v>
      </c>
      <c r="P4" s="534" t="s">
        <v>177</v>
      </c>
      <c r="Q4" s="536">
        <v>2011</v>
      </c>
      <c r="R4" s="534" t="s">
        <v>177</v>
      </c>
      <c r="S4" s="536">
        <v>2012</v>
      </c>
      <c r="T4" s="534" t="s">
        <v>177</v>
      </c>
      <c r="U4" s="536">
        <v>2013</v>
      </c>
      <c r="V4" s="534" t="s">
        <v>177</v>
      </c>
      <c r="W4" s="536">
        <v>2014</v>
      </c>
      <c r="X4" s="534" t="s">
        <v>177</v>
      </c>
      <c r="Y4" s="536">
        <v>2015</v>
      </c>
      <c r="Z4" s="534" t="s">
        <v>177</v>
      </c>
      <c r="AA4" s="536" t="s">
        <v>1150</v>
      </c>
      <c r="AB4" s="534" t="s">
        <v>177</v>
      </c>
      <c r="AC4" s="741" t="s">
        <v>1165</v>
      </c>
    </row>
    <row r="5" spans="1:37" ht="15" customHeight="1">
      <c r="A5" s="416" t="s">
        <v>983</v>
      </c>
      <c r="B5" s="417"/>
      <c r="C5" s="418">
        <v>177792</v>
      </c>
      <c r="D5" s="419"/>
      <c r="E5" s="420">
        <v>201696</v>
      </c>
      <c r="F5" s="421">
        <f>(E5-C5)/C5*100</f>
        <v>13.444924406047514</v>
      </c>
      <c r="G5" s="422">
        <v>213379</v>
      </c>
      <c r="H5" s="423">
        <f>(G5-E5)/E5*100</f>
        <v>5.7923806124067907</v>
      </c>
      <c r="I5" s="420">
        <v>186445</v>
      </c>
      <c r="J5" s="419">
        <f>(I5-G5)/G5*100</f>
        <v>-12.622610472445741</v>
      </c>
      <c r="K5" s="420">
        <f>20466+18135+20552+20470+20015+18648+17426+15305+17637+17786+14634+18039</f>
        <v>219113</v>
      </c>
      <c r="L5" s="421">
        <f>(K5-I5)/I5*100</f>
        <v>17.521521092011049</v>
      </c>
      <c r="M5" s="420">
        <v>252760</v>
      </c>
      <c r="N5" s="421">
        <f t="shared" ref="N5:N12" si="0">(M5-K5)/K5*100</f>
        <v>15.356003523296199</v>
      </c>
      <c r="O5" s="420">
        <f>21182+21991+22008+24584+22470+20250+19435+19038+18680+17695+16404+18236</f>
        <v>241973</v>
      </c>
      <c r="P5" s="421">
        <f t="shared" ref="P5:P12" si="1">(O5-M5)/M5*100</f>
        <v>-4.2676847602468744</v>
      </c>
      <c r="Q5" s="420">
        <f>19777+25021+22556+24283+22133+23017+21565+21014+22083+23007+23262+19575</f>
        <v>267293</v>
      </c>
      <c r="R5" s="421">
        <f t="shared" ref="R5:R12" si="2">(Q5-O5)/O5*100</f>
        <v>10.463977385906691</v>
      </c>
      <c r="S5" s="420">
        <f>20572+26015+25256+24905+22176+23443+19853+21474+18342+19940+18099+19539</f>
        <v>259614</v>
      </c>
      <c r="T5" s="421">
        <f t="shared" ref="T5:T12" si="3">(S5-Q5)/Q5*100</f>
        <v>-2.8728773293726362</v>
      </c>
      <c r="U5" s="420">
        <v>236547</v>
      </c>
      <c r="V5" s="421">
        <f t="shared" ref="V5:V12" si="4">(U5-S5)/S5*100</f>
        <v>-8.8851140539416207</v>
      </c>
      <c r="W5" s="420">
        <f>18433+28345+23224+20377+23745+22378+20866+19066+17192+19222+16942+22359</f>
        <v>252149</v>
      </c>
      <c r="X5" s="421">
        <f t="shared" ref="X5:AB12" si="5">(W5-U5)/U5*100</f>
        <v>6.5957293899309652</v>
      </c>
      <c r="Y5" s="799">
        <v>335805</v>
      </c>
      <c r="Z5" s="421">
        <f t="shared" si="5"/>
        <v>33.177208713895354</v>
      </c>
      <c r="AA5" s="799">
        <f>23960+31869+32267+32327+23805+28709+28145+22432+21548+21693+25051+27395</f>
        <v>319201</v>
      </c>
      <c r="AB5" s="421">
        <f t="shared" si="5"/>
        <v>-4.9445362636053662</v>
      </c>
      <c r="AC5" s="944">
        <f>25859+28938+28048+32459</f>
        <v>115304</v>
      </c>
    </row>
    <row r="6" spans="1:37" ht="15" customHeight="1">
      <c r="A6" s="424" t="s">
        <v>1025</v>
      </c>
      <c r="B6" s="425"/>
      <c r="C6" s="426">
        <v>4385</v>
      </c>
      <c r="D6" s="222"/>
      <c r="E6" s="427">
        <v>3715</v>
      </c>
      <c r="F6" s="428">
        <f t="shared" ref="F6:F11" si="6">(E6-C6)/C6*100</f>
        <v>-15.279361459521096</v>
      </c>
      <c r="G6" s="427">
        <v>4591</v>
      </c>
      <c r="H6" s="428">
        <f t="shared" ref="H6:H11" si="7">(G6-E6)/E6*100</f>
        <v>23.58008075370121</v>
      </c>
      <c r="I6" s="427">
        <v>4523</v>
      </c>
      <c r="J6" s="429">
        <f t="shared" ref="J6:J11" si="8">(I6-G6)/G6*100</f>
        <v>-1.4811587889348725</v>
      </c>
      <c r="K6" s="427">
        <f>410+374+473+345+321+374+348+361+420+0+337+467-114</f>
        <v>4116</v>
      </c>
      <c r="L6" s="428">
        <f t="shared" ref="L6:L11" si="9">(K6-I6)/I6*100</f>
        <v>-8.9984523546318815</v>
      </c>
      <c r="M6" s="427">
        <v>4702</v>
      </c>
      <c r="N6" s="428">
        <f t="shared" si="0"/>
        <v>14.237123420796891</v>
      </c>
      <c r="O6" s="427">
        <f>499+329+338+430+379+417+474+402+417+415+334+387</f>
        <v>4821</v>
      </c>
      <c r="P6" s="428">
        <f t="shared" si="1"/>
        <v>2.530837941301574</v>
      </c>
      <c r="Q6" s="427">
        <f>417+385+361+552+491+353+485+398+407+450+440+432</f>
        <v>5171</v>
      </c>
      <c r="R6" s="428">
        <f t="shared" si="2"/>
        <v>7.2599045841111804</v>
      </c>
      <c r="S6" s="427">
        <f>546+443+527+548+451+499+495+425+429+440+444+479</f>
        <v>5726</v>
      </c>
      <c r="T6" s="428">
        <f t="shared" si="3"/>
        <v>10.732933668536067</v>
      </c>
      <c r="U6" s="427">
        <v>5558</v>
      </c>
      <c r="V6" s="428">
        <f t="shared" si="4"/>
        <v>-2.9339853300733498</v>
      </c>
      <c r="W6" s="427">
        <f>618+568+616+591+747+866+746+705+593+667+522+682</f>
        <v>7921</v>
      </c>
      <c r="X6" s="428">
        <f t="shared" si="5"/>
        <v>42.515293270960775</v>
      </c>
      <c r="Y6" s="800">
        <v>7688</v>
      </c>
      <c r="Z6" s="428">
        <f t="shared" si="5"/>
        <v>-2.9415477843706603</v>
      </c>
      <c r="AA6" s="800">
        <f>829+612+771+669+570+634+785+469+532+632+590+761</f>
        <v>7854</v>
      </c>
      <c r="AB6" s="428">
        <f t="shared" si="5"/>
        <v>2.1592091571279917</v>
      </c>
      <c r="AC6" s="945">
        <f>773+673+723+858</f>
        <v>3027</v>
      </c>
    </row>
    <row r="7" spans="1:37" ht="15" customHeight="1">
      <c r="A7" s="424" t="s">
        <v>984</v>
      </c>
      <c r="B7" s="425"/>
      <c r="C7" s="426">
        <v>62395</v>
      </c>
      <c r="D7" s="222"/>
      <c r="E7" s="427">
        <v>64494</v>
      </c>
      <c r="F7" s="428">
        <f t="shared" si="6"/>
        <v>3.3640516066992547</v>
      </c>
      <c r="G7" s="427">
        <v>68727</v>
      </c>
      <c r="H7" s="428">
        <f t="shared" si="7"/>
        <v>6.5634012466275928</v>
      </c>
      <c r="I7" s="427">
        <f>104257+8778</f>
        <v>113035</v>
      </c>
      <c r="J7" s="429">
        <f t="shared" si="8"/>
        <v>64.469568000931218</v>
      </c>
      <c r="K7" s="427">
        <f>10799+10805+10368+9751+9371+8980+7936+7199+7711+4350+8161+9355</f>
        <v>104786</v>
      </c>
      <c r="L7" s="428">
        <f t="shared" si="9"/>
        <v>-7.2977396381651696</v>
      </c>
      <c r="M7" s="427">
        <f>8703+7788+8239+8000+7201+7321+8040+7821+7562+6584+6949+5937</f>
        <v>90145</v>
      </c>
      <c r="N7" s="428">
        <f t="shared" si="0"/>
        <v>-13.972286374133949</v>
      </c>
      <c r="O7" s="427">
        <f>8268+5619+2991+11750+6844+6790+6804+6257+6691+6546+5562+6995</f>
        <v>81117</v>
      </c>
      <c r="P7" s="428">
        <f t="shared" si="1"/>
        <v>-10.014975872205891</v>
      </c>
      <c r="Q7" s="427">
        <f>7859+6171+6465+8560+6902+6641+7044+6119+6692+7239+7014+7049</f>
        <v>83755</v>
      </c>
      <c r="R7" s="428">
        <f t="shared" si="2"/>
        <v>3.2520926562865982</v>
      </c>
      <c r="S7" s="427">
        <f>7609+7553+7629+8021+6727+4166+6482+6710+5853+6601+6226+7645</f>
        <v>81222</v>
      </c>
      <c r="T7" s="428">
        <f t="shared" si="3"/>
        <v>-3.0242970568921259</v>
      </c>
      <c r="U7" s="427">
        <v>82839</v>
      </c>
      <c r="V7" s="428">
        <f t="shared" si="4"/>
        <v>1.9908399202186602</v>
      </c>
      <c r="W7" s="427">
        <f>7873+8152+6872+6275+7692+6986+7243+6270+6582+7170+6463+7765</f>
        <v>85343</v>
      </c>
      <c r="X7" s="428">
        <f t="shared" si="5"/>
        <v>3.0227308393389585</v>
      </c>
      <c r="Y7" s="800">
        <v>107365</v>
      </c>
      <c r="Z7" s="428">
        <f t="shared" si="5"/>
        <v>25.804108128376079</v>
      </c>
      <c r="AA7" s="800">
        <f>8728+8305+9269+9154+7394+7789+8341+6227+7015+7582+8724+9001</f>
        <v>97529</v>
      </c>
      <c r="AB7" s="428">
        <f t="shared" si="5"/>
        <v>-9.1612722954407868</v>
      </c>
      <c r="AC7" s="945">
        <f>8988+8429+9162+10047</f>
        <v>36626</v>
      </c>
    </row>
    <row r="8" spans="1:37" ht="15" customHeight="1">
      <c r="A8" s="424" t="s">
        <v>985</v>
      </c>
      <c r="B8" s="425"/>
      <c r="C8" s="426">
        <v>92065</v>
      </c>
      <c r="D8" s="222"/>
      <c r="E8" s="427">
        <v>95622</v>
      </c>
      <c r="F8" s="428">
        <f t="shared" si="6"/>
        <v>3.863574648346277</v>
      </c>
      <c r="G8" s="427">
        <v>99731</v>
      </c>
      <c r="H8" s="428">
        <f t="shared" si="7"/>
        <v>4.2971282759197678</v>
      </c>
      <c r="I8" s="427">
        <v>149172</v>
      </c>
      <c r="J8" s="429">
        <f t="shared" si="8"/>
        <v>49.574355014990324</v>
      </c>
      <c r="K8" s="427">
        <f>15243+15241+14578+13650+12864+12504+11028+10039+10700+6161+11200+13214</f>
        <v>146422</v>
      </c>
      <c r="L8" s="428">
        <f t="shared" si="9"/>
        <v>-1.843509505805379</v>
      </c>
      <c r="M8" s="427">
        <v>134843</v>
      </c>
      <c r="N8" s="428">
        <f t="shared" si="0"/>
        <v>-7.9079646501208831</v>
      </c>
      <c r="O8" s="427">
        <f>12436+8036+5925+17013+10350+10372+10189+9505+10101+9666+8526+10362</f>
        <v>122481</v>
      </c>
      <c r="P8" s="428">
        <f t="shared" si="1"/>
        <v>-9.1676987311169285</v>
      </c>
      <c r="Q8" s="427">
        <f>11873+8664+8833+13275+10218+9621+10378+9195+9802+10737+10649+10828</f>
        <v>124073</v>
      </c>
      <c r="R8" s="428">
        <f t="shared" si="2"/>
        <v>1.2997934373494664</v>
      </c>
      <c r="S8" s="427">
        <f>11472+11588+11736+12762+9987+10062+9384+9574+8354+9732+9044+11288</f>
        <v>124983</v>
      </c>
      <c r="T8" s="428">
        <f t="shared" si="3"/>
        <v>0.73343918499592986</v>
      </c>
      <c r="U8" s="427">
        <v>120170</v>
      </c>
      <c r="V8" s="428">
        <f t="shared" si="4"/>
        <v>-3.8509237256266848</v>
      </c>
      <c r="W8" s="427">
        <f>11501+11638+9731+8895+11115+10204+10361+8996+9488+10557+9500+11292</f>
        <v>123278</v>
      </c>
      <c r="X8" s="428">
        <f t="shared" si="5"/>
        <v>2.586336023966048</v>
      </c>
      <c r="Y8" s="800">
        <v>136459</v>
      </c>
      <c r="Z8" s="428">
        <f t="shared" si="5"/>
        <v>10.692094290952157</v>
      </c>
      <c r="AA8" s="800">
        <f>12630+11870+13291+12973+10622+11245+12143+8847+10582+10940+12726+13119</f>
        <v>140988</v>
      </c>
      <c r="AB8" s="428">
        <f t="shared" si="5"/>
        <v>3.3189456173649226</v>
      </c>
      <c r="AC8" s="945">
        <f>13034+12085+13010+14182</f>
        <v>52311</v>
      </c>
    </row>
    <row r="9" spans="1:37" ht="28.5" customHeight="1">
      <c r="A9" s="430" t="s">
        <v>986</v>
      </c>
      <c r="B9" s="425"/>
      <c r="C9" s="426">
        <v>1596</v>
      </c>
      <c r="D9" s="222"/>
      <c r="E9" s="427">
        <v>1639</v>
      </c>
      <c r="F9" s="428">
        <f t="shared" si="6"/>
        <v>2.6942355889724308</v>
      </c>
      <c r="G9" s="427">
        <v>2267</v>
      </c>
      <c r="H9" s="428">
        <f t="shared" si="7"/>
        <v>38.316046369737641</v>
      </c>
      <c r="I9" s="427">
        <v>1956</v>
      </c>
      <c r="J9" s="429">
        <f t="shared" si="8"/>
        <v>-13.718570798411998</v>
      </c>
      <c r="K9" s="427">
        <f>210+171+177+160+104+127+126+136+138+59+96+178</f>
        <v>1682</v>
      </c>
      <c r="L9" s="428">
        <f t="shared" si="9"/>
        <v>-14.008179959100204</v>
      </c>
      <c r="M9" s="427">
        <v>1885</v>
      </c>
      <c r="N9" s="428">
        <f t="shared" si="0"/>
        <v>12.068965517241379</v>
      </c>
      <c r="O9" s="427">
        <f>231+113+137+173+179+172+190+163+196+165+195+171</f>
        <v>2085</v>
      </c>
      <c r="P9" s="428">
        <f t="shared" si="1"/>
        <v>10.610079575596817</v>
      </c>
      <c r="Q9" s="427">
        <f>190+192+137+203+178+166+152+152+196+204+231+215</f>
        <v>2216</v>
      </c>
      <c r="R9" s="428">
        <f t="shared" si="2"/>
        <v>6.2829736211031175</v>
      </c>
      <c r="S9" s="427">
        <f>229+229+231+197+178+180+179+140+172+149+152+177</f>
        <v>2213</v>
      </c>
      <c r="T9" s="428">
        <f t="shared" si="3"/>
        <v>-0.13537906137184114</v>
      </c>
      <c r="U9" s="427">
        <v>1694</v>
      </c>
      <c r="V9" s="428">
        <f t="shared" si="4"/>
        <v>-23.452327157704474</v>
      </c>
      <c r="W9" s="427">
        <v>1509</v>
      </c>
      <c r="X9" s="428">
        <f t="shared" si="5"/>
        <v>-10.920897284533648</v>
      </c>
      <c r="Y9" s="800">
        <v>3596</v>
      </c>
      <c r="Z9" s="428">
        <f t="shared" si="5"/>
        <v>138.30351225977469</v>
      </c>
      <c r="AA9" s="800">
        <f>443+434+430+486+520+821+747+366+381+303+281+368</f>
        <v>5580</v>
      </c>
      <c r="AB9" s="428">
        <f t="shared" si="5"/>
        <v>55.172413793103445</v>
      </c>
      <c r="AC9" s="945">
        <f>399+272+356+432</f>
        <v>1459</v>
      </c>
    </row>
    <row r="10" spans="1:37" ht="42.75" customHeight="1">
      <c r="A10" s="430" t="s">
        <v>987</v>
      </c>
      <c r="B10" s="425"/>
      <c r="C10" s="426">
        <v>1431</v>
      </c>
      <c r="D10" s="426"/>
      <c r="E10" s="427">
        <v>1675</v>
      </c>
      <c r="F10" s="428">
        <f t="shared" si="6"/>
        <v>17.051013277428375</v>
      </c>
      <c r="G10" s="427">
        <v>1700</v>
      </c>
      <c r="H10" s="428">
        <f t="shared" si="7"/>
        <v>1.4925373134328357</v>
      </c>
      <c r="I10" s="427">
        <f>1615+122</f>
        <v>1737</v>
      </c>
      <c r="J10" s="429">
        <f t="shared" si="8"/>
        <v>2.1764705882352939</v>
      </c>
      <c r="K10" s="427">
        <f>153+170+160+161+159+173+104+96+124+18+13+141</f>
        <v>1472</v>
      </c>
      <c r="L10" s="428">
        <f t="shared" si="9"/>
        <v>-15.256188831318365</v>
      </c>
      <c r="M10" s="427">
        <f>93+102+127+104+155+162+193+270+438+201+502+291</f>
        <v>2638</v>
      </c>
      <c r="N10" s="428">
        <f t="shared" si="0"/>
        <v>79.21195652173914</v>
      </c>
      <c r="O10" s="427">
        <f>410+37+176+351+376+326+334+210+186+204+225+205</f>
        <v>3040</v>
      </c>
      <c r="P10" s="428">
        <f t="shared" si="1"/>
        <v>15.238817285822591</v>
      </c>
      <c r="Q10" s="427">
        <f>259+103+109+403+324+259+314+193+259+278+242+241</f>
        <v>2984</v>
      </c>
      <c r="R10" s="428">
        <f t="shared" si="2"/>
        <v>-1.8421052631578945</v>
      </c>
      <c r="S10" s="427">
        <f>281+219+229+219+226+159+265+207+175+201+139+255</f>
        <v>2575</v>
      </c>
      <c r="T10" s="428">
        <f t="shared" si="3"/>
        <v>-13.706434316353889</v>
      </c>
      <c r="U10" s="427">
        <v>1298</v>
      </c>
      <c r="V10" s="428">
        <f t="shared" si="4"/>
        <v>-49.592233009708735</v>
      </c>
      <c r="W10" s="427">
        <v>1809</v>
      </c>
      <c r="X10" s="428">
        <f t="shared" si="5"/>
        <v>39.368258859784284</v>
      </c>
      <c r="Y10" s="800">
        <v>2758</v>
      </c>
      <c r="Z10" s="428">
        <f t="shared" si="5"/>
        <v>52.459922609176346</v>
      </c>
      <c r="AA10" s="800">
        <f>309+196+283+270+205+282+309+110+258+164+286+304</f>
        <v>2976</v>
      </c>
      <c r="AB10" s="428">
        <f t="shared" si="5"/>
        <v>7.9042784626540978</v>
      </c>
      <c r="AC10" s="945">
        <f>296+245+284+338</f>
        <v>1163</v>
      </c>
    </row>
    <row r="11" spans="1:37" ht="44.25" customHeight="1">
      <c r="A11" s="430" t="s">
        <v>988</v>
      </c>
      <c r="B11" s="431" t="s">
        <v>578</v>
      </c>
      <c r="C11" s="426">
        <v>3000</v>
      </c>
      <c r="D11" s="426"/>
      <c r="E11" s="427">
        <v>3736</v>
      </c>
      <c r="F11" s="428">
        <f t="shared" si="6"/>
        <v>24.533333333333331</v>
      </c>
      <c r="G11" s="427">
        <v>3837</v>
      </c>
      <c r="H11" s="428">
        <f t="shared" si="7"/>
        <v>2.7034261241970019</v>
      </c>
      <c r="I11" s="427">
        <v>3437</v>
      </c>
      <c r="J11" s="429">
        <f t="shared" si="8"/>
        <v>-10.424811050299713</v>
      </c>
      <c r="K11" s="427">
        <f>292+391+362+345+361+423+223+208+248+30+20+300</f>
        <v>3203</v>
      </c>
      <c r="L11" s="428">
        <f t="shared" si="9"/>
        <v>-6.8082630200756471</v>
      </c>
      <c r="M11" s="427">
        <v>5940</v>
      </c>
      <c r="N11" s="428">
        <f t="shared" si="0"/>
        <v>85.451139556665623</v>
      </c>
      <c r="O11" s="427">
        <f>856+128+335+703+794+617+741+430+341+408+476+409</f>
        <v>6238</v>
      </c>
      <c r="P11" s="428">
        <f t="shared" si="1"/>
        <v>5.0168350168350164</v>
      </c>
      <c r="Q11" s="427">
        <f>493+208+224+839+690+574+659+412+529+574+514+466</f>
        <v>6182</v>
      </c>
      <c r="R11" s="428">
        <f t="shared" si="2"/>
        <v>-0.89772362936838734</v>
      </c>
      <c r="S11" s="427">
        <f>551+451+451+439+448+348+490+420+329+410+245+458</f>
        <v>5040</v>
      </c>
      <c r="T11" s="428">
        <f t="shared" si="3"/>
        <v>-18.472986088644454</v>
      </c>
      <c r="U11" s="427">
        <v>2242</v>
      </c>
      <c r="V11" s="428">
        <f t="shared" si="4"/>
        <v>-55.515873015873019</v>
      </c>
      <c r="W11" s="427">
        <v>3377</v>
      </c>
      <c r="X11" s="428">
        <f t="shared" si="5"/>
        <v>50.62444246208743</v>
      </c>
      <c r="Y11" s="800">
        <v>5109</v>
      </c>
      <c r="Z11" s="428">
        <f t="shared" si="5"/>
        <v>51.288125555226529</v>
      </c>
      <c r="AA11" s="800">
        <f>530+359+563+482+373+513+582+196+485+280+491+545</f>
        <v>5399</v>
      </c>
      <c r="AB11" s="428">
        <f t="shared" si="5"/>
        <v>5.6762575846545316</v>
      </c>
      <c r="AC11" s="945">
        <f>518+469+507+659</f>
        <v>2153</v>
      </c>
    </row>
    <row r="12" spans="1:37" ht="21.75" customHeight="1" thickBot="1">
      <c r="A12" s="852" t="s">
        <v>989</v>
      </c>
      <c r="B12" s="853"/>
      <c r="C12" s="847">
        <f>+C5+C6+C8+C9+C11</f>
        <v>278838</v>
      </c>
      <c r="D12" s="847"/>
      <c r="E12" s="854">
        <f>+E5+E6+E8+E9+E11</f>
        <v>306408</v>
      </c>
      <c r="F12" s="855">
        <f>(E12-C12)/C12*100</f>
        <v>9.8874615368063168</v>
      </c>
      <c r="G12" s="854">
        <f>+G5+G6+G8+G9+G11</f>
        <v>323805</v>
      </c>
      <c r="H12" s="855">
        <f>(G12-E12)/E12*100</f>
        <v>5.6777238192214297</v>
      </c>
      <c r="I12" s="854">
        <f>+I5+I6+I8+I9+I11</f>
        <v>345533</v>
      </c>
      <c r="J12" s="856">
        <f>(I12-G12)/G12*100</f>
        <v>6.7102113926591631</v>
      </c>
      <c r="K12" s="854">
        <f>+K5+K6+K8+K9+K11</f>
        <v>374536</v>
      </c>
      <c r="L12" s="855">
        <f>(K12-I12)/I12*100</f>
        <v>8.393699009935375</v>
      </c>
      <c r="M12" s="854">
        <f>+M5+M6+M8+M9+M11</f>
        <v>400130</v>
      </c>
      <c r="N12" s="855">
        <f t="shared" si="0"/>
        <v>6.8335220112352353</v>
      </c>
      <c r="O12" s="854">
        <f>+O5+O6+O8+O9+O11</f>
        <v>377598</v>
      </c>
      <c r="P12" s="855">
        <f t="shared" si="1"/>
        <v>-5.631169869792318</v>
      </c>
      <c r="Q12" s="854">
        <f>+Q5+Q6+Q8+Q9+Q11</f>
        <v>404935</v>
      </c>
      <c r="R12" s="855">
        <f t="shared" si="2"/>
        <v>7.2397099560908691</v>
      </c>
      <c r="S12" s="854">
        <f>+S5+S6+S8+S9+S11</f>
        <v>397576</v>
      </c>
      <c r="T12" s="855">
        <f t="shared" si="3"/>
        <v>-1.8173287070764443</v>
      </c>
      <c r="U12" s="854">
        <v>366211</v>
      </c>
      <c r="V12" s="855">
        <f t="shared" si="4"/>
        <v>-7.8890576895989701</v>
      </c>
      <c r="W12" s="854">
        <f>+W5+W6+W8+W9+W11</f>
        <v>388234</v>
      </c>
      <c r="X12" s="855">
        <f t="shared" si="5"/>
        <v>6.0137461736539866</v>
      </c>
      <c r="Y12" s="847">
        <v>488657</v>
      </c>
      <c r="Z12" s="855">
        <f t="shared" si="5"/>
        <v>25.866616525085384</v>
      </c>
      <c r="AA12" s="847">
        <f>+AA5+AA6+AA8+AA9+AA11</f>
        <v>479022</v>
      </c>
      <c r="AB12" s="855">
        <f t="shared" si="5"/>
        <v>-1.9717306822576983</v>
      </c>
      <c r="AC12" s="909">
        <f>+AC5+AC6+AC8+AC9+AC11</f>
        <v>174254</v>
      </c>
    </row>
    <row r="13" spans="1:37" ht="19.5" customHeight="1" thickBot="1">
      <c r="A13" s="432"/>
      <c r="B13" s="432"/>
      <c r="C13" s="432"/>
      <c r="D13" s="432"/>
      <c r="E13" s="432"/>
      <c r="F13" s="432"/>
      <c r="G13" s="432"/>
      <c r="H13" s="432"/>
      <c r="I13" s="432"/>
      <c r="M13" s="413"/>
      <c r="N13" s="413"/>
      <c r="O13" s="413"/>
      <c r="P13" s="4"/>
      <c r="Q13" s="413"/>
      <c r="R13" s="210"/>
      <c r="S13" s="433"/>
      <c r="T13" s="210"/>
      <c r="U13" s="433"/>
      <c r="V13" s="433"/>
      <c r="W13" s="433"/>
    </row>
    <row r="14" spans="1:37" ht="16.5" customHeight="1" thickBot="1">
      <c r="A14" s="1955" t="s">
        <v>990</v>
      </c>
      <c r="B14" s="1956"/>
      <c r="C14" s="1956"/>
      <c r="D14" s="1956"/>
      <c r="E14" s="1956"/>
      <c r="F14" s="1956"/>
      <c r="G14" s="1956"/>
      <c r="H14" s="1956"/>
      <c r="I14" s="1956"/>
      <c r="J14" s="1956"/>
      <c r="K14" s="1956"/>
      <c r="L14" s="1956"/>
      <c r="M14" s="1956"/>
      <c r="N14" s="1956"/>
      <c r="O14" s="1956"/>
      <c r="P14" s="1956"/>
      <c r="Q14" s="1956"/>
      <c r="R14" s="1956"/>
      <c r="S14" s="1956"/>
      <c r="T14" s="1956"/>
      <c r="U14" s="1956"/>
      <c r="V14" s="1956"/>
      <c r="W14" s="1956"/>
      <c r="X14" s="1956"/>
      <c r="Y14" s="1956"/>
      <c r="Z14" s="1956"/>
      <c r="AA14" s="1956"/>
      <c r="AB14" s="1956"/>
      <c r="AC14" s="1957"/>
    </row>
    <row r="15" spans="1:37" ht="15" customHeight="1">
      <c r="A15" s="416" t="s">
        <v>983</v>
      </c>
      <c r="B15" s="434">
        <v>36321</v>
      </c>
      <c r="C15" s="434">
        <v>45225</v>
      </c>
      <c r="D15" s="435">
        <f>(C15-B15)/B15*100</f>
        <v>24.514743536796892</v>
      </c>
      <c r="E15" s="420">
        <v>77197</v>
      </c>
      <c r="F15" s="436">
        <f>(E15-C15)/C15*100</f>
        <v>70.695411829740181</v>
      </c>
      <c r="G15" s="437">
        <v>107328</v>
      </c>
      <c r="H15" s="438">
        <f>(G15-E15)/E15*100</f>
        <v>39.031309506846121</v>
      </c>
      <c r="I15" s="437">
        <v>67108</v>
      </c>
      <c r="J15" s="436">
        <f>(I15-G15)/G15*100</f>
        <v>-37.473911747167563</v>
      </c>
      <c r="K15" s="437">
        <v>76698</v>
      </c>
      <c r="L15" s="436">
        <f>(K15-I15)/I15*100</f>
        <v>14.290397568099184</v>
      </c>
      <c r="M15" s="437">
        <f>8668+10819+7006+8419+7122+6815+1941+6055+4668+4631+4942+3819</f>
        <v>74905</v>
      </c>
      <c r="N15" s="436">
        <f>(M15-K15)/K15*100</f>
        <v>-2.3377402279068553</v>
      </c>
      <c r="O15" s="437">
        <f>1668+7564+4280+4646+4185+5187+3861+3595+3832+2906+2742+2828</f>
        <v>47294</v>
      </c>
      <c r="P15" s="436">
        <f>(O15-M15)/M15*100</f>
        <v>-36.86135771977839</v>
      </c>
      <c r="Q15" s="437">
        <f>1418+42+6214+7123+8807+8392+9838+12541+8427+7549+5029+5200</f>
        <v>80580</v>
      </c>
      <c r="R15" s="436">
        <f t="shared" ref="R15:R22" si="10">(Q15-O15)/O15*100</f>
        <v>70.38102084831057</v>
      </c>
      <c r="S15" s="437">
        <f>5840+4136+4802+3684+3903+3633+3037+2751+3521+2759+3711+2830</f>
        <v>44607</v>
      </c>
      <c r="T15" s="436">
        <f t="shared" ref="T15:AB22" si="11">(S15-Q15)/Q15*100</f>
        <v>-44.642591213700669</v>
      </c>
      <c r="U15" s="437">
        <v>37950</v>
      </c>
      <c r="V15" s="436">
        <f t="shared" si="11"/>
        <v>-14.923666689084673</v>
      </c>
      <c r="W15" s="437">
        <v>37564</v>
      </c>
      <c r="X15" s="436">
        <f t="shared" si="11"/>
        <v>-1.0171277997364954</v>
      </c>
      <c r="Y15" s="801">
        <v>53474</v>
      </c>
      <c r="Z15" s="886">
        <f t="shared" si="11"/>
        <v>42.354381854967521</v>
      </c>
      <c r="AA15" s="801">
        <v>27748</v>
      </c>
      <c r="AB15" s="436">
        <f t="shared" si="11"/>
        <v>-48.10936155888843</v>
      </c>
      <c r="AC15" s="905">
        <v>10572</v>
      </c>
      <c r="AD15"/>
      <c r="AE15"/>
      <c r="AF15" s="1958"/>
      <c r="AG15" s="1958"/>
      <c r="AH15" s="1958"/>
      <c r="AI15" s="1958"/>
      <c r="AJ15" s="1958"/>
      <c r="AK15" s="1958"/>
    </row>
    <row r="16" spans="1:37" ht="20.25" customHeight="1">
      <c r="A16" s="424" t="s">
        <v>1025</v>
      </c>
      <c r="B16" s="221">
        <v>1017</v>
      </c>
      <c r="C16" s="221">
        <v>1044</v>
      </c>
      <c r="D16" s="224">
        <f>(C16-B16)/B16*100</f>
        <v>2.6548672566371683</v>
      </c>
      <c r="E16" s="427">
        <v>645</v>
      </c>
      <c r="F16" s="439">
        <f>(E16-C16)/C16*100</f>
        <v>-38.218390804597703</v>
      </c>
      <c r="G16" s="440">
        <v>587</v>
      </c>
      <c r="H16" s="441">
        <f>(G16-E16)/E16*100</f>
        <v>-8.9922480620155039</v>
      </c>
      <c r="I16" s="440">
        <v>549</v>
      </c>
      <c r="J16" s="439">
        <f>(I16-G16)/G16*100</f>
        <v>-6.4735945485519588</v>
      </c>
      <c r="K16" s="440">
        <f>140+70+65+56+59+54+31+48+21+35+46</f>
        <v>625</v>
      </c>
      <c r="L16" s="439">
        <f>(K16-I16)/I16*100</f>
        <v>13.843351548269581</v>
      </c>
      <c r="M16" s="440">
        <f>73+90+107+84+108+92+49+99+109+117+182+145</f>
        <v>1255</v>
      </c>
      <c r="N16" s="439">
        <f>(M16-K16)/K16*100</f>
        <v>100.8</v>
      </c>
      <c r="O16" s="440">
        <f>98+194+105+154+145+136+151+152+158+106+104+98</f>
        <v>1601</v>
      </c>
      <c r="P16" s="439">
        <f>(O16-M16)/M16*100</f>
        <v>27.569721115537849</v>
      </c>
      <c r="Q16" s="440">
        <f>64+9+232+164+145+100+117+170+143+162+128+111</f>
        <v>1545</v>
      </c>
      <c r="R16" s="439">
        <f t="shared" si="10"/>
        <v>-3.4978138663335412</v>
      </c>
      <c r="S16" s="440">
        <f>221+145+163+161+147+141+108+109+124+110+142+78</f>
        <v>1649</v>
      </c>
      <c r="T16" s="439">
        <f t="shared" si="11"/>
        <v>6.7313915857605187</v>
      </c>
      <c r="U16" s="440">
        <v>1092</v>
      </c>
      <c r="V16" s="439">
        <f t="shared" si="11"/>
        <v>-33.778047301394786</v>
      </c>
      <c r="W16" s="440">
        <v>1662</v>
      </c>
      <c r="X16" s="439">
        <f t="shared" si="11"/>
        <v>52.197802197802204</v>
      </c>
      <c r="Y16" s="802">
        <v>1832</v>
      </c>
      <c r="Z16" s="439">
        <f t="shared" si="11"/>
        <v>10.22864019253911</v>
      </c>
      <c r="AA16" s="802">
        <v>1444</v>
      </c>
      <c r="AB16" s="439">
        <f t="shared" si="11"/>
        <v>-21.179039301310041</v>
      </c>
      <c r="AC16" s="906">
        <v>591</v>
      </c>
      <c r="AD16" s="1"/>
      <c r="AE16" s="1"/>
      <c r="AF16" s="710"/>
      <c r="AG16" s="710"/>
      <c r="AH16" s="710"/>
      <c r="AI16" s="710"/>
      <c r="AJ16" s="710"/>
      <c r="AK16" s="710"/>
    </row>
    <row r="17" spans="1:38" ht="15" customHeight="1">
      <c r="A17" s="430" t="s">
        <v>991</v>
      </c>
      <c r="B17" s="221">
        <v>62738</v>
      </c>
      <c r="C17" s="221">
        <v>28155</v>
      </c>
      <c r="D17" s="224">
        <f>(C17-B17)/B17*100</f>
        <v>-55.122892027160574</v>
      </c>
      <c r="E17" s="427">
        <v>23634</v>
      </c>
      <c r="F17" s="439">
        <f>(E17-C17)/C17*100</f>
        <v>-16.057538625466169</v>
      </c>
      <c r="G17" s="440">
        <v>26486</v>
      </c>
      <c r="H17" s="441">
        <f>(G17-E17)/E17*100</f>
        <v>12.067360582212068</v>
      </c>
      <c r="I17" s="440">
        <v>24954</v>
      </c>
      <c r="J17" s="439">
        <f>(I17-G17)/G17*100</f>
        <v>-5.7841878728384808</v>
      </c>
      <c r="K17" s="440">
        <f>4705+2245+2223+2058+1799+1835+1241+1478+1977+2804+2368</f>
        <v>24733</v>
      </c>
      <c r="L17" s="439">
        <f>(K17-I17)/I17*100</f>
        <v>-0.88562955838743296</v>
      </c>
      <c r="M17" s="440">
        <f>1584+1872+3605+1793+2119+2525+1320+2301+2230+2062+2637+2131</f>
        <v>26179</v>
      </c>
      <c r="N17" s="439">
        <f>(M17-K17)/K17*100</f>
        <v>5.8464399789754582</v>
      </c>
      <c r="O17" s="440">
        <f>2096+2737+2054+2501+2320+2180+1761+1347+2013+4312+1468+1662</f>
        <v>26451</v>
      </c>
      <c r="P17" s="439">
        <f>(O17-M17)/M17*100</f>
        <v>1.0390007257725657</v>
      </c>
      <c r="Q17" s="440">
        <f>2284+158+2979+10574+4456+4045+3235+4430+3132+4186+3721+3701</f>
        <v>46901</v>
      </c>
      <c r="R17" s="439">
        <f t="shared" si="10"/>
        <v>77.312767003137878</v>
      </c>
      <c r="S17" s="440">
        <f>3756+1993+6288+3451+3465+2943+1689+3251+3539+2041+2395+2257</f>
        <v>37068</v>
      </c>
      <c r="T17" s="439">
        <f t="shared" si="11"/>
        <v>-20.965437837146332</v>
      </c>
      <c r="U17" s="440">
        <v>26694</v>
      </c>
      <c r="V17" s="439">
        <f t="shared" si="11"/>
        <v>-27.986403366785368</v>
      </c>
      <c r="W17" s="440">
        <v>30974</v>
      </c>
      <c r="X17" s="439">
        <f t="shared" si="11"/>
        <v>16.033565595264854</v>
      </c>
      <c r="Y17" s="802">
        <v>50828</v>
      </c>
      <c r="Z17" s="439">
        <f t="shared" si="11"/>
        <v>64.098921676244586</v>
      </c>
      <c r="AA17" s="802">
        <v>37323</v>
      </c>
      <c r="AB17" s="439">
        <f t="shared" si="11"/>
        <v>-26.570000786967814</v>
      </c>
      <c r="AC17" s="906">
        <v>16566</v>
      </c>
      <c r="AD17" s="1"/>
      <c r="AE17" s="1"/>
      <c r="AF17" s="711"/>
      <c r="AG17" s="711"/>
      <c r="AH17" s="711"/>
      <c r="AI17" s="711"/>
      <c r="AJ17" s="712"/>
      <c r="AK17" s="712"/>
    </row>
    <row r="18" spans="1:38" ht="15" customHeight="1">
      <c r="A18" s="424" t="s">
        <v>992</v>
      </c>
      <c r="B18" s="221">
        <v>111711</v>
      </c>
      <c r="C18" s="221">
        <v>46804</v>
      </c>
      <c r="D18" s="224">
        <f>(C18-B18)/B18*100</f>
        <v>-58.10260404078381</v>
      </c>
      <c r="E18" s="427">
        <v>31689</v>
      </c>
      <c r="F18" s="439">
        <f>(E18-C18)/C18*100</f>
        <v>-32.294248354841464</v>
      </c>
      <c r="G18" s="440">
        <v>39888</v>
      </c>
      <c r="H18" s="441">
        <f>(G18-E18)/E18*100</f>
        <v>25.873331439931835</v>
      </c>
      <c r="I18" s="440">
        <v>35177</v>
      </c>
      <c r="J18" s="439">
        <f>(I18-G18)/G18*100</f>
        <v>-11.810569594865623</v>
      </c>
      <c r="K18" s="440">
        <f>6593+3150+3121+2764+5408+2829+1941+1943+2877+3975+3328</f>
        <v>37929</v>
      </c>
      <c r="L18" s="439">
        <f>(K18-I18)/I18*100</f>
        <v>7.8232936293600934</v>
      </c>
      <c r="M18" s="440">
        <f>2231+2538+5006+3673+2848+3498+1935+2848+2742+2584+3305+2586</f>
        <v>35794</v>
      </c>
      <c r="N18" s="439">
        <f>(M18-K18)/K18*100</f>
        <v>-5.628938279416805</v>
      </c>
      <c r="O18" s="440">
        <f>2933+3319+2576+3124+3079+2861+2293+1850+2647+2853+1925+3471</f>
        <v>32931</v>
      </c>
      <c r="P18" s="439">
        <f>(O18-M18)/M18*100</f>
        <v>-7.9985472425546185</v>
      </c>
      <c r="Q18" s="440">
        <f>2946+204+3852+4327+5763+5071+4275+5724+4072+5334+4607+4698</f>
        <v>50873</v>
      </c>
      <c r="R18" s="439">
        <f t="shared" si="10"/>
        <v>54.48361726033221</v>
      </c>
      <c r="S18" s="440">
        <f>4853+2468+7646+4155+4196+3657+2062+3990+4364+2648+3239+2901</f>
        <v>46179</v>
      </c>
      <c r="T18" s="439">
        <f t="shared" si="11"/>
        <v>-9.226898354726476</v>
      </c>
      <c r="U18" s="440">
        <v>31671</v>
      </c>
      <c r="V18" s="439">
        <f t="shared" si="11"/>
        <v>-31.41687780159813</v>
      </c>
      <c r="W18" s="440">
        <v>39124</v>
      </c>
      <c r="X18" s="439">
        <f t="shared" si="11"/>
        <v>23.532569227368885</v>
      </c>
      <c r="Y18" s="802">
        <v>54118</v>
      </c>
      <c r="Z18" s="439">
        <f t="shared" si="11"/>
        <v>38.324302218587057</v>
      </c>
      <c r="AA18" s="802">
        <v>45682</v>
      </c>
      <c r="AB18" s="439">
        <f t="shared" si="11"/>
        <v>-15.588159207657343</v>
      </c>
      <c r="AC18" s="906">
        <v>19659</v>
      </c>
      <c r="AD18" s="1"/>
      <c r="AE18" s="1"/>
      <c r="AF18" s="711"/>
      <c r="AG18" s="711"/>
      <c r="AH18" s="711"/>
      <c r="AI18" s="711"/>
      <c r="AJ18" s="712"/>
      <c r="AK18" s="712"/>
    </row>
    <row r="19" spans="1:38" ht="33.75" customHeight="1">
      <c r="A19" s="430" t="s">
        <v>993</v>
      </c>
      <c r="B19" s="442"/>
      <c r="C19" s="442"/>
      <c r="D19" s="443"/>
      <c r="E19" s="444">
        <v>0</v>
      </c>
      <c r="F19" s="445"/>
      <c r="G19" s="446">
        <v>0</v>
      </c>
      <c r="H19" s="441">
        <v>0</v>
      </c>
      <c r="I19" s="446">
        <v>0</v>
      </c>
      <c r="J19" s="439">
        <v>0</v>
      </c>
      <c r="K19" s="722">
        <v>0</v>
      </c>
      <c r="L19" s="439">
        <v>0</v>
      </c>
      <c r="M19" s="722">
        <v>0</v>
      </c>
      <c r="N19" s="439">
        <v>0</v>
      </c>
      <c r="O19" s="722">
        <f>1+3+0</f>
        <v>4</v>
      </c>
      <c r="P19" s="439">
        <v>0</v>
      </c>
      <c r="Q19" s="722">
        <f>0+0+0+0+0+0+0+0+2+2+3+3</f>
        <v>10</v>
      </c>
      <c r="R19" s="439">
        <f t="shared" si="10"/>
        <v>150</v>
      </c>
      <c r="S19" s="722">
        <f>1+2+1+0+2+1+1+1+2+1+0+2</f>
        <v>14</v>
      </c>
      <c r="T19" s="439">
        <f t="shared" si="11"/>
        <v>40</v>
      </c>
      <c r="U19" s="722">
        <v>5</v>
      </c>
      <c r="V19" s="439">
        <f t="shared" si="11"/>
        <v>-64.285714285714292</v>
      </c>
      <c r="W19" s="722">
        <v>2</v>
      </c>
      <c r="X19" s="439">
        <f t="shared" si="11"/>
        <v>-60</v>
      </c>
      <c r="Y19" s="803">
        <v>25</v>
      </c>
      <c r="Z19" s="439">
        <f t="shared" si="11"/>
        <v>1150</v>
      </c>
      <c r="AA19" s="803">
        <v>38</v>
      </c>
      <c r="AB19" s="439">
        <f t="shared" si="11"/>
        <v>52</v>
      </c>
      <c r="AC19" s="907">
        <v>18</v>
      </c>
      <c r="AD19" s="1"/>
      <c r="AE19" s="1"/>
      <c r="AF19" s="711"/>
      <c r="AG19" s="711"/>
      <c r="AH19" s="711"/>
      <c r="AI19" s="711"/>
      <c r="AJ19" s="712"/>
      <c r="AK19" s="712"/>
    </row>
    <row r="20" spans="1:38" ht="42" customHeight="1">
      <c r="A20" s="430" t="s">
        <v>987</v>
      </c>
      <c r="B20" s="442"/>
      <c r="C20" s="442"/>
      <c r="D20" s="443"/>
      <c r="E20" s="694"/>
      <c r="F20" s="445"/>
      <c r="G20" s="446">
        <v>0</v>
      </c>
      <c r="H20" s="441">
        <v>0</v>
      </c>
      <c r="I20" s="446">
        <v>0</v>
      </c>
      <c r="J20" s="439">
        <v>0</v>
      </c>
      <c r="K20" s="722">
        <v>1</v>
      </c>
      <c r="L20" s="439">
        <v>0</v>
      </c>
      <c r="M20" s="722">
        <v>4</v>
      </c>
      <c r="N20" s="439">
        <f>(M20-K20)/K20*100</f>
        <v>300</v>
      </c>
      <c r="O20" s="722">
        <v>4</v>
      </c>
      <c r="P20" s="439">
        <f>(O20-M20)/M20*100</f>
        <v>0</v>
      </c>
      <c r="Q20" s="722">
        <v>11</v>
      </c>
      <c r="R20" s="439">
        <f t="shared" si="10"/>
        <v>175</v>
      </c>
      <c r="S20" s="722">
        <v>53</v>
      </c>
      <c r="T20" s="439">
        <f t="shared" si="11"/>
        <v>381.81818181818181</v>
      </c>
      <c r="U20" s="722">
        <v>28</v>
      </c>
      <c r="V20" s="439">
        <f t="shared" si="11"/>
        <v>-47.169811320754718</v>
      </c>
      <c r="W20" s="722">
        <v>39</v>
      </c>
      <c r="X20" s="439">
        <f t="shared" si="11"/>
        <v>39.285714285714285</v>
      </c>
      <c r="Y20" s="804">
        <v>47</v>
      </c>
      <c r="Z20" s="439">
        <f t="shared" si="11"/>
        <v>20.512820512820511</v>
      </c>
      <c r="AA20" s="804">
        <v>16</v>
      </c>
      <c r="AB20" s="439">
        <f t="shared" si="11"/>
        <v>-65.957446808510639</v>
      </c>
      <c r="AC20" s="908">
        <v>6</v>
      </c>
      <c r="AD20" s="1"/>
      <c r="AE20" s="1"/>
      <c r="AF20" s="711"/>
      <c r="AG20" s="711"/>
      <c r="AH20" s="711"/>
      <c r="AI20" s="711"/>
      <c r="AJ20" s="712"/>
      <c r="AK20" s="712"/>
    </row>
    <row r="21" spans="1:38" s="414" customFormat="1" ht="51" customHeight="1">
      <c r="A21" s="430" t="s">
        <v>988</v>
      </c>
      <c r="B21" s="723"/>
      <c r="C21" s="723"/>
      <c r="D21" s="724"/>
      <c r="E21" s="725"/>
      <c r="F21" s="726"/>
      <c r="G21" s="722">
        <v>0</v>
      </c>
      <c r="H21" s="441">
        <v>0</v>
      </c>
      <c r="I21" s="722">
        <v>0</v>
      </c>
      <c r="J21" s="439">
        <v>0</v>
      </c>
      <c r="K21" s="722">
        <v>1</v>
      </c>
      <c r="L21" s="439">
        <v>0</v>
      </c>
      <c r="M21" s="722">
        <v>12</v>
      </c>
      <c r="N21" s="439">
        <f>(M21-K21)/K21*100</f>
        <v>1100</v>
      </c>
      <c r="O21" s="722">
        <v>23</v>
      </c>
      <c r="P21" s="439">
        <f>(O21-M21)/M21*100</f>
        <v>91.666666666666657</v>
      </c>
      <c r="Q21" s="722">
        <v>32</v>
      </c>
      <c r="R21" s="439">
        <f t="shared" si="10"/>
        <v>39.130434782608695</v>
      </c>
      <c r="S21" s="722">
        <v>164</v>
      </c>
      <c r="T21" s="439">
        <f t="shared" si="11"/>
        <v>412.5</v>
      </c>
      <c r="U21" s="722">
        <v>84</v>
      </c>
      <c r="V21" s="439">
        <f t="shared" si="11"/>
        <v>-48.780487804878049</v>
      </c>
      <c r="W21" s="722">
        <v>106</v>
      </c>
      <c r="X21" s="439">
        <f t="shared" si="11"/>
        <v>26.190476190476193</v>
      </c>
      <c r="Y21" s="804">
        <v>59</v>
      </c>
      <c r="Z21" s="439">
        <f t="shared" si="11"/>
        <v>-44.339622641509436</v>
      </c>
      <c r="AA21" s="804">
        <v>35</v>
      </c>
      <c r="AB21" s="439">
        <f t="shared" si="11"/>
        <v>-40.677966101694921</v>
      </c>
      <c r="AC21" s="908">
        <v>12</v>
      </c>
      <c r="AD21" s="1"/>
      <c r="AE21" s="1"/>
      <c r="AF21" s="711"/>
      <c r="AG21" s="711"/>
      <c r="AH21" s="711"/>
      <c r="AI21" s="711"/>
      <c r="AJ21" s="712"/>
      <c r="AK21" s="712"/>
    </row>
    <row r="22" spans="1:38" ht="16.5" customHeight="1" thickBot="1">
      <c r="A22" s="852" t="s">
        <v>989</v>
      </c>
      <c r="B22" s="857">
        <f>B15+B16+B17</f>
        <v>100076</v>
      </c>
      <c r="C22" s="857">
        <f>C15+C16+C17</f>
        <v>74424</v>
      </c>
      <c r="D22" s="858">
        <f>(C22-B22)/B22*100</f>
        <v>-25.632519285343143</v>
      </c>
      <c r="E22" s="854">
        <f>+E15+E16+E18</f>
        <v>109531</v>
      </c>
      <c r="F22" s="849">
        <f>(E22-C22)/C22*100</f>
        <v>47.171611308180154</v>
      </c>
      <c r="G22" s="848">
        <f>+G15+G16+G18</f>
        <v>147803</v>
      </c>
      <c r="H22" s="849">
        <f>(G22-E22)/E22*100</f>
        <v>34.941706001040799</v>
      </c>
      <c r="I22" s="848">
        <f>+I15+I16+I18</f>
        <v>102834</v>
      </c>
      <c r="J22" s="849">
        <f>(I22-G22)/G22*100</f>
        <v>-30.42495754484009</v>
      </c>
      <c r="K22" s="848">
        <f>+K15+K16+K18</f>
        <v>115252</v>
      </c>
      <c r="L22" s="849">
        <f>(K22-I22)/I22*100</f>
        <v>12.075772604391544</v>
      </c>
      <c r="M22" s="848">
        <f>+M15+M16+M18+M19+M21</f>
        <v>111966</v>
      </c>
      <c r="N22" s="849">
        <f>(M22-K22)/K22*100</f>
        <v>-2.851143581022455</v>
      </c>
      <c r="O22" s="848">
        <f>+O15+O16+O18+O19+O21</f>
        <v>81853</v>
      </c>
      <c r="P22" s="849">
        <f>(O22-M22)/M22*100</f>
        <v>-26.894771627101083</v>
      </c>
      <c r="Q22" s="848">
        <f>+Q15+Q16+Q18+Q19+Q21</f>
        <v>133040</v>
      </c>
      <c r="R22" s="849">
        <f t="shared" si="10"/>
        <v>62.535276654490367</v>
      </c>
      <c r="S22" s="848">
        <f>+S15+S16+S18+S19+S21</f>
        <v>92613</v>
      </c>
      <c r="T22" s="849">
        <f t="shared" si="11"/>
        <v>-30.387101623571862</v>
      </c>
      <c r="U22" s="848">
        <f>+U15+U16+U18+U19+U21</f>
        <v>70802</v>
      </c>
      <c r="V22" s="849">
        <f t="shared" si="11"/>
        <v>-23.55068942805006</v>
      </c>
      <c r="W22" s="848">
        <f>+W15+W16+W18+W19+W21</f>
        <v>78458</v>
      </c>
      <c r="X22" s="849">
        <f t="shared" si="11"/>
        <v>10.813253862885229</v>
      </c>
      <c r="Y22" s="848">
        <v>109508</v>
      </c>
      <c r="Z22" s="849">
        <f t="shared" si="11"/>
        <v>39.575314180835605</v>
      </c>
      <c r="AA22" s="848">
        <f>+AA15+AA16+AA18+AA19+AA21</f>
        <v>74947</v>
      </c>
      <c r="AB22" s="849">
        <f t="shared" si="11"/>
        <v>-31.560251305840669</v>
      </c>
      <c r="AC22" s="850">
        <f>+AC15+AC16+AC18+AC19+AC21</f>
        <v>30852</v>
      </c>
      <c r="AD22" s="1"/>
      <c r="AE22" s="1"/>
      <c r="AF22" s="711"/>
      <c r="AG22" s="711"/>
      <c r="AH22" s="711"/>
      <c r="AI22" s="711"/>
      <c r="AJ22" s="712"/>
      <c r="AK22" s="712"/>
    </row>
    <row r="23" spans="1:38" ht="16.5" customHeight="1" thickBot="1">
      <c r="A23" s="447"/>
      <c r="B23" s="448"/>
      <c r="C23" s="448"/>
      <c r="D23" s="448"/>
      <c r="E23" s="448"/>
      <c r="F23" s="448"/>
      <c r="P23" s="4"/>
      <c r="R23" s="4"/>
      <c r="T23" s="4"/>
      <c r="AD23" s="1"/>
      <c r="AE23" s="1"/>
      <c r="AF23" s="1958"/>
      <c r="AG23" s="1958"/>
      <c r="AH23" s="1958"/>
      <c r="AI23" s="1958"/>
      <c r="AJ23" s="1958"/>
      <c r="AK23" s="1958"/>
      <c r="AL23" s="16"/>
    </row>
    <row r="24" spans="1:38" ht="16.5" customHeight="1" thickBot="1">
      <c r="A24" s="1955" t="s">
        <v>994</v>
      </c>
      <c r="B24" s="1956"/>
      <c r="C24" s="1956"/>
      <c r="D24" s="1956"/>
      <c r="E24" s="1956"/>
      <c r="F24" s="1956"/>
      <c r="G24" s="1956"/>
      <c r="H24" s="1956"/>
      <c r="I24" s="1956"/>
      <c r="J24" s="1956"/>
      <c r="K24" s="1956"/>
      <c r="L24" s="1956"/>
      <c r="M24" s="1956"/>
      <c r="N24" s="1956"/>
      <c r="O24" s="1956"/>
      <c r="P24" s="1956"/>
      <c r="Q24" s="1956"/>
      <c r="R24" s="1956"/>
      <c r="S24" s="1956"/>
      <c r="T24" s="1956"/>
      <c r="U24" s="1956"/>
      <c r="V24" s="1956"/>
      <c r="W24" s="1956"/>
      <c r="X24" s="1956"/>
      <c r="Y24" s="1956"/>
      <c r="Z24" s="1956"/>
      <c r="AA24" s="1956"/>
      <c r="AB24" s="1956"/>
      <c r="AC24" s="1957"/>
      <c r="AD24" s="1"/>
      <c r="AE24" s="1"/>
      <c r="AF24" s="710"/>
      <c r="AG24" s="710"/>
      <c r="AH24" s="710"/>
      <c r="AI24" s="710"/>
      <c r="AJ24" s="710"/>
      <c r="AK24" s="710"/>
      <c r="AL24" s="16"/>
    </row>
    <row r="25" spans="1:38" ht="15">
      <c r="A25" s="416" t="s">
        <v>983</v>
      </c>
      <c r="B25" s="434">
        <v>26272</v>
      </c>
      <c r="C25" s="434">
        <v>25131</v>
      </c>
      <c r="D25" s="435">
        <f>(C25-B25)/B25*100</f>
        <v>-4.3430267965895251</v>
      </c>
      <c r="E25" s="420">
        <v>14425</v>
      </c>
      <c r="F25" s="436">
        <f>(E25-C25)/C25*100</f>
        <v>-42.600771954956031</v>
      </c>
      <c r="G25" s="437">
        <v>43818</v>
      </c>
      <c r="H25" s="438">
        <f>(G25-E25)/E25*100</f>
        <v>203.76429809358751</v>
      </c>
      <c r="I25" s="437">
        <v>12208</v>
      </c>
      <c r="J25" s="436">
        <f>(I25-G25)/G25*100</f>
        <v>-72.139303482587067</v>
      </c>
      <c r="K25" s="437">
        <v>52745</v>
      </c>
      <c r="L25" s="436">
        <f>(K25-I25)/I25*100</f>
        <v>332.05275229357795</v>
      </c>
      <c r="M25" s="437">
        <f>5118+7056+4784+3843+5257+5126+1828+3928+2745+2799+3607+1810</f>
        <v>47901</v>
      </c>
      <c r="N25" s="436">
        <f>(M25-K25)/K25*100</f>
        <v>-9.1838088918380887</v>
      </c>
      <c r="O25" s="437">
        <f>1126+3906+2124+2507+2163+2821+2037+1496+1652+1480+1393+1752</f>
        <v>24457</v>
      </c>
      <c r="P25" s="436">
        <f>(O25-M25)/M25*100</f>
        <v>-48.942610801444644</v>
      </c>
      <c r="Q25" s="437">
        <f>604+12+3057+5080+8457+9355+16144+16921+11783+10492+5969+5282</f>
        <v>93156</v>
      </c>
      <c r="R25" s="436">
        <f>(Q25-O25)/O25*100</f>
        <v>280.89708467923293</v>
      </c>
      <c r="S25" s="437">
        <f>3827+2636+2886+2406+2172+2015+1335+1576+1581+1547+2088+1786</f>
        <v>25855</v>
      </c>
      <c r="T25" s="436">
        <f>(S25-Q25)/Q25*100</f>
        <v>-72.24548069904246</v>
      </c>
      <c r="U25" s="437">
        <v>23327</v>
      </c>
      <c r="V25" s="436">
        <f t="shared" ref="V25:V32" si="12">(U25-S25)/S25*100</f>
        <v>-9.7776058789402427</v>
      </c>
      <c r="W25" s="437">
        <v>23738</v>
      </c>
      <c r="X25" s="436">
        <f t="shared" ref="X25:AB32" si="13">(W25-U25)/U25*100</f>
        <v>1.7619068032751748</v>
      </c>
      <c r="Y25" s="801">
        <v>49292</v>
      </c>
      <c r="Z25" s="886">
        <f t="shared" si="13"/>
        <v>107.65018114415706</v>
      </c>
      <c r="AA25" s="801">
        <v>14359</v>
      </c>
      <c r="AB25" s="886">
        <f t="shared" si="13"/>
        <v>-70.869512294084231</v>
      </c>
      <c r="AC25" s="905">
        <v>5761</v>
      </c>
      <c r="AD25" s="1"/>
      <c r="AE25" s="1"/>
      <c r="AF25" s="713"/>
      <c r="AG25" s="713"/>
      <c r="AH25" s="713"/>
      <c r="AI25" s="713"/>
      <c r="AJ25" s="714"/>
      <c r="AK25" s="714"/>
      <c r="AL25" s="16"/>
    </row>
    <row r="26" spans="1:38" ht="15">
      <c r="A26" s="424" t="s">
        <v>1026</v>
      </c>
      <c r="B26" s="221">
        <v>437</v>
      </c>
      <c r="C26" s="221">
        <v>285</v>
      </c>
      <c r="D26" s="224">
        <f>(C26-B26)/B26*100</f>
        <v>-34.782608695652172</v>
      </c>
      <c r="E26" s="427">
        <v>184</v>
      </c>
      <c r="F26" s="439">
        <f>(E26-C26)/C26*100</f>
        <v>-35.438596491228068</v>
      </c>
      <c r="G26" s="440">
        <v>184</v>
      </c>
      <c r="H26" s="441">
        <f>(G26-E26)/E26*100</f>
        <v>0</v>
      </c>
      <c r="I26" s="440">
        <v>165</v>
      </c>
      <c r="J26" s="439">
        <f>(I26-G26)/G26*100</f>
        <v>-10.326086956521738</v>
      </c>
      <c r="K26" s="440">
        <v>237</v>
      </c>
      <c r="L26" s="439">
        <f>(K26-I26)/I26*100</f>
        <v>43.636363636363633</v>
      </c>
      <c r="M26" s="440">
        <f>23+36+28+42+46+43+19+49+55+51+65+72</f>
        <v>529</v>
      </c>
      <c r="N26" s="439">
        <f>(M26-K26)/K26*100</f>
        <v>123.20675105485233</v>
      </c>
      <c r="O26" s="440">
        <f>43+106+50+82+83+68+61+70+57+45+46+63</f>
        <v>774</v>
      </c>
      <c r="P26" s="439">
        <f>(O26-M26)/M26*100</f>
        <v>46.313799621928162</v>
      </c>
      <c r="Q26" s="440">
        <f>18+2+100+68+61+49+56+87+71+77+73+79</f>
        <v>741</v>
      </c>
      <c r="R26" s="439">
        <f>(Q26-O26)/O26*100</f>
        <v>-4.2635658914728678</v>
      </c>
      <c r="S26" s="440">
        <f>154+95+116+103+115+82+91+68+98+70+94+29</f>
        <v>1115</v>
      </c>
      <c r="T26" s="439">
        <f>(S26-Q26)/Q26*100</f>
        <v>50.472334682860996</v>
      </c>
      <c r="U26" s="440">
        <v>768</v>
      </c>
      <c r="V26" s="439">
        <f t="shared" si="12"/>
        <v>-31.12107623318386</v>
      </c>
      <c r="W26" s="440">
        <v>1141</v>
      </c>
      <c r="X26" s="439">
        <f t="shared" si="13"/>
        <v>48.567708333333329</v>
      </c>
      <c r="Y26" s="802">
        <v>1319</v>
      </c>
      <c r="Z26" s="439">
        <f t="shared" si="13"/>
        <v>15.600350569675722</v>
      </c>
      <c r="AA26" s="802">
        <v>985</v>
      </c>
      <c r="AB26" s="439">
        <f t="shared" si="13"/>
        <v>-25.322213798332072</v>
      </c>
      <c r="AC26" s="906">
        <v>380</v>
      </c>
      <c r="AD26" s="1"/>
      <c r="AE26" s="1"/>
      <c r="AF26" s="1"/>
      <c r="AG26"/>
      <c r="AH26" s="713"/>
      <c r="AI26" s="713"/>
      <c r="AJ26" s="714"/>
      <c r="AK26" s="714"/>
      <c r="AL26" s="16"/>
    </row>
    <row r="27" spans="1:38" ht="15">
      <c r="A27" s="424" t="s">
        <v>991</v>
      </c>
      <c r="B27" s="221">
        <v>11839</v>
      </c>
      <c r="C27" s="221">
        <v>5424</v>
      </c>
      <c r="D27" s="224">
        <f>(C27-B27)/B27*100</f>
        <v>-54.185319706056255</v>
      </c>
      <c r="E27" s="427">
        <v>7509</v>
      </c>
      <c r="F27" s="439">
        <f>(E27-C27)/C27*100</f>
        <v>38.440265486725664</v>
      </c>
      <c r="G27" s="440">
        <v>9396</v>
      </c>
      <c r="H27" s="441">
        <f>(G27-E27)/E27*100</f>
        <v>25.129844186975632</v>
      </c>
      <c r="I27" s="440">
        <v>7652</v>
      </c>
      <c r="J27" s="439">
        <f>(I27-G27)/G27*100</f>
        <v>-18.561089825457643</v>
      </c>
      <c r="K27" s="440">
        <f>1532+724+699+676+588+638+685+785+213+989+807</f>
        <v>8336</v>
      </c>
      <c r="L27" s="439">
        <f>(K27-I27)/I27*100</f>
        <v>8.9388395190799788</v>
      </c>
      <c r="M27" s="440">
        <f>659+181+1115+1014+946+1062+395+1514+1201+957+1281+986</f>
        <v>11311</v>
      </c>
      <c r="N27" s="439">
        <f>(M27-K27)/K27*100</f>
        <v>35.688579654510555</v>
      </c>
      <c r="O27" s="440">
        <f>1318+1415+28+2454+956+955+749+775+845+1685+550+1022</f>
        <v>12752</v>
      </c>
      <c r="P27" s="439">
        <f>(O27-M27)/M27*100</f>
        <v>12.73981080364247</v>
      </c>
      <c r="Q27" s="440">
        <f>604+8+1572+6696+1811+1980+2902+4260+3019+3561+2178+2445</f>
        <v>31036</v>
      </c>
      <c r="R27" s="439">
        <f>(Q27-O27)/O27*100</f>
        <v>143.38143036386447</v>
      </c>
      <c r="S27" s="440">
        <f>2019+976+2646+1361+1223+1170+630+1239+1352+754+1019+1016</f>
        <v>15405</v>
      </c>
      <c r="T27" s="439">
        <f>(S27-Q27)/Q27*100</f>
        <v>-50.364093310993688</v>
      </c>
      <c r="U27" s="440">
        <v>11232</v>
      </c>
      <c r="V27" s="439">
        <f t="shared" si="12"/>
        <v>-27.088607594936708</v>
      </c>
      <c r="W27" s="440">
        <v>13535</v>
      </c>
      <c r="X27" s="439">
        <f t="shared" si="13"/>
        <v>20.503917378917379</v>
      </c>
      <c r="Y27" s="802">
        <v>22835</v>
      </c>
      <c r="Z27" s="439">
        <f t="shared" si="13"/>
        <v>68.710749907646843</v>
      </c>
      <c r="AA27" s="802">
        <v>14652</v>
      </c>
      <c r="AB27" s="439">
        <f t="shared" si="13"/>
        <v>-35.835340486095909</v>
      </c>
      <c r="AC27" s="906">
        <v>5966</v>
      </c>
      <c r="AD27" s="1"/>
      <c r="AE27" s="1"/>
      <c r="AF27" s="1"/>
      <c r="AG27"/>
      <c r="AH27" s="715"/>
      <c r="AI27" s="715"/>
      <c r="AJ27" s="714"/>
      <c r="AK27" s="714"/>
      <c r="AL27" s="16"/>
    </row>
    <row r="28" spans="1:38" ht="15">
      <c r="A28" s="424" t="s">
        <v>992</v>
      </c>
      <c r="B28" s="221">
        <v>19769</v>
      </c>
      <c r="C28" s="221">
        <v>7956</v>
      </c>
      <c r="D28" s="224">
        <f>(C28-B28)/B28*100</f>
        <v>-59.755172239364661</v>
      </c>
      <c r="E28" s="427">
        <v>8704</v>
      </c>
      <c r="F28" s="439">
        <f>(E28-C28)/C28*100</f>
        <v>9.4017094017094021</v>
      </c>
      <c r="G28" s="440">
        <v>13371</v>
      </c>
      <c r="H28" s="441">
        <f>(G28-E28)/E28*100</f>
        <v>53.619025735294116</v>
      </c>
      <c r="I28" s="440">
        <v>9530</v>
      </c>
      <c r="J28" s="439">
        <f>(I28-G28)/G28*100</f>
        <v>-28.726348066711537</v>
      </c>
      <c r="K28" s="440">
        <f>1996+972+937+862+775+332+909+1097+208+1170</f>
        <v>9258</v>
      </c>
      <c r="L28" s="439">
        <f>(K28-I28)/I28*100</f>
        <v>-2.8541448058761807</v>
      </c>
      <c r="M28" s="440">
        <f>956+230+1475+1589+1314+1515+561+1812+1415+1108+1492+1110</f>
        <v>14577</v>
      </c>
      <c r="N28" s="439">
        <f>(M28-K28)/K28*100</f>
        <v>57.453013609850942</v>
      </c>
      <c r="O28" s="440">
        <v>14014</v>
      </c>
      <c r="P28" s="439">
        <f>(O28-M28)/M28*100</f>
        <v>-3.862248748027715</v>
      </c>
      <c r="Q28" s="440">
        <f>773+13+1978+2063+2421+2561+3839+5778+4102+4584+2729+3107</f>
        <v>33948</v>
      </c>
      <c r="R28" s="439">
        <f>(Q28-O28)/O28*100</f>
        <v>142.24347081489938</v>
      </c>
      <c r="S28" s="440">
        <f>2661+1221+3396+1711+1603+1520+826+1280+1755+1037+1372+1377</f>
        <v>19759</v>
      </c>
      <c r="T28" s="439">
        <f>(S28-Q28)/Q28*100</f>
        <v>-41.796276658418755</v>
      </c>
      <c r="U28" s="440">
        <v>14425</v>
      </c>
      <c r="V28" s="439">
        <f t="shared" si="12"/>
        <v>-26.995293284073078</v>
      </c>
      <c r="W28" s="440">
        <v>17152</v>
      </c>
      <c r="X28" s="439">
        <f t="shared" si="13"/>
        <v>18.904679376083187</v>
      </c>
      <c r="Y28" s="802">
        <v>24531</v>
      </c>
      <c r="Z28" s="439">
        <f t="shared" si="13"/>
        <v>43.021222014925378</v>
      </c>
      <c r="AA28" s="802">
        <v>18168</v>
      </c>
      <c r="AB28" s="439">
        <f t="shared" si="13"/>
        <v>-25.938608291549471</v>
      </c>
      <c r="AC28" s="906">
        <v>7295</v>
      </c>
      <c r="AD28" s="1"/>
      <c r="AE28" s="1"/>
      <c r="AF28" s="1"/>
      <c r="AG28"/>
      <c r="AH28" s="715"/>
      <c r="AI28" s="715"/>
      <c r="AJ28" s="714"/>
      <c r="AK28" s="714"/>
      <c r="AL28" s="16"/>
    </row>
    <row r="29" spans="1:38" ht="32.25" customHeight="1">
      <c r="A29" s="430" t="s">
        <v>993</v>
      </c>
      <c r="B29" s="442"/>
      <c r="C29" s="442"/>
      <c r="D29" s="443"/>
      <c r="E29" s="444">
        <v>0</v>
      </c>
      <c r="F29" s="445"/>
      <c r="G29" s="446">
        <v>0</v>
      </c>
      <c r="H29" s="449" t="s">
        <v>729</v>
      </c>
      <c r="I29" s="446">
        <v>0</v>
      </c>
      <c r="J29" s="439">
        <v>0</v>
      </c>
      <c r="K29" s="446">
        <v>0</v>
      </c>
      <c r="L29" s="439">
        <v>0</v>
      </c>
      <c r="M29" s="446">
        <v>0</v>
      </c>
      <c r="N29" s="439">
        <v>0</v>
      </c>
      <c r="O29" s="446">
        <f>0+0+0</f>
        <v>0</v>
      </c>
      <c r="P29" s="439">
        <v>0</v>
      </c>
      <c r="Q29" s="722">
        <v>0</v>
      </c>
      <c r="R29" s="439">
        <v>0</v>
      </c>
      <c r="S29" s="722">
        <f>0+11+2+1+1+1+0+1+1+1+1+0</f>
        <v>20</v>
      </c>
      <c r="T29" s="439">
        <v>0</v>
      </c>
      <c r="U29" s="722">
        <v>6</v>
      </c>
      <c r="V29" s="439">
        <f t="shared" si="12"/>
        <v>-70</v>
      </c>
      <c r="W29" s="722">
        <v>2</v>
      </c>
      <c r="X29" s="439">
        <f t="shared" si="13"/>
        <v>-66.666666666666657</v>
      </c>
      <c r="Y29" s="803">
        <v>8</v>
      </c>
      <c r="Z29" s="439">
        <f t="shared" si="13"/>
        <v>300</v>
      </c>
      <c r="AA29" s="803">
        <v>8</v>
      </c>
      <c r="AB29" s="439">
        <f t="shared" si="13"/>
        <v>0</v>
      </c>
      <c r="AC29" s="907">
        <v>7</v>
      </c>
      <c r="AD29" s="1"/>
      <c r="AE29" s="1"/>
      <c r="AF29" s="1"/>
      <c r="AG29"/>
      <c r="AH29" s="715"/>
      <c r="AI29" s="715"/>
      <c r="AJ29" s="714"/>
      <c r="AK29" s="714"/>
      <c r="AL29" s="16"/>
    </row>
    <row r="30" spans="1:38" ht="45.75" customHeight="1">
      <c r="A30" s="430" t="s">
        <v>987</v>
      </c>
      <c r="B30" s="442"/>
      <c r="C30" s="442"/>
      <c r="D30" s="443"/>
      <c r="E30" s="694"/>
      <c r="F30" s="445"/>
      <c r="G30" s="446">
        <v>0</v>
      </c>
      <c r="H30" s="449" t="s">
        <v>729</v>
      </c>
      <c r="I30" s="446">
        <v>0</v>
      </c>
      <c r="J30" s="439">
        <v>0</v>
      </c>
      <c r="K30" s="722">
        <v>0</v>
      </c>
      <c r="L30" s="439">
        <v>0</v>
      </c>
      <c r="M30" s="722">
        <v>5</v>
      </c>
      <c r="N30" s="439">
        <v>0</v>
      </c>
      <c r="O30" s="722">
        <v>1</v>
      </c>
      <c r="P30" s="439">
        <f>(O30-M30)/M30*100</f>
        <v>-80</v>
      </c>
      <c r="Q30" s="722">
        <v>6</v>
      </c>
      <c r="R30" s="439">
        <f>(Q30-O30)/O30*100</f>
        <v>500</v>
      </c>
      <c r="S30" s="722">
        <v>21</v>
      </c>
      <c r="T30" s="439">
        <f>(S30-Q30)/Q30*100</f>
        <v>250</v>
      </c>
      <c r="U30" s="722">
        <v>20</v>
      </c>
      <c r="V30" s="439">
        <f t="shared" si="12"/>
        <v>-4.7619047619047619</v>
      </c>
      <c r="W30" s="722">
        <v>24</v>
      </c>
      <c r="X30" s="439">
        <f t="shared" si="13"/>
        <v>20</v>
      </c>
      <c r="Y30" s="804">
        <v>14</v>
      </c>
      <c r="Z30" s="439">
        <f t="shared" si="13"/>
        <v>-41.666666666666671</v>
      </c>
      <c r="AA30" s="804">
        <v>9</v>
      </c>
      <c r="AB30" s="439">
        <f t="shared" si="13"/>
        <v>-35.714285714285715</v>
      </c>
      <c r="AC30" s="908">
        <v>4</v>
      </c>
      <c r="AD30" s="1"/>
      <c r="AE30" s="1"/>
      <c r="AF30" s="1"/>
      <c r="AG30"/>
      <c r="AH30" s="715"/>
      <c r="AI30" s="715"/>
      <c r="AJ30" s="714"/>
      <c r="AK30" s="714"/>
      <c r="AL30" s="16"/>
    </row>
    <row r="31" spans="1:38" s="414" customFormat="1" ht="45.75" customHeight="1">
      <c r="A31" s="430" t="s">
        <v>988</v>
      </c>
      <c r="B31" s="723"/>
      <c r="C31" s="723"/>
      <c r="D31" s="724"/>
      <c r="E31" s="725"/>
      <c r="F31" s="726"/>
      <c r="G31" s="722">
        <v>0</v>
      </c>
      <c r="H31" s="727" t="s">
        <v>729</v>
      </c>
      <c r="I31" s="722">
        <v>0</v>
      </c>
      <c r="J31" s="439">
        <v>0</v>
      </c>
      <c r="K31" s="722">
        <v>0</v>
      </c>
      <c r="L31" s="439">
        <v>0</v>
      </c>
      <c r="M31" s="722">
        <v>17</v>
      </c>
      <c r="N31" s="439">
        <v>0</v>
      </c>
      <c r="O31" s="722">
        <v>3</v>
      </c>
      <c r="P31" s="439">
        <f>(O31-M31)/M31*100</f>
        <v>-82.35294117647058</v>
      </c>
      <c r="Q31" s="722">
        <v>21</v>
      </c>
      <c r="R31" s="439">
        <f>(Q31-O31)/O31*100</f>
        <v>600</v>
      </c>
      <c r="S31" s="722">
        <v>67</v>
      </c>
      <c r="T31" s="439">
        <f>(S31-Q31)/Q31*100</f>
        <v>219.04761904761907</v>
      </c>
      <c r="U31" s="722">
        <v>46</v>
      </c>
      <c r="V31" s="439">
        <f t="shared" si="12"/>
        <v>-31.343283582089555</v>
      </c>
      <c r="W31" s="722">
        <v>70</v>
      </c>
      <c r="X31" s="439">
        <f t="shared" si="13"/>
        <v>52.173913043478258</v>
      </c>
      <c r="Y31" s="804">
        <v>17</v>
      </c>
      <c r="Z31" s="439">
        <f t="shared" si="13"/>
        <v>-75.714285714285708</v>
      </c>
      <c r="AA31" s="804">
        <v>19</v>
      </c>
      <c r="AB31" s="439">
        <f t="shared" si="13"/>
        <v>11.76470588235294</v>
      </c>
      <c r="AC31" s="908">
        <v>15</v>
      </c>
      <c r="AD31" s="1"/>
      <c r="AE31" s="1"/>
      <c r="AF31" s="1"/>
      <c r="AG31"/>
      <c r="AH31" s="715"/>
      <c r="AI31" s="715"/>
      <c r="AJ31" s="714"/>
      <c r="AK31" s="714"/>
      <c r="AL31" s="728"/>
    </row>
    <row r="32" spans="1:38" ht="15.75" thickBot="1">
      <c r="A32" s="852" t="s">
        <v>989</v>
      </c>
      <c r="B32" s="857">
        <f>B25+B26+B27</f>
        <v>38548</v>
      </c>
      <c r="C32" s="857">
        <f>C25+C26+C27</f>
        <v>30840</v>
      </c>
      <c r="D32" s="858">
        <f>(C32-B32)/B32*100</f>
        <v>-19.995849330704576</v>
      </c>
      <c r="E32" s="848">
        <f>+E25+E26+E28</f>
        <v>23313</v>
      </c>
      <c r="F32" s="849">
        <f>(E32-C32)/C32*100</f>
        <v>-24.406614785992218</v>
      </c>
      <c r="G32" s="848">
        <f>+G25+G26+G28</f>
        <v>57373</v>
      </c>
      <c r="H32" s="849">
        <f>(G32-E32)/E32*100</f>
        <v>146.09874319049459</v>
      </c>
      <c r="I32" s="848">
        <f>+I25+I26+I28</f>
        <v>21903</v>
      </c>
      <c r="J32" s="849">
        <f>(I32-G32)/G32*100</f>
        <v>-61.823505830268587</v>
      </c>
      <c r="K32" s="848">
        <f>+K25+K26+K28+K29+K31</f>
        <v>62240</v>
      </c>
      <c r="L32" s="849">
        <f>(K32-I32)/I32*100</f>
        <v>184.16198694242797</v>
      </c>
      <c r="M32" s="848">
        <f>+M25+M26+M28+M29+M31</f>
        <v>63024</v>
      </c>
      <c r="N32" s="849">
        <f>(M32-K32)/K32*100</f>
        <v>1.2596401028277635</v>
      </c>
      <c r="O32" s="848">
        <f>+O25+O26+O28+O29+O31</f>
        <v>39248</v>
      </c>
      <c r="P32" s="849">
        <f>(O32-M32)/M32*100</f>
        <v>-37.725310992637723</v>
      </c>
      <c r="Q32" s="848">
        <f>+Q25+Q26+Q28+Q29+Q31</f>
        <v>127866</v>
      </c>
      <c r="R32" s="849">
        <f>(Q32-O32)/O32*100</f>
        <v>225.78984916428863</v>
      </c>
      <c r="S32" s="848">
        <f>+S25+S26+S28+S29+S31</f>
        <v>46816</v>
      </c>
      <c r="T32" s="849">
        <f>(S32-Q32)/Q32*100</f>
        <v>-63.386670420596559</v>
      </c>
      <c r="U32" s="848">
        <f>+U25+U26+U28+U29+U31</f>
        <v>38572</v>
      </c>
      <c r="V32" s="849">
        <f t="shared" si="12"/>
        <v>-17.609364319890634</v>
      </c>
      <c r="W32" s="848">
        <f>+W25+W26+W28+W29+W31</f>
        <v>42103</v>
      </c>
      <c r="X32" s="849">
        <f t="shared" si="13"/>
        <v>9.1543088250544447</v>
      </c>
      <c r="Y32" s="848">
        <v>75167</v>
      </c>
      <c r="Z32" s="849">
        <f t="shared" si="13"/>
        <v>78.531221053131603</v>
      </c>
      <c r="AA32" s="848">
        <f>+AA25+AA26+AA28+AA29+AA31</f>
        <v>33539</v>
      </c>
      <c r="AB32" s="849">
        <f t="shared" si="13"/>
        <v>-55.380685673234268</v>
      </c>
      <c r="AC32" s="850">
        <f>+AC25+AC26+AC28+AC29+AC31</f>
        <v>13458</v>
      </c>
      <c r="AD32" s="1"/>
      <c r="AE32" s="1"/>
      <c r="AF32" s="1"/>
      <c r="AG32"/>
      <c r="AH32" s="715"/>
      <c r="AI32" s="715"/>
      <c r="AJ32" s="714"/>
      <c r="AK32" s="714"/>
      <c r="AL32" s="16"/>
    </row>
    <row r="33" spans="1:38" ht="23.25" customHeight="1" thickBot="1">
      <c r="A33" s="412"/>
      <c r="B33" s="450"/>
      <c r="C33" s="450"/>
      <c r="D33" s="410"/>
      <c r="E33" s="450"/>
      <c r="F33" s="451"/>
      <c r="G33" s="450"/>
      <c r="H33" s="451"/>
      <c r="I33" s="450"/>
      <c r="J33" s="451"/>
      <c r="K33" s="450"/>
      <c r="L33" s="452"/>
      <c r="M33" s="453"/>
      <c r="N33" s="453"/>
      <c r="O33" s="453"/>
      <c r="P33" s="4"/>
      <c r="Q33" s="453"/>
      <c r="R33" s="4"/>
      <c r="S33" s="453"/>
      <c r="T33" s="4"/>
      <c r="U33" s="453"/>
      <c r="V33" s="453"/>
      <c r="W33" s="453"/>
      <c r="AD33" s="1"/>
      <c r="AE33" s="1"/>
      <c r="AF33" s="1"/>
      <c r="AG33"/>
      <c r="AH33" s="715"/>
      <c r="AI33" s="715"/>
      <c r="AJ33" s="714"/>
      <c r="AK33" s="714"/>
      <c r="AL33" s="16"/>
    </row>
    <row r="34" spans="1:38" ht="15" customHeight="1" thickBot="1">
      <c r="A34" s="1955" t="s">
        <v>995</v>
      </c>
      <c r="B34" s="1956"/>
      <c r="C34" s="1956"/>
      <c r="D34" s="1956"/>
      <c r="E34" s="1956"/>
      <c r="F34" s="1956"/>
      <c r="G34" s="1956"/>
      <c r="H34" s="1956"/>
      <c r="I34" s="1956"/>
      <c r="J34" s="1956"/>
      <c r="K34" s="1956"/>
      <c r="L34" s="1956"/>
      <c r="M34" s="1956"/>
      <c r="N34" s="1956"/>
      <c r="O34" s="1956"/>
      <c r="P34" s="1956"/>
      <c r="Q34" s="1956"/>
      <c r="R34" s="1956"/>
      <c r="S34" s="1956"/>
      <c r="T34" s="1956"/>
      <c r="U34" s="1956"/>
      <c r="V34" s="1956"/>
      <c r="W34" s="1956"/>
      <c r="X34" s="1956"/>
      <c r="Y34" s="1956"/>
      <c r="Z34" s="1956"/>
      <c r="AA34" s="1956"/>
      <c r="AB34" s="1956"/>
      <c r="AC34" s="1957"/>
      <c r="AD34" s="1"/>
      <c r="AE34" s="1"/>
      <c r="AF34" s="1"/>
      <c r="AG34"/>
      <c r="AH34" s="715"/>
      <c r="AI34" s="715"/>
      <c r="AJ34" s="714"/>
      <c r="AK34" s="714"/>
      <c r="AL34" s="16"/>
    </row>
    <row r="35" spans="1:38" ht="15">
      <c r="A35" s="416" t="s">
        <v>983</v>
      </c>
      <c r="B35" s="454">
        <v>64994.550827989566</v>
      </c>
      <c r="C35" s="454">
        <v>80670.268649143822</v>
      </c>
      <c r="D35" s="234">
        <f>(C35-B35)/B35*100</f>
        <v>24.118510892767937</v>
      </c>
      <c r="E35" s="420">
        <v>81322</v>
      </c>
      <c r="F35" s="455">
        <v>-3.360665478312537E-2</v>
      </c>
      <c r="G35" s="456">
        <v>69617</v>
      </c>
      <c r="H35" s="455">
        <f>(G35-E35)/E35</f>
        <v>-0.14393399080199701</v>
      </c>
      <c r="I35" s="457">
        <v>44875</v>
      </c>
      <c r="J35" s="455">
        <f>(I35-G35)/G35</f>
        <v>-0.35540169786115461</v>
      </c>
      <c r="K35" s="458">
        <f>30178+9405+9925+8061+3936+1855</f>
        <v>63360</v>
      </c>
      <c r="L35" s="436">
        <f>(K35-I35)/I35*100</f>
        <v>41.192200557103064</v>
      </c>
      <c r="M35" s="458">
        <f>2092+3510+4655+4352+3470+2612+3736+8817+3278+3054+3191+1375</f>
        <v>44142</v>
      </c>
      <c r="N35" s="436">
        <f>(M35-K35)/K35*100</f>
        <v>-30.331439393939398</v>
      </c>
      <c r="O35" s="458">
        <f>1126+2141+3420+3124+2948+1773+1166+8064+2796+2461+2634+859</f>
        <v>32512</v>
      </c>
      <c r="P35" s="436">
        <f>(O35-M35)/M35*100</f>
        <v>-26.346789905305606</v>
      </c>
      <c r="Q35" s="458">
        <f>559+2087+3319+3150+2554+1386+1601+6253+2438+2708+2805+1713</f>
        <v>30573</v>
      </c>
      <c r="R35" s="436">
        <f>(Q35-O35)/O35*100</f>
        <v>-5.9639517716535435</v>
      </c>
      <c r="S35" s="458">
        <f>1215+1686+2433+1948+2454+1001+1934+6836+2507+2283+2230+1204</f>
        <v>27731</v>
      </c>
      <c r="T35" s="436">
        <f>(S35-Q35)/Q35*100</f>
        <v>-9.2957838615772079</v>
      </c>
      <c r="U35" s="458">
        <v>23476</v>
      </c>
      <c r="V35" s="436">
        <f>(U35-S35)/S35*100</f>
        <v>-15.343839024917964</v>
      </c>
      <c r="W35" s="458">
        <f>2704+4101+4021+3701+2154+1977+7151+3279+4092+3160+1420+2101</f>
        <v>39861</v>
      </c>
      <c r="X35" s="436">
        <f>(W35-U35)/U35*100</f>
        <v>69.794683932526837</v>
      </c>
      <c r="Y35" s="805">
        <v>48205</v>
      </c>
      <c r="Z35" s="886">
        <f>(Y35-W35)/W35*100</f>
        <v>20.932741275933868</v>
      </c>
      <c r="AA35" s="887">
        <v>54490</v>
      </c>
      <c r="AB35" s="886">
        <f>(AA35-Y35)/Y35*100</f>
        <v>13.038066590602634</v>
      </c>
      <c r="AC35" s="933">
        <v>31138</v>
      </c>
      <c r="AD35" s="861"/>
      <c r="AE35" s="1"/>
      <c r="AF35" s="1"/>
      <c r="AG35"/>
    </row>
    <row r="36" spans="1:38" ht="15">
      <c r="A36" s="424" t="s">
        <v>1026</v>
      </c>
      <c r="B36" s="459">
        <v>952.32498062152058</v>
      </c>
      <c r="C36" s="459">
        <v>1182.0115848072721</v>
      </c>
      <c r="D36" s="223">
        <f>(C36-B36)/B36*100</f>
        <v>24.118510892767933</v>
      </c>
      <c r="E36" s="427">
        <v>1163</v>
      </c>
      <c r="F36" s="460">
        <v>-0.27357901311680199</v>
      </c>
      <c r="G36" s="461">
        <v>1220</v>
      </c>
      <c r="H36" s="460">
        <f>(G36-E36)/E36</f>
        <v>4.9011177987962166E-2</v>
      </c>
      <c r="I36" s="462">
        <v>1257</v>
      </c>
      <c r="J36" s="460">
        <f>(I36-G36)/G36</f>
        <v>3.0327868852459017E-2</v>
      </c>
      <c r="K36" s="463">
        <f>617+90+133+83+103+83</f>
        <v>1109</v>
      </c>
      <c r="L36" s="439">
        <f>(K36-I36)/I36*100</f>
        <v>-11.774065234685761</v>
      </c>
      <c r="M36" s="463">
        <f>95+108+147+113+98+85+123+85+59+40+45+47</f>
        <v>1045</v>
      </c>
      <c r="N36" s="439">
        <f>(M36-K36)/K36*100</f>
        <v>-5.7709648331830472</v>
      </c>
      <c r="O36" s="463">
        <f>38+28+46+62+59+35+40+47+32+26+49+38</f>
        <v>500</v>
      </c>
      <c r="P36" s="439">
        <f>(O36-M36)/M36*100</f>
        <v>-52.153110047846887</v>
      </c>
      <c r="Q36" s="463">
        <f>38+63+57+41+55+55+59+56+30+44+51+34</f>
        <v>583</v>
      </c>
      <c r="R36" s="439">
        <f>(Q36-O36)/O36*100</f>
        <v>16.600000000000001</v>
      </c>
      <c r="S36" s="463">
        <f>43+51+50+37+34+46+58+38+28+25+36+45</f>
        <v>491</v>
      </c>
      <c r="T36" s="439">
        <f>(S36-Q36)/Q36*100</f>
        <v>-15.780445969125214</v>
      </c>
      <c r="U36" s="463">
        <v>405</v>
      </c>
      <c r="V36" s="439">
        <f>(U36-S36)/S36*100</f>
        <v>-17.515274949083505</v>
      </c>
      <c r="W36" s="463">
        <v>769</v>
      </c>
      <c r="X36" s="439">
        <f>(W36-U36)/U36*100</f>
        <v>89.876543209876544</v>
      </c>
      <c r="Y36" s="806">
        <v>912</v>
      </c>
      <c r="Z36" s="439">
        <f>(Y36-W36)/W36*100</f>
        <v>18.59557867360208</v>
      </c>
      <c r="AA36" s="806">
        <v>716</v>
      </c>
      <c r="AB36" s="439">
        <f>(AA36-Y36)/Y36*100</f>
        <v>-21.491228070175438</v>
      </c>
      <c r="AC36" s="934">
        <v>226</v>
      </c>
      <c r="AD36" s="1"/>
      <c r="AE36" s="1"/>
      <c r="AF36" s="1"/>
      <c r="AG36"/>
    </row>
    <row r="37" spans="1:38" ht="13.5" customHeight="1">
      <c r="A37" s="424" t="s">
        <v>1027</v>
      </c>
      <c r="B37" s="459">
        <v>106.12419138890846</v>
      </c>
      <c r="C37" s="459">
        <v>131.71976604890423</v>
      </c>
      <c r="D37" s="223">
        <f>(C37-B37)/B37*100</f>
        <v>24.118510892767933</v>
      </c>
      <c r="E37" s="427">
        <v>102</v>
      </c>
      <c r="F37" s="460">
        <v>-0.75539568345323738</v>
      </c>
      <c r="G37" s="461">
        <v>118</v>
      </c>
      <c r="H37" s="460">
        <f>(G37-E37)/E37</f>
        <v>0.15686274509803921</v>
      </c>
      <c r="I37" s="462">
        <v>51</v>
      </c>
      <c r="J37" s="460">
        <f>(I37-G37)/G37</f>
        <v>-0.56779661016949157</v>
      </c>
      <c r="K37" s="463">
        <f>17+1+2+3+0+0</f>
        <v>23</v>
      </c>
      <c r="L37" s="439">
        <f>(K37-I37)/I37*100</f>
        <v>-54.901960784313729</v>
      </c>
      <c r="M37" s="463">
        <f>0+3+1+1+0+5+5+2+2+2</f>
        <v>21</v>
      </c>
      <c r="N37" s="439">
        <f>(M37-K37)/K37*100</f>
        <v>-8.695652173913043</v>
      </c>
      <c r="O37" s="463">
        <f>1+1+3+4+3+6+3+3+1+3+5+1</f>
        <v>34</v>
      </c>
      <c r="P37" s="439">
        <f>(O37-M37)/M37*100</f>
        <v>61.904761904761905</v>
      </c>
      <c r="Q37" s="463">
        <f>3+7+4+6+1+1+5+2+3+0+2+1</f>
        <v>35</v>
      </c>
      <c r="R37" s="439">
        <f>(Q37-O37)/O37*100</f>
        <v>2.9411764705882351</v>
      </c>
      <c r="S37" s="463">
        <f>3+3+3+4+3+3+6+7+1+4+4+3</f>
        <v>44</v>
      </c>
      <c r="T37" s="439">
        <f>(S37-Q37)/Q37*100</f>
        <v>25.714285714285712</v>
      </c>
      <c r="U37" s="463">
        <v>61</v>
      </c>
      <c r="V37" s="439">
        <f>(U37-S37)/S37*100</f>
        <v>38.636363636363633</v>
      </c>
      <c r="W37" s="463">
        <f>18+17+15+18+14+16+4+7+15+10+6+5</f>
        <v>145</v>
      </c>
      <c r="X37" s="439">
        <f>(W37-U37)/U37*100</f>
        <v>137.70491803278688</v>
      </c>
      <c r="Y37" s="806">
        <v>182</v>
      </c>
      <c r="Z37" s="439">
        <f>(Y37-W37)/W37*100</f>
        <v>25.517241379310345</v>
      </c>
      <c r="AA37" s="806">
        <v>130</v>
      </c>
      <c r="AB37" s="439">
        <f>(AA37-Y37)/Y37*100</f>
        <v>-28.571428571428569</v>
      </c>
      <c r="AC37" s="934">
        <v>78</v>
      </c>
      <c r="AD37" s="1"/>
      <c r="AE37" s="1"/>
      <c r="AF37" s="1"/>
      <c r="AG37"/>
    </row>
    <row r="38" spans="1:38" ht="15.75" customHeight="1">
      <c r="A38" s="424" t="s">
        <v>996</v>
      </c>
      <c r="B38" s="459">
        <v>3719</v>
      </c>
      <c r="C38" s="459">
        <v>3582</v>
      </c>
      <c r="D38" s="223">
        <f>(C38-B38)/B38*100</f>
        <v>-3.6837859639688086</v>
      </c>
      <c r="E38" s="464" t="s">
        <v>686</v>
      </c>
      <c r="F38" s="460"/>
      <c r="G38" s="465" t="s">
        <v>686</v>
      </c>
      <c r="H38" s="460"/>
      <c r="I38" s="466" t="s">
        <v>686</v>
      </c>
      <c r="J38" s="460"/>
      <c r="K38" s="466" t="s">
        <v>686</v>
      </c>
      <c r="L38" s="439"/>
      <c r="M38" s="466" t="s">
        <v>686</v>
      </c>
      <c r="N38" s="439"/>
      <c r="O38" s="467">
        <f>1318+1306+1498+1789+1649+1674+1294+809+489+854+905+1183</f>
        <v>14768</v>
      </c>
      <c r="P38" s="439" t="s">
        <v>729</v>
      </c>
      <c r="Q38" s="467">
        <f>1117+1687+2712+2307+1650+1899+1770+1321+769+1579+1719+1728</f>
        <v>20258</v>
      </c>
      <c r="R38" s="439">
        <f>(Q38-O38)/O38*100</f>
        <v>37.17497291440953</v>
      </c>
      <c r="S38" s="467">
        <f>2769+2006+2839+1839+1534+1177+1728+640+833+946+1149+1668</f>
        <v>19128</v>
      </c>
      <c r="T38" s="439">
        <f>(S38-Q38)/Q38*100</f>
        <v>-5.5780432421759309</v>
      </c>
      <c r="U38" s="467">
        <v>11445</v>
      </c>
      <c r="V38" s="439">
        <f>(U38-S38)/S38*100</f>
        <v>-40.16624843161857</v>
      </c>
      <c r="W38" s="467">
        <v>20998</v>
      </c>
      <c r="X38" s="439">
        <f>(W38-U38)/U38*100</f>
        <v>83.468763652249891</v>
      </c>
      <c r="Y38" s="807">
        <v>19776</v>
      </c>
      <c r="Z38" s="439">
        <f>(Y38-W38)/W38*100</f>
        <v>-5.8196018668444616</v>
      </c>
      <c r="AA38" s="807">
        <v>20809</v>
      </c>
      <c r="AB38" s="439">
        <f>(AA38-Y38)/Y38*100</f>
        <v>5.2235032362459553</v>
      </c>
      <c r="AC38" s="935">
        <v>4161</v>
      </c>
      <c r="AD38" s="16"/>
      <c r="AE38" s="16"/>
    </row>
    <row r="39" spans="1:38" ht="14.25" customHeight="1">
      <c r="A39" s="424" t="s">
        <v>997</v>
      </c>
      <c r="B39" s="459"/>
      <c r="C39" s="459"/>
      <c r="D39" s="223"/>
      <c r="E39" s="461">
        <v>40705</v>
      </c>
      <c r="F39" s="460">
        <v>0.91231375660063962</v>
      </c>
      <c r="G39" s="461">
        <v>39439</v>
      </c>
      <c r="H39" s="428">
        <f>(G39-E39)/E39*100</f>
        <v>-3.1101830241985016</v>
      </c>
      <c r="I39" s="459">
        <v>42768</v>
      </c>
      <c r="J39" s="460">
        <f>(I39-G39)/G39*100</f>
        <v>8.4408833895382749</v>
      </c>
      <c r="K39" s="459">
        <f>24582+2174+3701+2920+3621+3441</f>
        <v>40439</v>
      </c>
      <c r="L39" s="460">
        <f>(K39-I39)/I39*100</f>
        <v>-5.4456603067714182</v>
      </c>
      <c r="M39" s="459">
        <f>4295+3749+3856+4733+4173+5149+6489+1838+1209+1513+1198+1845</f>
        <v>40047</v>
      </c>
      <c r="N39" s="460">
        <f>(M39-K39)/K39*100</f>
        <v>-0.96936126016963831</v>
      </c>
      <c r="O39" s="459">
        <f>1847+1869+2114+2524+2379+2433+2241+1376+697+1318+1259+1649</f>
        <v>21706</v>
      </c>
      <c r="P39" s="460">
        <f>(O39-M39)/M39*100</f>
        <v>-45.798686543311604</v>
      </c>
      <c r="Q39" s="459">
        <f>1753+2317+4072+3436+2406+2769+3200+1891+1074+2462+2368+2467</f>
        <v>30215</v>
      </c>
      <c r="R39" s="460">
        <f>(Q39-O39)/O39*100</f>
        <v>39.201142541232834</v>
      </c>
      <c r="S39" s="459">
        <f>2838+2849+3138+2655+2181+1677+2462+951+1086+1443+1596+2299</f>
        <v>25175</v>
      </c>
      <c r="T39" s="460">
        <f>(S39-Q39)/Q39*100</f>
        <v>-16.680456726791331</v>
      </c>
      <c r="U39" s="459">
        <v>17166</v>
      </c>
      <c r="V39" s="460">
        <f>(U39-S39)/S39*100</f>
        <v>-31.813306852035751</v>
      </c>
      <c r="W39" s="459">
        <f>133+294+424+289+18245+9889</f>
        <v>29274</v>
      </c>
      <c r="X39" s="460">
        <f>(W39-U39)/U39*100</f>
        <v>70.53477804963299</v>
      </c>
      <c r="Y39" s="806">
        <v>30524</v>
      </c>
      <c r="Z39" s="460">
        <f>(Y39-W39)/W39*100</f>
        <v>4.2700006832001094</v>
      </c>
      <c r="AA39" s="806">
        <v>29851</v>
      </c>
      <c r="AB39" s="460">
        <f>(AA39-Y39)/Y39*100</f>
        <v>-2.2048224348053989</v>
      </c>
      <c r="AC39" s="934">
        <v>5755</v>
      </c>
      <c r="AD39" s="448"/>
      <c r="AE39" s="16"/>
    </row>
    <row r="40" spans="1:38" ht="15" customHeight="1">
      <c r="A40" s="468" t="s">
        <v>998</v>
      </c>
      <c r="B40" s="469"/>
      <c r="C40" s="469"/>
      <c r="D40" s="470"/>
      <c r="E40" s="465" t="s">
        <v>686</v>
      </c>
      <c r="F40" s="471"/>
      <c r="G40" s="465" t="s">
        <v>686</v>
      </c>
      <c r="H40" s="472"/>
      <c r="I40" s="466" t="s">
        <v>686</v>
      </c>
      <c r="J40" s="471"/>
      <c r="K40" s="466" t="s">
        <v>686</v>
      </c>
      <c r="L40" s="471" t="s">
        <v>729</v>
      </c>
      <c r="M40" s="466" t="s">
        <v>686</v>
      </c>
      <c r="N40" s="471"/>
      <c r="O40" s="469">
        <f>11+17+12+9+11+5+1+7+0+1+0+3</f>
        <v>77</v>
      </c>
      <c r="P40" s="460">
        <v>0</v>
      </c>
      <c r="Q40" s="469">
        <f>1+1+5+3+2+7+5+2+2+5+4+8</f>
        <v>45</v>
      </c>
      <c r="R40" s="460">
        <v>0</v>
      </c>
      <c r="S40" s="469">
        <f>5+13+5+7+1+3+5+7+0+6+5+3</f>
        <v>60</v>
      </c>
      <c r="T40" s="460">
        <v>0</v>
      </c>
      <c r="U40" s="469">
        <v>92</v>
      </c>
      <c r="V40" s="460">
        <v>0</v>
      </c>
      <c r="W40" s="729">
        <v>608</v>
      </c>
      <c r="X40" s="460">
        <v>0</v>
      </c>
      <c r="Y40" s="808">
        <v>970</v>
      </c>
      <c r="Z40" s="460">
        <v>0</v>
      </c>
      <c r="AA40" s="808">
        <v>547</v>
      </c>
      <c r="AB40" s="460">
        <v>0</v>
      </c>
      <c r="AC40" s="936">
        <v>128</v>
      </c>
      <c r="AD40" s="16"/>
      <c r="AE40" s="16"/>
    </row>
    <row r="41" spans="1:38" ht="15.75" thickBot="1">
      <c r="A41" s="852" t="s">
        <v>989</v>
      </c>
      <c r="B41" s="859">
        <f>SUM(B35:B39)</f>
        <v>69772</v>
      </c>
      <c r="C41" s="859">
        <f>SUM(C35:C39)</f>
        <v>85566</v>
      </c>
      <c r="D41" s="860">
        <f>(C41-B41)/B41*100</f>
        <v>22.636587742934129</v>
      </c>
      <c r="E41" s="848">
        <f>SUM(E35:E40)</f>
        <v>123292</v>
      </c>
      <c r="F41" s="851">
        <v>-2.5398205604521561E-2</v>
      </c>
      <c r="G41" s="848">
        <f>SUM(G35:G40)</f>
        <v>110394</v>
      </c>
      <c r="H41" s="851">
        <f>(G41-E41)/E41</f>
        <v>-0.10461343801706517</v>
      </c>
      <c r="I41" s="859">
        <f>SUM(I35:I40)</f>
        <v>88951</v>
      </c>
      <c r="J41" s="851">
        <f>(I41-G41)/G41</f>
        <v>-0.19424062901969311</v>
      </c>
      <c r="K41" s="848">
        <f>SUM(K35:K40)</f>
        <v>104931</v>
      </c>
      <c r="L41" s="851">
        <f>(K41-I41)/I41</f>
        <v>0.17964946993288439</v>
      </c>
      <c r="M41" s="848">
        <f>SUM(M35:M39)</f>
        <v>85255</v>
      </c>
      <c r="N41" s="851">
        <f>(M41-K41)/K41*100</f>
        <v>-18.751369947870504</v>
      </c>
      <c r="O41" s="848">
        <f>+O35+O36+O37+O39</f>
        <v>54752</v>
      </c>
      <c r="P41" s="851">
        <f>(O41-M41)/M41*100</f>
        <v>-35.778546712802765</v>
      </c>
      <c r="Q41" s="848">
        <f>+Q35+Q36+Q37+Q39</f>
        <v>61406</v>
      </c>
      <c r="R41" s="851">
        <f>(Q41-O41)/O41*100</f>
        <v>12.152980713033314</v>
      </c>
      <c r="S41" s="848">
        <f>+S35+S36+S37+S39</f>
        <v>53441</v>
      </c>
      <c r="T41" s="851">
        <f>(S41-Q41)/Q41*100</f>
        <v>-12.971045174738624</v>
      </c>
      <c r="U41" s="848">
        <v>41108</v>
      </c>
      <c r="V41" s="851">
        <f>(U41-S41)/S41*100</f>
        <v>-23.07778671806291</v>
      </c>
      <c r="W41" s="848">
        <f>+W35+W36+W37+W39</f>
        <v>70049</v>
      </c>
      <c r="X41" s="851">
        <f>(W41-U41)/U41*100</f>
        <v>70.402354772793615</v>
      </c>
      <c r="Y41" s="848">
        <v>79823</v>
      </c>
      <c r="Z41" s="851">
        <f>(Y41-W41)/W41*100</f>
        <v>13.953089979871233</v>
      </c>
      <c r="AA41" s="848">
        <f>+AA35+AA36+AA37+AA39</f>
        <v>85187</v>
      </c>
      <c r="AB41" s="851">
        <f>(AA41-Y41)/Y41*100</f>
        <v>6.7198677073024076</v>
      </c>
      <c r="AC41" s="850">
        <f>+AC35+AC36+AC37+AC39</f>
        <v>37197</v>
      </c>
      <c r="AD41" s="16"/>
      <c r="AE41" s="16"/>
    </row>
    <row r="42" spans="1:38" ht="15">
      <c r="A42" s="473" t="s">
        <v>625</v>
      </c>
      <c r="P42" s="4"/>
      <c r="R42" s="4"/>
      <c r="T42" s="4"/>
      <c r="W42" s="214"/>
      <c r="Y42" s="740"/>
      <c r="AA42" s="740"/>
      <c r="AC42" s="740" t="s">
        <v>729</v>
      </c>
    </row>
    <row r="43" spans="1:38" ht="10.5" customHeight="1">
      <c r="A43" s="473"/>
      <c r="P43" s="4"/>
      <c r="R43" s="4"/>
      <c r="T43" s="4"/>
    </row>
    <row r="44" spans="1:38">
      <c r="O44" s="16"/>
      <c r="P44" s="16"/>
      <c r="Q44" s="16"/>
      <c r="R44" s="4"/>
      <c r="T44" s="4"/>
      <c r="Y44" s="740"/>
      <c r="AA44" s="740"/>
      <c r="AC44" s="740"/>
    </row>
    <row r="45" spans="1:38">
      <c r="O45" s="16"/>
      <c r="P45" s="16"/>
      <c r="Q45" s="16"/>
      <c r="R45" s="4"/>
      <c r="T45" s="4"/>
      <c r="W45" s="4" t="s">
        <v>729</v>
      </c>
    </row>
    <row r="46" spans="1:38">
      <c r="O46" s="474"/>
      <c r="P46" s="475"/>
      <c r="Q46" s="16"/>
      <c r="R46" s="4"/>
      <c r="T46" s="4"/>
    </row>
    <row r="47" spans="1:38">
      <c r="O47" s="474" t="s">
        <v>729</v>
      </c>
      <c r="P47" s="475"/>
      <c r="Q47" s="16"/>
    </row>
    <row r="48" spans="1:38">
      <c r="O48" s="474"/>
      <c r="P48" s="411"/>
      <c r="Q48" s="16"/>
      <c r="S48" s="4" t="s">
        <v>729</v>
      </c>
      <c r="U48" s="16"/>
      <c r="V48" s="744"/>
      <c r="W48" s="744"/>
      <c r="X48" s="745"/>
      <c r="Y48" s="744"/>
      <c r="Z48" s="745"/>
      <c r="AA48" s="744"/>
      <c r="AB48" s="745"/>
      <c r="AC48" s="744"/>
      <c r="AD48" s="744"/>
      <c r="AE48" s="744"/>
      <c r="AF48" s="744"/>
      <c r="AG48" s="745"/>
      <c r="AH48" s="744"/>
      <c r="AI48" s="746"/>
      <c r="AJ48" s="746"/>
      <c r="AK48" s="16"/>
    </row>
    <row r="49" spans="15:37">
      <c r="O49" s="474"/>
      <c r="P49" s="411"/>
      <c r="Q49" s="16"/>
      <c r="U49" s="16"/>
      <c r="V49" s="744"/>
      <c r="W49" s="744"/>
      <c r="X49" s="745"/>
      <c r="Y49" s="744"/>
      <c r="Z49" s="745"/>
      <c r="AA49" s="744"/>
      <c r="AB49" s="745"/>
      <c r="AC49" s="744"/>
      <c r="AD49" s="744"/>
      <c r="AE49" s="744"/>
      <c r="AF49" s="744"/>
      <c r="AG49" s="745"/>
      <c r="AH49" s="744"/>
      <c r="AI49" s="746"/>
      <c r="AJ49" s="746"/>
      <c r="AK49" s="16"/>
    </row>
    <row r="50" spans="15:37">
      <c r="O50" s="474"/>
      <c r="P50" s="475"/>
      <c r="Q50" s="16"/>
      <c r="U50" s="16"/>
      <c r="V50" s="744"/>
      <c r="W50" s="744"/>
      <c r="X50" s="745"/>
      <c r="Y50" s="744"/>
      <c r="Z50" s="745"/>
      <c r="AA50" s="744"/>
      <c r="AB50" s="745"/>
      <c r="AC50" s="744"/>
      <c r="AD50" s="744"/>
      <c r="AE50" s="744"/>
      <c r="AF50" s="744"/>
      <c r="AG50" s="745"/>
      <c r="AH50" s="747"/>
      <c r="AI50" s="746"/>
      <c r="AJ50" s="746"/>
      <c r="AK50" s="16"/>
    </row>
    <row r="51" spans="15:37">
      <c r="O51" s="474"/>
      <c r="P51" s="475"/>
      <c r="Q51" s="16"/>
      <c r="U51" s="16"/>
      <c r="V51" s="744"/>
      <c r="W51" s="744"/>
      <c r="X51" s="745"/>
      <c r="Y51" s="744"/>
      <c r="Z51" s="745"/>
      <c r="AA51" s="744"/>
      <c r="AB51" s="745"/>
      <c r="AC51" s="744"/>
      <c r="AD51" s="744"/>
      <c r="AE51" s="744"/>
      <c r="AF51" s="744"/>
      <c r="AG51" s="745"/>
      <c r="AH51" s="744"/>
      <c r="AI51" s="746"/>
      <c r="AJ51" s="746"/>
      <c r="AK51" s="16"/>
    </row>
    <row r="52" spans="15:37">
      <c r="O52" s="474"/>
      <c r="P52" s="475"/>
      <c r="Q52" s="16"/>
      <c r="U52" s="16"/>
      <c r="V52" s="744"/>
      <c r="W52" s="744"/>
      <c r="X52" s="745"/>
      <c r="Y52" s="744"/>
      <c r="Z52" s="745"/>
      <c r="AA52" s="744"/>
      <c r="AB52" s="745"/>
      <c r="AC52" s="744"/>
      <c r="AD52" s="744"/>
      <c r="AE52" s="744"/>
      <c r="AF52" s="744"/>
      <c r="AG52" s="745"/>
      <c r="AH52" s="744"/>
      <c r="AI52" s="746"/>
      <c r="AJ52" s="746"/>
      <c r="AK52" s="16"/>
    </row>
    <row r="53" spans="15:37" ht="15">
      <c r="O53" s="476"/>
      <c r="P53" s="477"/>
      <c r="Q53" s="16"/>
      <c r="U53" s="16"/>
      <c r="V53" s="744"/>
      <c r="W53" s="744"/>
      <c r="X53" s="745"/>
      <c r="Y53" s="744"/>
      <c r="Z53" s="745"/>
      <c r="AA53" s="744"/>
      <c r="AB53" s="745"/>
      <c r="AC53" s="744"/>
      <c r="AD53" s="744"/>
      <c r="AE53" s="744"/>
      <c r="AF53" s="744"/>
      <c r="AG53" s="745"/>
      <c r="AH53" s="744"/>
      <c r="AI53" s="746"/>
      <c r="AJ53" s="746"/>
      <c r="AK53" s="16"/>
    </row>
    <row r="54" spans="15:37">
      <c r="O54" s="16"/>
      <c r="P54" s="16"/>
      <c r="Q54" s="16"/>
      <c r="U54" s="16"/>
      <c r="V54" s="746"/>
      <c r="W54" s="746"/>
      <c r="X54" s="748"/>
      <c r="Y54" s="746"/>
      <c r="Z54" s="748"/>
      <c r="AA54" s="746"/>
      <c r="AB54" s="748"/>
      <c r="AC54" s="746"/>
      <c r="AD54" s="746"/>
      <c r="AE54" s="746"/>
      <c r="AF54" s="746"/>
      <c r="AG54" s="748"/>
      <c r="AH54" s="746"/>
      <c r="AI54" s="746"/>
      <c r="AJ54" s="746"/>
      <c r="AK54" s="16"/>
    </row>
    <row r="55" spans="15:37">
      <c r="O55" s="16"/>
      <c r="P55" s="478"/>
      <c r="Q55" s="16"/>
      <c r="U55" s="16"/>
      <c r="V55" s="16"/>
      <c r="W55" s="16"/>
      <c r="X55" s="16"/>
      <c r="Y55" s="749"/>
      <c r="Z55" s="16"/>
      <c r="AA55" s="749"/>
      <c r="AB55" s="16"/>
      <c r="AC55" s="749"/>
      <c r="AD55" s="16"/>
      <c r="AE55" s="16"/>
      <c r="AF55" s="16"/>
      <c r="AG55" s="16"/>
      <c r="AH55" s="16"/>
      <c r="AI55" s="16"/>
      <c r="AJ55" s="16"/>
      <c r="AK55" s="16"/>
    </row>
    <row r="56" spans="15:37">
      <c r="U56" s="16"/>
      <c r="V56" s="16"/>
      <c r="W56" s="16"/>
      <c r="X56" s="16"/>
      <c r="Y56" s="749"/>
      <c r="Z56" s="16"/>
      <c r="AA56" s="749"/>
      <c r="AB56" s="16"/>
      <c r="AC56" s="749"/>
      <c r="AD56" s="16"/>
      <c r="AE56" s="16"/>
      <c r="AF56" s="16"/>
      <c r="AG56" s="16"/>
      <c r="AH56" s="16"/>
      <c r="AI56" s="16"/>
      <c r="AJ56" s="16"/>
      <c r="AK56" s="16"/>
    </row>
    <row r="57" spans="15:37">
      <c r="U57" s="16"/>
      <c r="V57" s="16"/>
      <c r="W57" s="16"/>
      <c r="X57" s="16"/>
      <c r="Y57" s="749"/>
      <c r="Z57" s="16"/>
      <c r="AA57" s="749"/>
      <c r="AB57" s="16"/>
      <c r="AC57" s="749"/>
      <c r="AD57" s="16"/>
      <c r="AE57" s="16"/>
      <c r="AF57" s="16"/>
      <c r="AG57" s="16"/>
      <c r="AH57" s="16"/>
      <c r="AI57" s="16"/>
      <c r="AJ57" s="16"/>
      <c r="AK57" s="16"/>
    </row>
    <row r="58" spans="15:37">
      <c r="U58" s="16"/>
      <c r="V58" s="16"/>
      <c r="W58" s="16"/>
      <c r="X58" s="16"/>
      <c r="Y58" s="749"/>
      <c r="Z58" s="16"/>
      <c r="AA58" s="749"/>
      <c r="AB58" s="16"/>
      <c r="AC58" s="749"/>
      <c r="AD58" s="16"/>
      <c r="AE58" s="16"/>
      <c r="AF58" s="16"/>
      <c r="AG58" s="16"/>
      <c r="AH58" s="16"/>
      <c r="AI58" s="16"/>
      <c r="AJ58" s="16"/>
      <c r="AK58" s="16"/>
    </row>
  </sheetData>
  <mergeCells count="11">
    <mergeCell ref="A2:M2"/>
    <mergeCell ref="AH15:AI15"/>
    <mergeCell ref="A3:AC3"/>
    <mergeCell ref="A14:AC14"/>
    <mergeCell ref="A24:AC24"/>
    <mergeCell ref="A34:AC34"/>
    <mergeCell ref="AJ15:AK15"/>
    <mergeCell ref="AF23:AG23"/>
    <mergeCell ref="AH23:AI23"/>
    <mergeCell ref="AJ23:AK23"/>
    <mergeCell ref="AF15:AG15"/>
  </mergeCells>
  <phoneticPr fontId="85" type="noConversion"/>
  <printOptions verticalCentered="1"/>
  <pageMargins left="0" right="0" top="0" bottom="0" header="0" footer="0"/>
  <pageSetup paperSize="9" scale="54" orientation="landscape"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ayfa20">
    <tabColor theme="3" tint="0.59999389629810485"/>
  </sheetPr>
  <dimension ref="A1:V2443"/>
  <sheetViews>
    <sheetView showGridLines="0" tabSelected="1" topLeftCell="A8" zoomScale="85" zoomScaleNormal="85" workbookViewId="0">
      <selection activeCell="S19" sqref="S19"/>
    </sheetView>
  </sheetViews>
  <sheetFormatPr defaultRowHeight="15"/>
  <cols>
    <col min="1" max="1" width="6.42578125" style="3" customWidth="1"/>
    <col min="2" max="2" width="49.85546875" style="195" customWidth="1"/>
    <col min="3" max="3" width="13.7109375" style="551" customWidth="1"/>
    <col min="4" max="5" width="11.7109375" style="551" customWidth="1"/>
    <col min="6" max="6" width="13.7109375" style="551" customWidth="1"/>
    <col min="7" max="7" width="14" style="551" customWidth="1"/>
    <col min="8" max="8" width="14.85546875" style="3" customWidth="1"/>
    <col min="9" max="9" width="13.7109375" style="3" customWidth="1"/>
    <col min="10" max="10" width="13.5703125" style="1733" customWidth="1"/>
    <col min="11" max="11" width="15.42578125" style="1733" bestFit="1" customWidth="1"/>
    <col min="12" max="12" width="14.5703125" style="1733" customWidth="1"/>
    <col min="13" max="13" width="14.7109375" style="1733" customWidth="1"/>
    <col min="14" max="14" width="15" style="3" customWidth="1"/>
    <col min="15" max="15" width="0.28515625" style="3" hidden="1" customWidth="1"/>
    <col min="16" max="16" width="12" style="3" customWidth="1"/>
    <col min="17" max="17" width="11.85546875" style="550" customWidth="1"/>
    <col min="18" max="19" width="12.42578125" style="3" bestFit="1" customWidth="1"/>
    <col min="20" max="20" width="12.42578125" style="199" bestFit="1" customWidth="1"/>
    <col min="21" max="21" width="13" style="199" customWidth="1"/>
    <col min="22" max="22" width="13.5703125" style="227" customWidth="1"/>
    <col min="23" max="16384" width="9.140625" style="3"/>
  </cols>
  <sheetData>
    <row r="1" spans="1:22" s="537" customFormat="1" ht="17.25" customHeight="1">
      <c r="A1" s="1960" t="s">
        <v>1075</v>
      </c>
      <c r="B1" s="1960"/>
      <c r="C1" s="1960"/>
      <c r="D1" s="1960"/>
      <c r="E1" s="1960"/>
      <c r="F1" s="1960"/>
      <c r="G1" s="1960"/>
      <c r="H1" s="1960"/>
      <c r="I1" s="1960"/>
      <c r="J1" s="1960"/>
      <c r="K1" s="1960"/>
      <c r="L1" s="1960"/>
      <c r="M1" s="1960"/>
      <c r="N1" s="1960"/>
      <c r="O1" s="1960"/>
      <c r="P1" s="1960"/>
      <c r="Q1" s="1960"/>
      <c r="R1" s="1961"/>
      <c r="S1" s="1961"/>
      <c r="T1" s="1961"/>
      <c r="U1" s="1961"/>
      <c r="V1" s="1961"/>
    </row>
    <row r="2" spans="1:22" s="545" customFormat="1" ht="18" customHeight="1" thickBot="1">
      <c r="A2" s="538" t="s">
        <v>1076</v>
      </c>
      <c r="B2" s="1488"/>
      <c r="C2" s="539"/>
      <c r="D2" s="539"/>
      <c r="E2" s="539"/>
      <c r="F2" s="539"/>
      <c r="G2" s="539"/>
      <c r="H2" s="540"/>
      <c r="I2" s="540"/>
      <c r="J2" s="1723"/>
      <c r="K2" s="1723"/>
      <c r="L2" s="1723"/>
      <c r="M2" s="1723"/>
      <c r="N2" s="541"/>
      <c r="O2" s="542"/>
      <c r="P2" s="543"/>
      <c r="Q2" s="544"/>
      <c r="R2" s="542"/>
      <c r="S2" s="543"/>
      <c r="T2" s="1978" t="s">
        <v>1163</v>
      </c>
      <c r="U2" s="1979"/>
      <c r="V2" s="1979"/>
    </row>
    <row r="3" spans="1:22" ht="30" customHeight="1">
      <c r="A3" s="1962" t="s">
        <v>87</v>
      </c>
      <c r="B3" s="1965" t="s">
        <v>1207</v>
      </c>
      <c r="C3" s="1968" t="s">
        <v>999</v>
      </c>
      <c r="D3" s="1969"/>
      <c r="E3" s="1969"/>
      <c r="F3" s="1969"/>
      <c r="G3" s="1969"/>
      <c r="H3" s="1972" t="s">
        <v>1000</v>
      </c>
      <c r="I3" s="1973"/>
      <c r="J3" s="1973"/>
      <c r="K3" s="1973"/>
      <c r="L3" s="1973"/>
      <c r="M3" s="1973"/>
      <c r="N3" s="1974"/>
      <c r="O3" s="571"/>
      <c r="P3" s="1975" t="s">
        <v>1001</v>
      </c>
      <c r="Q3" s="1976"/>
      <c r="R3" s="1976"/>
      <c r="S3" s="1976"/>
      <c r="T3" s="1976"/>
      <c r="U3" s="1976"/>
      <c r="V3" s="1977"/>
    </row>
    <row r="4" spans="1:22" ht="29.25" customHeight="1">
      <c r="A4" s="1963"/>
      <c r="B4" s="1966"/>
      <c r="C4" s="572" t="s">
        <v>590</v>
      </c>
      <c r="D4" s="573" t="s">
        <v>557</v>
      </c>
      <c r="E4" s="572" t="s">
        <v>558</v>
      </c>
      <c r="F4" s="573" t="s">
        <v>559</v>
      </c>
      <c r="G4" s="572" t="s">
        <v>560</v>
      </c>
      <c r="H4" s="572" t="s">
        <v>590</v>
      </c>
      <c r="I4" s="573" t="s">
        <v>557</v>
      </c>
      <c r="J4" s="572" t="s">
        <v>558</v>
      </c>
      <c r="K4" s="573" t="s">
        <v>559</v>
      </c>
      <c r="L4" s="572" t="s">
        <v>561</v>
      </c>
      <c r="M4" s="573" t="s">
        <v>562</v>
      </c>
      <c r="N4" s="575" t="s">
        <v>560</v>
      </c>
      <c r="O4" s="576"/>
      <c r="P4" s="572" t="s">
        <v>5</v>
      </c>
      <c r="Q4" s="573" t="s">
        <v>6</v>
      </c>
      <c r="R4" s="572" t="s">
        <v>7</v>
      </c>
      <c r="S4" s="574" t="s">
        <v>8</v>
      </c>
      <c r="T4" s="572" t="s">
        <v>9</v>
      </c>
      <c r="U4" s="573" t="s">
        <v>579</v>
      </c>
      <c r="V4" s="577" t="s">
        <v>567</v>
      </c>
    </row>
    <row r="5" spans="1:22" ht="16.5" customHeight="1">
      <c r="A5" s="1964"/>
      <c r="B5" s="1967"/>
      <c r="C5" s="578" t="s">
        <v>442</v>
      </c>
      <c r="D5" s="579" t="s">
        <v>443</v>
      </c>
      <c r="E5" s="578" t="s">
        <v>444</v>
      </c>
      <c r="F5" s="580" t="s">
        <v>445</v>
      </c>
      <c r="G5" s="581" t="s">
        <v>446</v>
      </c>
      <c r="H5" s="578" t="s">
        <v>442</v>
      </c>
      <c r="I5" s="579" t="s">
        <v>443</v>
      </c>
      <c r="J5" s="578" t="s">
        <v>444</v>
      </c>
      <c r="K5" s="580" t="s">
        <v>445</v>
      </c>
      <c r="L5" s="578" t="s">
        <v>447</v>
      </c>
      <c r="M5" s="580" t="s">
        <v>460</v>
      </c>
      <c r="N5" s="583" t="s">
        <v>446</v>
      </c>
      <c r="O5" s="584"/>
      <c r="P5" s="578" t="s">
        <v>442</v>
      </c>
      <c r="Q5" s="579" t="s">
        <v>443</v>
      </c>
      <c r="R5" s="578" t="s">
        <v>444</v>
      </c>
      <c r="S5" s="582" t="s">
        <v>445</v>
      </c>
      <c r="T5" s="578" t="s">
        <v>447</v>
      </c>
      <c r="U5" s="580" t="s">
        <v>460</v>
      </c>
      <c r="V5" s="585" t="s">
        <v>358</v>
      </c>
    </row>
    <row r="6" spans="1:22" s="537" customFormat="1" ht="29.25" customHeight="1">
      <c r="A6" s="546" t="s">
        <v>195</v>
      </c>
      <c r="B6" s="1489" t="s">
        <v>672</v>
      </c>
      <c r="C6" s="1446">
        <v>16227</v>
      </c>
      <c r="D6" s="1447">
        <v>419</v>
      </c>
      <c r="E6" s="1446">
        <v>1098</v>
      </c>
      <c r="F6" s="1447">
        <v>15548</v>
      </c>
      <c r="G6" s="1448">
        <f>+F6+E6</f>
        <v>16646</v>
      </c>
      <c r="H6" s="1449">
        <v>100100</v>
      </c>
      <c r="I6" s="1450">
        <v>7316</v>
      </c>
      <c r="J6" s="1724">
        <v>14087</v>
      </c>
      <c r="K6" s="1725">
        <v>93329</v>
      </c>
      <c r="L6" s="1724">
        <v>73174</v>
      </c>
      <c r="M6" s="1725">
        <v>34242</v>
      </c>
      <c r="N6" s="1448">
        <f t="shared" ref="N6:N69" si="0">+L6+M6</f>
        <v>107416</v>
      </c>
      <c r="O6" s="1451">
        <v>0</v>
      </c>
      <c r="P6" s="1452">
        <v>78.832262998466419</v>
      </c>
      <c r="Q6" s="1453">
        <v>69.547957268810222</v>
      </c>
      <c r="R6" s="1452">
        <v>101.55235973370307</v>
      </c>
      <c r="S6" s="1453">
        <v>74.723511343851612</v>
      </c>
      <c r="T6" s="1452">
        <v>80.995608028634933</v>
      </c>
      <c r="U6" s="1453">
        <v>71.524884208840859</v>
      </c>
      <c r="V6" s="1454">
        <v>78.220161885769102</v>
      </c>
    </row>
    <row r="7" spans="1:22" s="537" customFormat="1" ht="29.25" customHeight="1">
      <c r="A7" s="547" t="s">
        <v>197</v>
      </c>
      <c r="B7" s="1490" t="s">
        <v>833</v>
      </c>
      <c r="C7" s="1455">
        <v>1245</v>
      </c>
      <c r="D7" s="1456">
        <v>1744</v>
      </c>
      <c r="E7" s="1455">
        <v>1210</v>
      </c>
      <c r="F7" s="1456">
        <v>1779</v>
      </c>
      <c r="G7" s="1457">
        <f t="shared" ref="G7:G70" si="1">+F7+E7</f>
        <v>2989</v>
      </c>
      <c r="H7" s="1458">
        <v>18671</v>
      </c>
      <c r="I7" s="1459">
        <v>20882</v>
      </c>
      <c r="J7" s="1726">
        <v>31697</v>
      </c>
      <c r="K7" s="1727">
        <v>7856</v>
      </c>
      <c r="L7" s="1726">
        <v>28318</v>
      </c>
      <c r="M7" s="1727">
        <v>11235</v>
      </c>
      <c r="N7" s="1457">
        <f t="shared" si="0"/>
        <v>39553</v>
      </c>
      <c r="O7" s="1451">
        <v>0</v>
      </c>
      <c r="P7" s="1460">
        <v>101.04139919944591</v>
      </c>
      <c r="Q7" s="1461">
        <v>75.22509486312606</v>
      </c>
      <c r="R7" s="1460">
        <v>91.733940120925254</v>
      </c>
      <c r="S7" s="1461">
        <v>67.037281730602388</v>
      </c>
      <c r="T7" s="1460">
        <v>94.528231521274606</v>
      </c>
      <c r="U7" s="1461">
        <v>68.456476221182101</v>
      </c>
      <c r="V7" s="1462">
        <v>88.371247512344198</v>
      </c>
    </row>
    <row r="8" spans="1:22" ht="29.25" customHeight="1">
      <c r="A8" s="547" t="s">
        <v>199</v>
      </c>
      <c r="B8" s="1490" t="s">
        <v>641</v>
      </c>
      <c r="C8" s="1455">
        <v>1188</v>
      </c>
      <c r="D8" s="1456">
        <v>15</v>
      </c>
      <c r="E8" s="1455">
        <v>19</v>
      </c>
      <c r="F8" s="1456">
        <v>1184</v>
      </c>
      <c r="G8" s="1457">
        <f t="shared" si="1"/>
        <v>1203</v>
      </c>
      <c r="H8" s="1458">
        <v>7941</v>
      </c>
      <c r="I8" s="1459">
        <v>122</v>
      </c>
      <c r="J8" s="1726">
        <v>154</v>
      </c>
      <c r="K8" s="1727">
        <v>7909</v>
      </c>
      <c r="L8" s="1726">
        <v>6596</v>
      </c>
      <c r="M8" s="1727">
        <v>1467</v>
      </c>
      <c r="N8" s="1457">
        <f t="shared" si="0"/>
        <v>8063</v>
      </c>
      <c r="O8" s="1451">
        <v>0</v>
      </c>
      <c r="P8" s="1460">
        <v>88.2070181090223</v>
      </c>
      <c r="Q8" s="1461">
        <v>71.079648448228511</v>
      </c>
      <c r="R8" s="1460">
        <v>83.653657873266255</v>
      </c>
      <c r="S8" s="1461">
        <v>88.071822531861301</v>
      </c>
      <c r="T8" s="1460">
        <v>89.991996521627101</v>
      </c>
      <c r="U8" s="1461">
        <v>76.80777668725824</v>
      </c>
      <c r="V8" s="1462">
        <v>87.924756490567404</v>
      </c>
    </row>
    <row r="9" spans="1:22" ht="29.25" customHeight="1">
      <c r="A9" s="547" t="s">
        <v>185</v>
      </c>
      <c r="B9" s="1490" t="s">
        <v>556</v>
      </c>
      <c r="C9" s="1455">
        <v>576</v>
      </c>
      <c r="D9" s="1456">
        <v>53</v>
      </c>
      <c r="E9" s="1455">
        <v>29</v>
      </c>
      <c r="F9" s="1456">
        <v>600</v>
      </c>
      <c r="G9" s="1457">
        <f t="shared" si="1"/>
        <v>629</v>
      </c>
      <c r="H9" s="1458">
        <v>32802</v>
      </c>
      <c r="I9" s="1459">
        <v>4992</v>
      </c>
      <c r="J9" s="1726">
        <v>10772</v>
      </c>
      <c r="K9" s="1727">
        <v>27022</v>
      </c>
      <c r="L9" s="1726">
        <v>36548</v>
      </c>
      <c r="M9" s="1727">
        <v>1246</v>
      </c>
      <c r="N9" s="1457">
        <f t="shared" si="0"/>
        <v>37794</v>
      </c>
      <c r="O9" s="1451">
        <v>0</v>
      </c>
      <c r="P9" s="1460">
        <v>130.77144851491011</v>
      </c>
      <c r="Q9" s="1461">
        <v>142.29965600888073</v>
      </c>
      <c r="R9" s="1460">
        <v>149.53566016626306</v>
      </c>
      <c r="S9" s="1461">
        <v>125.8940724241795</v>
      </c>
      <c r="T9" s="1460">
        <v>132.84727337443087</v>
      </c>
      <c r="U9" s="1461">
        <v>97.454232952274367</v>
      </c>
      <c r="V9" s="1462">
        <v>132.41488626108969</v>
      </c>
    </row>
    <row r="10" spans="1:22" ht="29.25" customHeight="1">
      <c r="A10" s="547" t="s">
        <v>187</v>
      </c>
      <c r="B10" s="1490" t="s">
        <v>88</v>
      </c>
      <c r="C10" s="1455">
        <v>31</v>
      </c>
      <c r="D10" s="1456">
        <v>5</v>
      </c>
      <c r="E10" s="1455">
        <v>9</v>
      </c>
      <c r="F10" s="1456">
        <v>27</v>
      </c>
      <c r="G10" s="1457">
        <f t="shared" si="1"/>
        <v>36</v>
      </c>
      <c r="H10" s="1458">
        <v>2383</v>
      </c>
      <c r="I10" s="1459">
        <v>287</v>
      </c>
      <c r="J10" s="1726">
        <v>1932</v>
      </c>
      <c r="K10" s="1727">
        <v>738</v>
      </c>
      <c r="L10" s="1726">
        <v>2489</v>
      </c>
      <c r="M10" s="1727">
        <v>181</v>
      </c>
      <c r="N10" s="1457">
        <f t="shared" si="0"/>
        <v>2670</v>
      </c>
      <c r="O10" s="1451">
        <v>0</v>
      </c>
      <c r="P10" s="1463">
        <v>206.78994118173947</v>
      </c>
      <c r="Q10" s="1464">
        <v>144.7921594393342</v>
      </c>
      <c r="R10" s="1463">
        <v>216.76287522071806</v>
      </c>
      <c r="S10" s="1464">
        <v>155.83029885057471</v>
      </c>
      <c r="T10" s="1463">
        <v>199.26274688670509</v>
      </c>
      <c r="U10" s="1464">
        <v>201.0655694186355</v>
      </c>
      <c r="V10" s="1462">
        <v>199.3519666833075</v>
      </c>
    </row>
    <row r="11" spans="1:22" ht="29.25" customHeight="1">
      <c r="A11" s="547" t="s">
        <v>189</v>
      </c>
      <c r="B11" s="1490" t="s">
        <v>89</v>
      </c>
      <c r="C11" s="1455">
        <v>819</v>
      </c>
      <c r="D11" s="1456">
        <v>110</v>
      </c>
      <c r="E11" s="1455">
        <v>2</v>
      </c>
      <c r="F11" s="1456">
        <v>927</v>
      </c>
      <c r="G11" s="1457">
        <f t="shared" si="1"/>
        <v>929</v>
      </c>
      <c r="H11" s="1458">
        <v>21727</v>
      </c>
      <c r="I11" s="1459">
        <v>2975</v>
      </c>
      <c r="J11" s="1726">
        <v>9</v>
      </c>
      <c r="K11" s="1727">
        <v>24693</v>
      </c>
      <c r="L11" s="1726">
        <v>23166</v>
      </c>
      <c r="M11" s="1727">
        <v>1536</v>
      </c>
      <c r="N11" s="1457">
        <f t="shared" si="0"/>
        <v>24702</v>
      </c>
      <c r="O11" s="1451">
        <v>0</v>
      </c>
      <c r="P11" s="1460">
        <v>114.82658517699848</v>
      </c>
      <c r="Q11" s="1461">
        <v>103.11186740592191</v>
      </c>
      <c r="R11" s="1460">
        <v>132.25416666666666</v>
      </c>
      <c r="S11" s="1461">
        <v>113.37909141843581</v>
      </c>
      <c r="T11" s="1460">
        <v>113.26008205380026</v>
      </c>
      <c r="U11" s="1461">
        <v>115.88274026815871</v>
      </c>
      <c r="V11" s="1462">
        <v>113.37163376005991</v>
      </c>
    </row>
    <row r="12" spans="1:22" ht="29.25" customHeight="1">
      <c r="A12" s="547" t="s">
        <v>643</v>
      </c>
      <c r="B12" s="1490" t="s">
        <v>465</v>
      </c>
      <c r="C12" s="1455">
        <v>4474</v>
      </c>
      <c r="D12" s="1456">
        <v>342</v>
      </c>
      <c r="E12" s="1455">
        <v>39</v>
      </c>
      <c r="F12" s="1456">
        <v>4777</v>
      </c>
      <c r="G12" s="1457">
        <f t="shared" si="1"/>
        <v>4816</v>
      </c>
      <c r="H12" s="1458">
        <v>62267</v>
      </c>
      <c r="I12" s="1459">
        <v>5085</v>
      </c>
      <c r="J12" s="1726">
        <v>2293</v>
      </c>
      <c r="K12" s="1727">
        <v>65059</v>
      </c>
      <c r="L12" s="1726">
        <v>62625</v>
      </c>
      <c r="M12" s="1727">
        <v>4727</v>
      </c>
      <c r="N12" s="1457">
        <f t="shared" si="0"/>
        <v>67352</v>
      </c>
      <c r="O12" s="1451">
        <v>0</v>
      </c>
      <c r="P12" s="1460">
        <v>90.048693524944724</v>
      </c>
      <c r="Q12" s="1461">
        <v>88.852043556814294</v>
      </c>
      <c r="R12" s="1460">
        <v>137.20447274123367</v>
      </c>
      <c r="S12" s="1461">
        <v>88.209818473141766</v>
      </c>
      <c r="T12" s="1460">
        <v>90.401464868160062</v>
      </c>
      <c r="U12" s="1461">
        <v>81.649145686434878</v>
      </c>
      <c r="V12" s="1462">
        <v>89.951187629885908</v>
      </c>
    </row>
    <row r="13" spans="1:22" ht="29.25" customHeight="1">
      <c r="A13" s="547" t="s">
        <v>645</v>
      </c>
      <c r="B13" s="1490" t="s">
        <v>91</v>
      </c>
      <c r="C13" s="1455">
        <v>415</v>
      </c>
      <c r="D13" s="1456">
        <v>107</v>
      </c>
      <c r="E13" s="1455">
        <v>31</v>
      </c>
      <c r="F13" s="1456">
        <v>491</v>
      </c>
      <c r="G13" s="1457">
        <f t="shared" si="1"/>
        <v>522</v>
      </c>
      <c r="H13" s="1458">
        <v>5534</v>
      </c>
      <c r="I13" s="1459">
        <v>1791</v>
      </c>
      <c r="J13" s="1726">
        <v>1788</v>
      </c>
      <c r="K13" s="1727">
        <v>5537</v>
      </c>
      <c r="L13" s="1726">
        <v>6729</v>
      </c>
      <c r="M13" s="1727">
        <v>596</v>
      </c>
      <c r="N13" s="1457">
        <f t="shared" si="0"/>
        <v>7325</v>
      </c>
      <c r="O13" s="1451">
        <v>0</v>
      </c>
      <c r="P13" s="1460">
        <v>142.81374040616723</v>
      </c>
      <c r="Q13" s="1461">
        <v>86.21128919250306</v>
      </c>
      <c r="R13" s="1460">
        <v>186.87904396412878</v>
      </c>
      <c r="S13" s="1461">
        <v>109.14708542819278</v>
      </c>
      <c r="T13" s="1460">
        <v>130.59085019435861</v>
      </c>
      <c r="U13" s="1461">
        <v>112.12097822554436</v>
      </c>
      <c r="V13" s="1462">
        <v>129.41239074763351</v>
      </c>
    </row>
    <row r="14" spans="1:22" ht="29.25" customHeight="1">
      <c r="A14" s="547">
        <v>10</v>
      </c>
      <c r="B14" s="1490" t="s">
        <v>92</v>
      </c>
      <c r="C14" s="1455">
        <v>41636</v>
      </c>
      <c r="D14" s="1456">
        <v>539</v>
      </c>
      <c r="E14" s="1455">
        <v>317</v>
      </c>
      <c r="F14" s="1456">
        <v>41858</v>
      </c>
      <c r="G14" s="1457">
        <f t="shared" si="1"/>
        <v>42175</v>
      </c>
      <c r="H14" s="1458">
        <v>419301</v>
      </c>
      <c r="I14" s="1459">
        <v>6544</v>
      </c>
      <c r="J14" s="1726">
        <v>18125</v>
      </c>
      <c r="K14" s="1727">
        <v>407720</v>
      </c>
      <c r="L14" s="1726">
        <v>293878</v>
      </c>
      <c r="M14" s="1727">
        <v>131967</v>
      </c>
      <c r="N14" s="1457">
        <f t="shared" si="0"/>
        <v>425845</v>
      </c>
      <c r="O14" s="1451">
        <v>0</v>
      </c>
      <c r="P14" s="1460">
        <v>80.776942865310033</v>
      </c>
      <c r="Q14" s="1461">
        <v>72.366891127206884</v>
      </c>
      <c r="R14" s="1460">
        <v>103.35177418842008</v>
      </c>
      <c r="S14" s="1461">
        <v>79.374271021731147</v>
      </c>
      <c r="T14" s="1460">
        <v>83.706463530545861</v>
      </c>
      <c r="U14" s="1461">
        <v>72.715957345014189</v>
      </c>
      <c r="V14" s="1462">
        <v>80.642582976395531</v>
      </c>
    </row>
    <row r="15" spans="1:22" ht="29.25" customHeight="1">
      <c r="A15" s="547">
        <v>11</v>
      </c>
      <c r="B15" s="1490" t="s">
        <v>93</v>
      </c>
      <c r="C15" s="1455">
        <v>656</v>
      </c>
      <c r="D15" s="1456">
        <v>4</v>
      </c>
      <c r="E15" s="1455">
        <v>13</v>
      </c>
      <c r="F15" s="1456">
        <v>647</v>
      </c>
      <c r="G15" s="1457">
        <f t="shared" si="1"/>
        <v>660</v>
      </c>
      <c r="H15" s="1458">
        <v>15320</v>
      </c>
      <c r="I15" s="1459">
        <v>82</v>
      </c>
      <c r="J15" s="1726">
        <v>247</v>
      </c>
      <c r="K15" s="1727">
        <v>15155</v>
      </c>
      <c r="L15" s="1726">
        <v>12579</v>
      </c>
      <c r="M15" s="1727">
        <v>2823</v>
      </c>
      <c r="N15" s="1457">
        <f t="shared" si="0"/>
        <v>15402</v>
      </c>
      <c r="O15" s="1451">
        <v>0</v>
      </c>
      <c r="P15" s="1460">
        <v>113.22433706362465</v>
      </c>
      <c r="Q15" s="1461">
        <v>90.708169506334642</v>
      </c>
      <c r="R15" s="1460">
        <v>120.16452929175168</v>
      </c>
      <c r="S15" s="1461">
        <v>112.99079874521921</v>
      </c>
      <c r="T15" s="1460">
        <v>115.64737150048573</v>
      </c>
      <c r="U15" s="1461">
        <v>99.199819326261803</v>
      </c>
      <c r="V15" s="1462">
        <v>113.02808561192478</v>
      </c>
    </row>
    <row r="16" spans="1:22" ht="29.25" customHeight="1">
      <c r="A16" s="547">
        <v>12</v>
      </c>
      <c r="B16" s="1490" t="s">
        <v>27</v>
      </c>
      <c r="C16" s="1455">
        <v>53</v>
      </c>
      <c r="D16" s="1456">
        <v>1</v>
      </c>
      <c r="E16" s="1455">
        <v>0</v>
      </c>
      <c r="F16" s="1456">
        <v>54</v>
      </c>
      <c r="G16" s="1457">
        <f t="shared" si="1"/>
        <v>54</v>
      </c>
      <c r="H16" s="1458">
        <v>4121</v>
      </c>
      <c r="I16" s="1459">
        <v>396</v>
      </c>
      <c r="J16" s="1726">
        <v>0</v>
      </c>
      <c r="K16" s="1727">
        <v>4517</v>
      </c>
      <c r="L16" s="1726">
        <v>3175</v>
      </c>
      <c r="M16" s="1727">
        <v>1342</v>
      </c>
      <c r="N16" s="1457">
        <f t="shared" si="0"/>
        <v>4517</v>
      </c>
      <c r="O16" s="1451">
        <v>0</v>
      </c>
      <c r="P16" s="1460">
        <v>206.29886342774171</v>
      </c>
      <c r="Q16" s="1461">
        <v>125.60082610491533</v>
      </c>
      <c r="R16" s="1460">
        <v>0</v>
      </c>
      <c r="S16" s="1461">
        <v>198.89507272300079</v>
      </c>
      <c r="T16" s="1460">
        <v>217.30814678245565</v>
      </c>
      <c r="U16" s="1461">
        <v>150.61803116769096</v>
      </c>
      <c r="V16" s="1462">
        <v>198.88088758159034</v>
      </c>
    </row>
    <row r="17" spans="1:22" ht="29.25" customHeight="1">
      <c r="A17" s="547">
        <v>13</v>
      </c>
      <c r="B17" s="1490" t="s">
        <v>28</v>
      </c>
      <c r="C17" s="1455">
        <v>16496</v>
      </c>
      <c r="D17" s="1456">
        <v>23</v>
      </c>
      <c r="E17" s="1455">
        <v>78</v>
      </c>
      <c r="F17" s="1456">
        <v>16441</v>
      </c>
      <c r="G17" s="1457">
        <f t="shared" si="1"/>
        <v>16519</v>
      </c>
      <c r="H17" s="1458">
        <v>404364</v>
      </c>
      <c r="I17" s="1459">
        <v>688</v>
      </c>
      <c r="J17" s="1726">
        <v>1709</v>
      </c>
      <c r="K17" s="1727">
        <v>403343</v>
      </c>
      <c r="L17" s="1726">
        <v>285246</v>
      </c>
      <c r="M17" s="1727">
        <v>119806</v>
      </c>
      <c r="N17" s="1457">
        <f t="shared" si="0"/>
        <v>405052</v>
      </c>
      <c r="O17" s="1451">
        <v>0</v>
      </c>
      <c r="P17" s="1460">
        <v>80.817225002218422</v>
      </c>
      <c r="Q17" s="1461">
        <v>66.990765477988148</v>
      </c>
      <c r="R17" s="1460">
        <v>59.25</v>
      </c>
      <c r="S17" s="1461">
        <v>81.256449745894017</v>
      </c>
      <c r="T17" s="1460">
        <v>83.438721636234249</v>
      </c>
      <c r="U17" s="1461">
        <v>73.853798613652501</v>
      </c>
      <c r="V17" s="1462">
        <v>80.781658036671317</v>
      </c>
    </row>
    <row r="18" spans="1:22" ht="29.25" customHeight="1">
      <c r="A18" s="547">
        <v>14</v>
      </c>
      <c r="B18" s="1490" t="s">
        <v>256</v>
      </c>
      <c r="C18" s="1455">
        <v>32209</v>
      </c>
      <c r="D18" s="1456">
        <v>141</v>
      </c>
      <c r="E18" s="1455">
        <v>387</v>
      </c>
      <c r="F18" s="1456">
        <v>31963</v>
      </c>
      <c r="G18" s="1457">
        <f t="shared" si="1"/>
        <v>32350</v>
      </c>
      <c r="H18" s="1458">
        <v>461610</v>
      </c>
      <c r="I18" s="1459">
        <v>6110</v>
      </c>
      <c r="J18" s="1726">
        <v>9068</v>
      </c>
      <c r="K18" s="1727">
        <v>458652</v>
      </c>
      <c r="L18" s="1726">
        <v>229758</v>
      </c>
      <c r="M18" s="1727">
        <v>237962</v>
      </c>
      <c r="N18" s="1457">
        <f t="shared" si="0"/>
        <v>467720</v>
      </c>
      <c r="O18" s="1451">
        <v>0</v>
      </c>
      <c r="P18" s="1460">
        <v>69.462271608320791</v>
      </c>
      <c r="Q18" s="1461">
        <v>59.25</v>
      </c>
      <c r="R18" s="1460">
        <v>66.605610179414896</v>
      </c>
      <c r="S18" s="1461">
        <v>69.276586467141712</v>
      </c>
      <c r="T18" s="1460">
        <v>71.614850699500565</v>
      </c>
      <c r="U18" s="1461">
        <v>66.754178206054533</v>
      </c>
      <c r="V18" s="1462">
        <v>69.174846678602933</v>
      </c>
    </row>
    <row r="19" spans="1:22" ht="29.25" customHeight="1">
      <c r="A19" s="547">
        <v>15</v>
      </c>
      <c r="B19" s="1490" t="s">
        <v>767</v>
      </c>
      <c r="C19" s="1455">
        <v>6370</v>
      </c>
      <c r="D19" s="1456">
        <v>4</v>
      </c>
      <c r="E19" s="1455">
        <v>16</v>
      </c>
      <c r="F19" s="1456">
        <v>6358</v>
      </c>
      <c r="G19" s="1457">
        <f t="shared" si="1"/>
        <v>6374</v>
      </c>
      <c r="H19" s="1458">
        <v>61421</v>
      </c>
      <c r="I19" s="1459">
        <v>16</v>
      </c>
      <c r="J19" s="1726">
        <v>782</v>
      </c>
      <c r="K19" s="1727">
        <v>60655</v>
      </c>
      <c r="L19" s="1726">
        <v>47169</v>
      </c>
      <c r="M19" s="1727">
        <v>14268</v>
      </c>
      <c r="N19" s="1457">
        <f t="shared" si="0"/>
        <v>61437</v>
      </c>
      <c r="O19" s="1451">
        <v>0</v>
      </c>
      <c r="P19" s="1460">
        <v>67.977082293593952</v>
      </c>
      <c r="Q19" s="1461">
        <v>59.25</v>
      </c>
      <c r="R19" s="1460">
        <v>59.25</v>
      </c>
      <c r="S19" s="1461">
        <v>68.07084859464446</v>
      </c>
      <c r="T19" s="1460">
        <v>68.565370591864507</v>
      </c>
      <c r="U19" s="1461">
        <v>65.760781015518063</v>
      </c>
      <c r="V19" s="1462">
        <v>67.968903058137755</v>
      </c>
    </row>
    <row r="20" spans="1:22" ht="29.25" customHeight="1">
      <c r="A20" s="547">
        <v>16</v>
      </c>
      <c r="B20" s="1490" t="s">
        <v>212</v>
      </c>
      <c r="C20" s="1455">
        <v>10290</v>
      </c>
      <c r="D20" s="1456">
        <v>140</v>
      </c>
      <c r="E20" s="1455">
        <v>65</v>
      </c>
      <c r="F20" s="1456">
        <v>10365</v>
      </c>
      <c r="G20" s="1457">
        <f t="shared" si="1"/>
        <v>10430</v>
      </c>
      <c r="H20" s="1458">
        <v>63022</v>
      </c>
      <c r="I20" s="1459">
        <v>904</v>
      </c>
      <c r="J20" s="1726">
        <v>889</v>
      </c>
      <c r="K20" s="1727">
        <v>63037</v>
      </c>
      <c r="L20" s="1726">
        <v>54686</v>
      </c>
      <c r="M20" s="1727">
        <v>9240</v>
      </c>
      <c r="N20" s="1457">
        <f t="shared" si="0"/>
        <v>63926</v>
      </c>
      <c r="O20" s="1451">
        <v>0</v>
      </c>
      <c r="P20" s="1460">
        <v>74.209962118570402</v>
      </c>
      <c r="Q20" s="1461">
        <v>59.25</v>
      </c>
      <c r="R20" s="1460">
        <v>59.25</v>
      </c>
      <c r="S20" s="1461">
        <v>74.767362170957568</v>
      </c>
      <c r="T20" s="1460">
        <v>74.701645976165509</v>
      </c>
      <c r="U20" s="1461">
        <v>68.789494700159722</v>
      </c>
      <c r="V20" s="1462">
        <v>73.971948846182926</v>
      </c>
    </row>
    <row r="21" spans="1:22" ht="29.25" customHeight="1">
      <c r="A21" s="547">
        <v>17</v>
      </c>
      <c r="B21" s="1490" t="s">
        <v>814</v>
      </c>
      <c r="C21" s="1455">
        <v>2487</v>
      </c>
      <c r="D21" s="1456">
        <v>3</v>
      </c>
      <c r="E21" s="1455">
        <v>3</v>
      </c>
      <c r="F21" s="1456">
        <v>2487</v>
      </c>
      <c r="G21" s="1457">
        <f t="shared" si="1"/>
        <v>2490</v>
      </c>
      <c r="H21" s="1458">
        <v>53697</v>
      </c>
      <c r="I21" s="1459">
        <v>21</v>
      </c>
      <c r="J21" s="1726">
        <v>16</v>
      </c>
      <c r="K21" s="1727">
        <v>53702</v>
      </c>
      <c r="L21" s="1726">
        <v>42992</v>
      </c>
      <c r="M21" s="1727">
        <v>10726</v>
      </c>
      <c r="N21" s="1457">
        <f t="shared" si="0"/>
        <v>53718</v>
      </c>
      <c r="O21" s="1451">
        <v>0</v>
      </c>
      <c r="P21" s="1460">
        <v>100.74777997489326</v>
      </c>
      <c r="Q21" s="1461">
        <v>67.845041322314046</v>
      </c>
      <c r="R21" s="1460">
        <v>62.4037558685446</v>
      </c>
      <c r="S21" s="1461">
        <v>100.7480513217626</v>
      </c>
      <c r="T21" s="1460">
        <v>103.61899791652394</v>
      </c>
      <c r="U21" s="1461">
        <v>87.247486436805559</v>
      </c>
      <c r="V21" s="1462">
        <v>100.7042327141482</v>
      </c>
    </row>
    <row r="22" spans="1:22" ht="29.25" customHeight="1">
      <c r="A22" s="547">
        <v>18</v>
      </c>
      <c r="B22" s="1490" t="s">
        <v>213</v>
      </c>
      <c r="C22" s="1455">
        <v>7797</v>
      </c>
      <c r="D22" s="1456">
        <v>88</v>
      </c>
      <c r="E22" s="1455">
        <v>62</v>
      </c>
      <c r="F22" s="1456">
        <v>7823</v>
      </c>
      <c r="G22" s="1457">
        <f t="shared" si="1"/>
        <v>7885</v>
      </c>
      <c r="H22" s="1458">
        <v>53576</v>
      </c>
      <c r="I22" s="1459">
        <v>330</v>
      </c>
      <c r="J22" s="1726">
        <v>792</v>
      </c>
      <c r="K22" s="1727">
        <v>53114</v>
      </c>
      <c r="L22" s="1726">
        <v>40263</v>
      </c>
      <c r="M22" s="1727">
        <v>13643</v>
      </c>
      <c r="N22" s="1457">
        <f t="shared" si="0"/>
        <v>53906</v>
      </c>
      <c r="O22" s="1451">
        <v>0</v>
      </c>
      <c r="P22" s="1460">
        <v>81.846104612252816</v>
      </c>
      <c r="Q22" s="1461">
        <v>101.05717321997875</v>
      </c>
      <c r="R22" s="1460">
        <v>79.432728301558285</v>
      </c>
      <c r="S22" s="1461">
        <v>82.040033537479331</v>
      </c>
      <c r="T22" s="1460">
        <v>83.873606723893445</v>
      </c>
      <c r="U22" s="1461">
        <v>75.78065745437074</v>
      </c>
      <c r="V22" s="1462">
        <v>81.960555184153677</v>
      </c>
    </row>
    <row r="23" spans="1:22" ht="29.25" customHeight="1">
      <c r="A23" s="547">
        <v>19</v>
      </c>
      <c r="B23" s="1490" t="s">
        <v>81</v>
      </c>
      <c r="C23" s="1455">
        <v>265</v>
      </c>
      <c r="D23" s="1456">
        <v>2</v>
      </c>
      <c r="E23" s="1455">
        <v>1</v>
      </c>
      <c r="F23" s="1456">
        <v>266</v>
      </c>
      <c r="G23" s="1457">
        <f t="shared" si="1"/>
        <v>267</v>
      </c>
      <c r="H23" s="1458">
        <v>7954</v>
      </c>
      <c r="I23" s="1459">
        <v>9</v>
      </c>
      <c r="J23" s="1726">
        <v>17</v>
      </c>
      <c r="K23" s="1727">
        <v>7946</v>
      </c>
      <c r="L23" s="1726">
        <v>6825</v>
      </c>
      <c r="M23" s="1727">
        <v>1138</v>
      </c>
      <c r="N23" s="1457">
        <f t="shared" si="0"/>
        <v>7963</v>
      </c>
      <c r="O23" s="1451">
        <v>0</v>
      </c>
      <c r="P23" s="1460">
        <v>223.79520365602809</v>
      </c>
      <c r="Q23" s="1461">
        <v>60.906666666666666</v>
      </c>
      <c r="R23" s="1460">
        <v>305.30208333333331</v>
      </c>
      <c r="S23" s="1461">
        <v>223.40899015481045</v>
      </c>
      <c r="T23" s="1460">
        <v>232.02416170869532</v>
      </c>
      <c r="U23" s="1461">
        <v>161.57224126613667</v>
      </c>
      <c r="V23" s="1462">
        <v>223.5610552092414</v>
      </c>
    </row>
    <row r="24" spans="1:22" ht="29.25" customHeight="1">
      <c r="A24" s="547">
        <v>20</v>
      </c>
      <c r="B24" s="1490" t="s">
        <v>892</v>
      </c>
      <c r="C24" s="1455">
        <v>4399</v>
      </c>
      <c r="D24" s="1456">
        <v>30</v>
      </c>
      <c r="E24" s="1455">
        <v>16</v>
      </c>
      <c r="F24" s="1456">
        <v>4413</v>
      </c>
      <c r="G24" s="1457">
        <f t="shared" si="1"/>
        <v>4429</v>
      </c>
      <c r="H24" s="1458">
        <v>76107</v>
      </c>
      <c r="I24" s="1459">
        <v>162</v>
      </c>
      <c r="J24" s="1726">
        <v>1047</v>
      </c>
      <c r="K24" s="1727">
        <v>75222</v>
      </c>
      <c r="L24" s="1726">
        <v>58046</v>
      </c>
      <c r="M24" s="1727">
        <v>18223</v>
      </c>
      <c r="N24" s="1457">
        <f t="shared" si="0"/>
        <v>76269</v>
      </c>
      <c r="O24" s="1451">
        <v>0</v>
      </c>
      <c r="P24" s="1460">
        <v>124.19468298730308</v>
      </c>
      <c r="Q24" s="1461">
        <v>95.353025936599423</v>
      </c>
      <c r="R24" s="1460">
        <v>164.91149643858574</v>
      </c>
      <c r="S24" s="1461">
        <v>123.54150826161433</v>
      </c>
      <c r="T24" s="1460">
        <v>129.99877457274272</v>
      </c>
      <c r="U24" s="1461">
        <v>103.22542685984777</v>
      </c>
      <c r="V24" s="1462">
        <v>124.10592395220151</v>
      </c>
    </row>
    <row r="25" spans="1:22" ht="29.25" customHeight="1">
      <c r="A25" s="547">
        <v>21</v>
      </c>
      <c r="B25" s="1490" t="s">
        <v>859</v>
      </c>
      <c r="C25" s="1455">
        <v>365</v>
      </c>
      <c r="D25" s="1456">
        <v>7</v>
      </c>
      <c r="E25" s="1455">
        <v>3</v>
      </c>
      <c r="F25" s="1456">
        <v>369</v>
      </c>
      <c r="G25" s="1457">
        <f t="shared" si="1"/>
        <v>372</v>
      </c>
      <c r="H25" s="1458">
        <v>21399</v>
      </c>
      <c r="I25" s="1459">
        <v>14</v>
      </c>
      <c r="J25" s="1726">
        <v>71</v>
      </c>
      <c r="K25" s="1727">
        <v>21342</v>
      </c>
      <c r="L25" s="1726">
        <v>13149</v>
      </c>
      <c r="M25" s="1727">
        <v>8264</v>
      </c>
      <c r="N25" s="1457">
        <f t="shared" si="0"/>
        <v>21413</v>
      </c>
      <c r="O25" s="1451">
        <v>0</v>
      </c>
      <c r="P25" s="1460">
        <v>155.62610883915477</v>
      </c>
      <c r="Q25" s="1461">
        <v>80.12530120481928</v>
      </c>
      <c r="R25" s="1460">
        <v>199.93884892086331</v>
      </c>
      <c r="S25" s="1461">
        <v>155.43338710100454</v>
      </c>
      <c r="T25" s="1460">
        <v>165.83844636086383</v>
      </c>
      <c r="U25" s="1461">
        <v>137.63691806456825</v>
      </c>
      <c r="V25" s="1462">
        <v>155.55421907576695</v>
      </c>
    </row>
    <row r="26" spans="1:22" ht="29.25" customHeight="1">
      <c r="A26" s="547">
        <v>22</v>
      </c>
      <c r="B26" s="1490" t="s">
        <v>860</v>
      </c>
      <c r="C26" s="1455">
        <v>12947</v>
      </c>
      <c r="D26" s="1456">
        <v>34</v>
      </c>
      <c r="E26" s="1455">
        <v>6</v>
      </c>
      <c r="F26" s="1456">
        <v>12975</v>
      </c>
      <c r="G26" s="1457">
        <f t="shared" si="1"/>
        <v>12981</v>
      </c>
      <c r="H26" s="1458">
        <v>201321</v>
      </c>
      <c r="I26" s="1459">
        <v>202</v>
      </c>
      <c r="J26" s="1726">
        <v>134</v>
      </c>
      <c r="K26" s="1727">
        <v>201389</v>
      </c>
      <c r="L26" s="1726">
        <v>157294</v>
      </c>
      <c r="M26" s="1727">
        <v>44229</v>
      </c>
      <c r="N26" s="1457">
        <f t="shared" si="0"/>
        <v>201523</v>
      </c>
      <c r="O26" s="1451">
        <v>0</v>
      </c>
      <c r="P26" s="1460">
        <v>92.961474423223251</v>
      </c>
      <c r="Q26" s="1461">
        <v>68.705917394757748</v>
      </c>
      <c r="R26" s="1463">
        <v>126.369129253461</v>
      </c>
      <c r="S26" s="1461">
        <v>92.893535274762741</v>
      </c>
      <c r="T26" s="1460">
        <v>95.730604763724656</v>
      </c>
      <c r="U26" s="1461">
        <v>81.66957305077203</v>
      </c>
      <c r="V26" s="1462">
        <v>92.928688917153451</v>
      </c>
    </row>
    <row r="27" spans="1:22" ht="29.25" customHeight="1">
      <c r="A27" s="547">
        <v>23</v>
      </c>
      <c r="B27" s="1490" t="s">
        <v>809</v>
      </c>
      <c r="C27" s="1455">
        <v>13707</v>
      </c>
      <c r="D27" s="1456">
        <v>227</v>
      </c>
      <c r="E27" s="1455">
        <v>65</v>
      </c>
      <c r="F27" s="1456">
        <v>13869</v>
      </c>
      <c r="G27" s="1457">
        <f t="shared" si="1"/>
        <v>13934</v>
      </c>
      <c r="H27" s="1458">
        <v>221779</v>
      </c>
      <c r="I27" s="1459">
        <v>4047</v>
      </c>
      <c r="J27" s="1726">
        <v>2399</v>
      </c>
      <c r="K27" s="1727">
        <v>223427</v>
      </c>
      <c r="L27" s="1726">
        <v>193786</v>
      </c>
      <c r="M27" s="1727">
        <v>32040</v>
      </c>
      <c r="N27" s="1457">
        <f t="shared" si="0"/>
        <v>225826</v>
      </c>
      <c r="O27" s="1451">
        <v>0</v>
      </c>
      <c r="P27" s="1460">
        <v>88.745325572696913</v>
      </c>
      <c r="Q27" s="1461">
        <v>93.237035717466824</v>
      </c>
      <c r="R27" s="1460">
        <v>136.03960854005891</v>
      </c>
      <c r="S27" s="1461">
        <v>88.193379483224817</v>
      </c>
      <c r="T27" s="1460">
        <v>90.264240190793942</v>
      </c>
      <c r="U27" s="1461">
        <v>78.587886557473198</v>
      </c>
      <c r="V27" s="1462">
        <v>88.814348296211719</v>
      </c>
    </row>
    <row r="28" spans="1:22" ht="29.25" customHeight="1">
      <c r="A28" s="547">
        <v>24</v>
      </c>
      <c r="B28" s="1490" t="s">
        <v>404</v>
      </c>
      <c r="C28" s="1455">
        <v>7161</v>
      </c>
      <c r="D28" s="1456">
        <v>48</v>
      </c>
      <c r="E28" s="1455">
        <v>33</v>
      </c>
      <c r="F28" s="1456">
        <v>7176</v>
      </c>
      <c r="G28" s="1457">
        <f t="shared" si="1"/>
        <v>7209</v>
      </c>
      <c r="H28" s="1458">
        <v>145461</v>
      </c>
      <c r="I28" s="1459">
        <v>632</v>
      </c>
      <c r="J28" s="1726">
        <v>1110</v>
      </c>
      <c r="K28" s="1727">
        <v>144983</v>
      </c>
      <c r="L28" s="1726">
        <v>132401</v>
      </c>
      <c r="M28" s="1727">
        <v>13692</v>
      </c>
      <c r="N28" s="1457">
        <f t="shared" si="0"/>
        <v>146093</v>
      </c>
      <c r="O28" s="1451">
        <v>0</v>
      </c>
      <c r="P28" s="1460">
        <v>124.73964735283343</v>
      </c>
      <c r="Q28" s="1461">
        <v>92.768104516274349</v>
      </c>
      <c r="R28" s="1460">
        <v>62.621558646898102</v>
      </c>
      <c r="S28" s="1461">
        <v>125.72560446513879</v>
      </c>
      <c r="T28" s="1460">
        <v>126.65469911753145</v>
      </c>
      <c r="U28" s="1461">
        <v>99.353830450585434</v>
      </c>
      <c r="V28" s="1462">
        <v>124.58809521451001</v>
      </c>
    </row>
    <row r="29" spans="1:22" ht="29.25" customHeight="1">
      <c r="A29" s="547">
        <v>25</v>
      </c>
      <c r="B29" s="1490" t="s">
        <v>239</v>
      </c>
      <c r="C29" s="1455">
        <v>35271</v>
      </c>
      <c r="D29" s="1456">
        <v>218</v>
      </c>
      <c r="E29" s="1455">
        <v>525</v>
      </c>
      <c r="F29" s="1456">
        <v>34964</v>
      </c>
      <c r="G29" s="1457">
        <f t="shared" si="1"/>
        <v>35489</v>
      </c>
      <c r="H29" s="1458">
        <v>363209</v>
      </c>
      <c r="I29" s="1459">
        <v>6456</v>
      </c>
      <c r="J29" s="1726">
        <v>5532</v>
      </c>
      <c r="K29" s="1727">
        <v>364133</v>
      </c>
      <c r="L29" s="1726">
        <v>309597</v>
      </c>
      <c r="M29" s="1727">
        <v>60068</v>
      </c>
      <c r="N29" s="1457">
        <f t="shared" si="0"/>
        <v>369665</v>
      </c>
      <c r="O29" s="1451">
        <v>0</v>
      </c>
      <c r="P29" s="1460">
        <v>79.52111132544988</v>
      </c>
      <c r="Q29" s="1461">
        <v>59.25</v>
      </c>
      <c r="R29" s="1460">
        <v>59.25</v>
      </c>
      <c r="S29" s="1461">
        <v>90.070564542591868</v>
      </c>
      <c r="T29" s="1460">
        <v>79.394881016722252</v>
      </c>
      <c r="U29" s="1461">
        <v>76.968229064759328</v>
      </c>
      <c r="V29" s="1462">
        <v>79.075453798803224</v>
      </c>
    </row>
    <row r="30" spans="1:22" ht="29.25" customHeight="1">
      <c r="A30" s="547">
        <v>26</v>
      </c>
      <c r="B30" s="1490" t="s">
        <v>32</v>
      </c>
      <c r="C30" s="1455">
        <v>1625</v>
      </c>
      <c r="D30" s="1456">
        <v>13</v>
      </c>
      <c r="E30" s="1455">
        <v>12</v>
      </c>
      <c r="F30" s="1456">
        <v>1626</v>
      </c>
      <c r="G30" s="1457">
        <f t="shared" si="1"/>
        <v>1638</v>
      </c>
      <c r="H30" s="1458">
        <v>32091</v>
      </c>
      <c r="I30" s="1459">
        <v>183</v>
      </c>
      <c r="J30" s="1726">
        <v>15</v>
      </c>
      <c r="K30" s="1727">
        <v>32259</v>
      </c>
      <c r="L30" s="1726">
        <v>21114</v>
      </c>
      <c r="M30" s="1727">
        <v>11160</v>
      </c>
      <c r="N30" s="1457">
        <f t="shared" si="0"/>
        <v>32274</v>
      </c>
      <c r="O30" s="1451">
        <v>0</v>
      </c>
      <c r="P30" s="1460">
        <v>126.23947487921322</v>
      </c>
      <c r="Q30" s="1461">
        <v>175.82631203141736</v>
      </c>
      <c r="R30" s="1460">
        <v>59.25</v>
      </c>
      <c r="S30" s="1461">
        <v>133.95162910755428</v>
      </c>
      <c r="T30" s="1460">
        <v>137.68449558390432</v>
      </c>
      <c r="U30" s="1461">
        <v>103.19034313247862</v>
      </c>
      <c r="V30" s="1462">
        <v>126.51625998058327</v>
      </c>
    </row>
    <row r="31" spans="1:22" ht="29.25" customHeight="1">
      <c r="A31" s="547">
        <v>27</v>
      </c>
      <c r="B31" s="1490" t="s">
        <v>768</v>
      </c>
      <c r="C31" s="1455">
        <v>5828</v>
      </c>
      <c r="D31" s="1456">
        <v>51</v>
      </c>
      <c r="E31" s="1455">
        <v>30</v>
      </c>
      <c r="F31" s="1456">
        <v>5849</v>
      </c>
      <c r="G31" s="1457">
        <f t="shared" si="1"/>
        <v>5879</v>
      </c>
      <c r="H31" s="1458">
        <v>136216</v>
      </c>
      <c r="I31" s="1459">
        <v>649</v>
      </c>
      <c r="J31" s="1726">
        <v>994</v>
      </c>
      <c r="K31" s="1727">
        <v>135871</v>
      </c>
      <c r="L31" s="1726">
        <v>105052</v>
      </c>
      <c r="M31" s="1727">
        <v>31813</v>
      </c>
      <c r="N31" s="1457">
        <f t="shared" si="0"/>
        <v>136865</v>
      </c>
      <c r="O31" s="1451">
        <v>0</v>
      </c>
      <c r="P31" s="1460">
        <v>106.01693299269805</v>
      </c>
      <c r="Q31" s="1461">
        <v>151.36856844764154</v>
      </c>
      <c r="R31" s="1460">
        <v>96.811461136615478</v>
      </c>
      <c r="S31" s="1461">
        <v>106.36563686407278</v>
      </c>
      <c r="T31" s="1460">
        <v>110.14825861497337</v>
      </c>
      <c r="U31" s="1461">
        <v>91.550647717268262</v>
      </c>
      <c r="V31" s="1462">
        <v>106.19092931671284</v>
      </c>
    </row>
    <row r="32" spans="1:22" s="548" customFormat="1" ht="29.25" customHeight="1">
      <c r="A32" s="547">
        <v>28</v>
      </c>
      <c r="B32" s="1491" t="s">
        <v>61</v>
      </c>
      <c r="C32" s="1455">
        <v>10683</v>
      </c>
      <c r="D32" s="1456">
        <v>86</v>
      </c>
      <c r="E32" s="1455">
        <v>16</v>
      </c>
      <c r="F32" s="1456">
        <v>10753</v>
      </c>
      <c r="G32" s="1465">
        <f t="shared" si="1"/>
        <v>10769</v>
      </c>
      <c r="H32" s="1458">
        <v>146507</v>
      </c>
      <c r="I32" s="1459">
        <v>510</v>
      </c>
      <c r="J32" s="1726">
        <v>84</v>
      </c>
      <c r="K32" s="1727">
        <v>146933</v>
      </c>
      <c r="L32" s="1726">
        <v>124592</v>
      </c>
      <c r="M32" s="1727">
        <v>22425</v>
      </c>
      <c r="N32" s="1465">
        <f t="shared" si="0"/>
        <v>147017</v>
      </c>
      <c r="O32" s="1466">
        <v>0</v>
      </c>
      <c r="P32" s="1463">
        <v>100.1752278793556</v>
      </c>
      <c r="Q32" s="1464">
        <v>79.871402877697847</v>
      </c>
      <c r="R32" s="1463">
        <v>68.531433033971112</v>
      </c>
      <c r="S32" s="1464">
        <v>100.17395768100729</v>
      </c>
      <c r="T32" s="1463">
        <v>101.13396303958847</v>
      </c>
      <c r="U32" s="1464">
        <v>93.358064323171092</v>
      </c>
      <c r="V32" s="1467">
        <v>100.09488134019203</v>
      </c>
    </row>
    <row r="33" spans="1:22" ht="29.25" customHeight="1">
      <c r="A33" s="547">
        <v>29</v>
      </c>
      <c r="B33" s="1490" t="s">
        <v>52</v>
      </c>
      <c r="C33" s="1455">
        <v>3594</v>
      </c>
      <c r="D33" s="1456">
        <v>14</v>
      </c>
      <c r="E33" s="1455">
        <v>5</v>
      </c>
      <c r="F33" s="1456">
        <v>3603</v>
      </c>
      <c r="G33" s="1457">
        <f t="shared" si="1"/>
        <v>3608</v>
      </c>
      <c r="H33" s="1458">
        <v>193662</v>
      </c>
      <c r="I33" s="1459">
        <v>373</v>
      </c>
      <c r="J33" s="1726">
        <v>404</v>
      </c>
      <c r="K33" s="1727">
        <v>193631</v>
      </c>
      <c r="L33" s="1726">
        <v>157916</v>
      </c>
      <c r="M33" s="1727">
        <v>36119</v>
      </c>
      <c r="N33" s="1457">
        <f t="shared" si="0"/>
        <v>194035</v>
      </c>
      <c r="O33" s="1451">
        <v>0</v>
      </c>
      <c r="P33" s="1460">
        <v>123.68736749596161</v>
      </c>
      <c r="Q33" s="1461">
        <v>70.414372645609973</v>
      </c>
      <c r="R33" s="1460">
        <v>249.03468036019945</v>
      </c>
      <c r="S33" s="1461">
        <v>123.27709217958081</v>
      </c>
      <c r="T33" s="1460">
        <v>125.88022874317943</v>
      </c>
      <c r="U33" s="1461">
        <v>111.27298500078655</v>
      </c>
      <c r="V33" s="1462">
        <v>123.5312961362754</v>
      </c>
    </row>
    <row r="34" spans="1:22" ht="29.25" customHeight="1">
      <c r="A34" s="547">
        <v>30</v>
      </c>
      <c r="B34" s="1490" t="s">
        <v>593</v>
      </c>
      <c r="C34" s="1455">
        <v>1032</v>
      </c>
      <c r="D34" s="1456">
        <v>77</v>
      </c>
      <c r="E34" s="1455">
        <v>70</v>
      </c>
      <c r="F34" s="1456">
        <v>1039</v>
      </c>
      <c r="G34" s="1457">
        <f t="shared" si="1"/>
        <v>1109</v>
      </c>
      <c r="H34" s="1458">
        <v>43846</v>
      </c>
      <c r="I34" s="1459">
        <v>3821</v>
      </c>
      <c r="J34" s="1726">
        <v>9646</v>
      </c>
      <c r="K34" s="1727">
        <v>38021</v>
      </c>
      <c r="L34" s="1726">
        <v>43481</v>
      </c>
      <c r="M34" s="1727">
        <v>4186</v>
      </c>
      <c r="N34" s="1457">
        <f t="shared" si="0"/>
        <v>47667</v>
      </c>
      <c r="O34" s="1451">
        <v>0</v>
      </c>
      <c r="P34" s="1460">
        <v>178.54611157509848</v>
      </c>
      <c r="Q34" s="1461">
        <v>105.63412790003582</v>
      </c>
      <c r="R34" s="1460">
        <v>294.54230012122292</v>
      </c>
      <c r="S34" s="1461">
        <v>138.51224581612513</v>
      </c>
      <c r="T34" s="1460">
        <v>172.43888975398434</v>
      </c>
      <c r="U34" s="1461">
        <v>174.80674648026425</v>
      </c>
      <c r="V34" s="1462">
        <v>172.6137201665496</v>
      </c>
    </row>
    <row r="35" spans="1:22" ht="29.25" customHeight="1">
      <c r="A35" s="547">
        <v>31</v>
      </c>
      <c r="B35" s="1490" t="s">
        <v>139</v>
      </c>
      <c r="C35" s="1455">
        <v>21861</v>
      </c>
      <c r="D35" s="1456">
        <v>28</v>
      </c>
      <c r="E35" s="1455">
        <v>71</v>
      </c>
      <c r="F35" s="1456">
        <v>21818</v>
      </c>
      <c r="G35" s="1457">
        <f t="shared" si="1"/>
        <v>21889</v>
      </c>
      <c r="H35" s="1458">
        <v>159580</v>
      </c>
      <c r="I35" s="1459">
        <v>738</v>
      </c>
      <c r="J35" s="1726">
        <v>1198</v>
      </c>
      <c r="K35" s="1727">
        <v>159120</v>
      </c>
      <c r="L35" s="1726">
        <v>135606</v>
      </c>
      <c r="M35" s="1727">
        <v>24712</v>
      </c>
      <c r="N35" s="1457">
        <f t="shared" si="0"/>
        <v>160318</v>
      </c>
      <c r="O35" s="1451">
        <v>0</v>
      </c>
      <c r="P35" s="1460">
        <v>72.164474280987463</v>
      </c>
      <c r="Q35" s="1461">
        <v>104.01295610787943</v>
      </c>
      <c r="R35" s="1460">
        <v>59.25</v>
      </c>
      <c r="S35" s="1461">
        <v>72.767175029383878</v>
      </c>
      <c r="T35" s="1460">
        <v>72.700683123055342</v>
      </c>
      <c r="U35" s="1461">
        <v>69.874357230851587</v>
      </c>
      <c r="V35" s="1462">
        <v>72.31990604391531</v>
      </c>
    </row>
    <row r="36" spans="1:22" ht="29.25" customHeight="1">
      <c r="A36" s="547">
        <v>32</v>
      </c>
      <c r="B36" s="1490" t="s">
        <v>140</v>
      </c>
      <c r="C36" s="1455">
        <v>6338</v>
      </c>
      <c r="D36" s="1456">
        <v>146</v>
      </c>
      <c r="E36" s="1455">
        <v>20</v>
      </c>
      <c r="F36" s="1456">
        <v>6464</v>
      </c>
      <c r="G36" s="1457">
        <f t="shared" si="1"/>
        <v>6484</v>
      </c>
      <c r="H36" s="1458">
        <v>54497</v>
      </c>
      <c r="I36" s="1459">
        <v>1084</v>
      </c>
      <c r="J36" s="1726">
        <v>499</v>
      </c>
      <c r="K36" s="1727">
        <v>55082</v>
      </c>
      <c r="L36" s="1726">
        <v>38621</v>
      </c>
      <c r="M36" s="1727">
        <v>16960</v>
      </c>
      <c r="N36" s="1457">
        <f t="shared" si="0"/>
        <v>55581</v>
      </c>
      <c r="O36" s="1451">
        <v>0</v>
      </c>
      <c r="P36" s="1460">
        <v>78.054441369952812</v>
      </c>
      <c r="Q36" s="1461">
        <v>63.593924251195951</v>
      </c>
      <c r="R36" s="1460">
        <v>68.412057712126412</v>
      </c>
      <c r="S36" s="1461">
        <v>78.074163887396963</v>
      </c>
      <c r="T36" s="1460">
        <v>78.931798815578574</v>
      </c>
      <c r="U36" s="1461">
        <v>74.972759233999852</v>
      </c>
      <c r="V36" s="1462">
        <v>77.743094386878653</v>
      </c>
    </row>
    <row r="37" spans="1:22" ht="29.25" customHeight="1">
      <c r="A37" s="547">
        <v>33</v>
      </c>
      <c r="B37" s="1490" t="s">
        <v>484</v>
      </c>
      <c r="C37" s="1455">
        <v>18947</v>
      </c>
      <c r="D37" s="1456">
        <v>484</v>
      </c>
      <c r="E37" s="1455">
        <v>394</v>
      </c>
      <c r="F37" s="1456">
        <v>19037</v>
      </c>
      <c r="G37" s="1457">
        <f t="shared" si="1"/>
        <v>19431</v>
      </c>
      <c r="H37" s="1458">
        <v>135456</v>
      </c>
      <c r="I37" s="1459">
        <v>7649</v>
      </c>
      <c r="J37" s="1726">
        <v>15902</v>
      </c>
      <c r="K37" s="1727">
        <v>127203</v>
      </c>
      <c r="L37" s="1726">
        <v>121974</v>
      </c>
      <c r="M37" s="1727">
        <v>21131</v>
      </c>
      <c r="N37" s="1457">
        <f t="shared" si="0"/>
        <v>143105</v>
      </c>
      <c r="O37" s="1451">
        <v>0</v>
      </c>
      <c r="P37" s="1460">
        <v>121.15531864872916</v>
      </c>
      <c r="Q37" s="1461">
        <v>92.745561743465743</v>
      </c>
      <c r="R37" s="1460">
        <v>183.344573909411</v>
      </c>
      <c r="S37" s="1461">
        <v>107.35478023171699</v>
      </c>
      <c r="T37" s="1460">
        <v>123.5636857277307</v>
      </c>
      <c r="U37" s="1461">
        <v>94.500877739088892</v>
      </c>
      <c r="V37" s="1462">
        <v>119.67644124168514</v>
      </c>
    </row>
    <row r="38" spans="1:22" ht="29.25" customHeight="1">
      <c r="A38" s="547">
        <v>35</v>
      </c>
      <c r="B38" s="1490" t="s">
        <v>769</v>
      </c>
      <c r="C38" s="1455">
        <v>14465</v>
      </c>
      <c r="D38" s="1456">
        <v>1044</v>
      </c>
      <c r="E38" s="1455">
        <v>448</v>
      </c>
      <c r="F38" s="1456">
        <v>15061</v>
      </c>
      <c r="G38" s="1457">
        <f t="shared" si="1"/>
        <v>15509</v>
      </c>
      <c r="H38" s="1458">
        <v>80314</v>
      </c>
      <c r="I38" s="1459">
        <v>18108</v>
      </c>
      <c r="J38" s="1726">
        <v>10773</v>
      </c>
      <c r="K38" s="1727">
        <v>87649</v>
      </c>
      <c r="L38" s="1726">
        <v>87279</v>
      </c>
      <c r="M38" s="1727">
        <v>11143</v>
      </c>
      <c r="N38" s="1457">
        <f t="shared" si="0"/>
        <v>98422</v>
      </c>
      <c r="O38" s="1451">
        <v>0</v>
      </c>
      <c r="P38" s="1460">
        <v>122.48348261653301</v>
      </c>
      <c r="Q38" s="1461">
        <v>94.285945974192728</v>
      </c>
      <c r="R38" s="1460">
        <v>170.3484410513629</v>
      </c>
      <c r="S38" s="1461">
        <v>110.15572530364066</v>
      </c>
      <c r="T38" s="1460">
        <v>118.43015155281969</v>
      </c>
      <c r="U38" s="1461">
        <v>102.22354990433065</v>
      </c>
      <c r="V38" s="1462">
        <v>116.84346909082495</v>
      </c>
    </row>
    <row r="39" spans="1:22" ht="29.25" customHeight="1">
      <c r="A39" s="547">
        <v>36</v>
      </c>
      <c r="B39" s="1490" t="s">
        <v>682</v>
      </c>
      <c r="C39" s="1455">
        <v>686</v>
      </c>
      <c r="D39" s="1456">
        <v>208</v>
      </c>
      <c r="E39" s="1455">
        <v>331</v>
      </c>
      <c r="F39" s="1456">
        <v>563</v>
      </c>
      <c r="G39" s="1457">
        <f t="shared" si="1"/>
        <v>894</v>
      </c>
      <c r="H39" s="1458">
        <v>10982</v>
      </c>
      <c r="I39" s="1459">
        <v>6209</v>
      </c>
      <c r="J39" s="1726">
        <v>9440</v>
      </c>
      <c r="K39" s="1727">
        <v>7751</v>
      </c>
      <c r="L39" s="1726">
        <v>15271</v>
      </c>
      <c r="M39" s="1727">
        <v>1920</v>
      </c>
      <c r="N39" s="1457">
        <f t="shared" si="0"/>
        <v>17191</v>
      </c>
      <c r="O39" s="1451">
        <v>0</v>
      </c>
      <c r="P39" s="1460">
        <v>174.56001841129873</v>
      </c>
      <c r="Q39" s="1461">
        <v>89.560485534762009</v>
      </c>
      <c r="R39" s="1460">
        <v>180.0143337955906</v>
      </c>
      <c r="S39" s="1461">
        <v>93.602333377543417</v>
      </c>
      <c r="T39" s="1460">
        <v>143.09206246832818</v>
      </c>
      <c r="U39" s="1461">
        <v>117.78037788178194</v>
      </c>
      <c r="V39" s="1462">
        <v>140.65982360730555</v>
      </c>
    </row>
    <row r="40" spans="1:22" ht="29.25" customHeight="1">
      <c r="A40" s="547">
        <v>37</v>
      </c>
      <c r="B40" s="1490" t="s">
        <v>683</v>
      </c>
      <c r="C40" s="1455">
        <v>252</v>
      </c>
      <c r="D40" s="1456">
        <v>274</v>
      </c>
      <c r="E40" s="1455">
        <v>87</v>
      </c>
      <c r="F40" s="1456">
        <v>439</v>
      </c>
      <c r="G40" s="1457">
        <f t="shared" si="1"/>
        <v>526</v>
      </c>
      <c r="H40" s="1458">
        <v>2787</v>
      </c>
      <c r="I40" s="1459">
        <v>12382</v>
      </c>
      <c r="J40" s="1726">
        <v>3400</v>
      </c>
      <c r="K40" s="1727">
        <v>11769</v>
      </c>
      <c r="L40" s="1726">
        <v>13655</v>
      </c>
      <c r="M40" s="1727">
        <v>1514</v>
      </c>
      <c r="N40" s="1457">
        <f t="shared" si="0"/>
        <v>15169</v>
      </c>
      <c r="O40" s="1451">
        <v>0</v>
      </c>
      <c r="P40" s="1460">
        <v>151.45386290022833</v>
      </c>
      <c r="Q40" s="1461">
        <v>108.53109654983659</v>
      </c>
      <c r="R40" s="1460">
        <v>148.23521754478864</v>
      </c>
      <c r="S40" s="1461">
        <v>109.70794136019883</v>
      </c>
      <c r="T40" s="1460">
        <v>118.8205367030162</v>
      </c>
      <c r="U40" s="1461">
        <v>100.08957393854267</v>
      </c>
      <c r="V40" s="1462">
        <v>117.19221615507709</v>
      </c>
    </row>
    <row r="41" spans="1:22" ht="29.25" customHeight="1">
      <c r="A41" s="547">
        <v>38</v>
      </c>
      <c r="B41" s="1490" t="s">
        <v>684</v>
      </c>
      <c r="C41" s="1455">
        <v>2820</v>
      </c>
      <c r="D41" s="1456">
        <v>661</v>
      </c>
      <c r="E41" s="1455">
        <v>911</v>
      </c>
      <c r="F41" s="1456">
        <v>2570</v>
      </c>
      <c r="G41" s="1457">
        <f t="shared" si="1"/>
        <v>3481</v>
      </c>
      <c r="H41" s="1458">
        <v>37872</v>
      </c>
      <c r="I41" s="1459">
        <v>57013</v>
      </c>
      <c r="J41" s="1726">
        <v>23096</v>
      </c>
      <c r="K41" s="1727">
        <v>71789</v>
      </c>
      <c r="L41" s="1726">
        <v>84278</v>
      </c>
      <c r="M41" s="1727">
        <v>10607</v>
      </c>
      <c r="N41" s="1457">
        <f t="shared" si="0"/>
        <v>94885</v>
      </c>
      <c r="O41" s="1451">
        <v>0</v>
      </c>
      <c r="P41" s="1460">
        <v>121.62512214472693</v>
      </c>
      <c r="Q41" s="1461">
        <v>88.186011592497223</v>
      </c>
      <c r="R41" s="1460">
        <v>150.76293391680991</v>
      </c>
      <c r="S41" s="1461">
        <v>83.600598828183877</v>
      </c>
      <c r="T41" s="1460">
        <v>100.10964636280728</v>
      </c>
      <c r="U41" s="1461">
        <v>91.909319319195831</v>
      </c>
      <c r="V41" s="1462">
        <v>99.36269695546352</v>
      </c>
    </row>
    <row r="42" spans="1:22" ht="29.25" customHeight="1">
      <c r="A42" s="547">
        <v>39</v>
      </c>
      <c r="B42" s="1490" t="s">
        <v>155</v>
      </c>
      <c r="C42" s="1455">
        <v>93</v>
      </c>
      <c r="D42" s="1456">
        <v>35</v>
      </c>
      <c r="E42" s="1455">
        <v>31</v>
      </c>
      <c r="F42" s="1456">
        <v>97</v>
      </c>
      <c r="G42" s="1457">
        <f t="shared" si="1"/>
        <v>128</v>
      </c>
      <c r="H42" s="1458">
        <v>820</v>
      </c>
      <c r="I42" s="1459">
        <v>675</v>
      </c>
      <c r="J42" s="1726">
        <v>562</v>
      </c>
      <c r="K42" s="1727">
        <v>933</v>
      </c>
      <c r="L42" s="1726">
        <v>1251</v>
      </c>
      <c r="M42" s="1727">
        <v>244</v>
      </c>
      <c r="N42" s="1457">
        <f t="shared" si="0"/>
        <v>1495</v>
      </c>
      <c r="O42" s="1451">
        <v>0</v>
      </c>
      <c r="P42" s="1460">
        <v>122.60418377699406</v>
      </c>
      <c r="Q42" s="1461">
        <v>85.76287001287001</v>
      </c>
      <c r="R42" s="1460">
        <v>136.09781834660453</v>
      </c>
      <c r="S42" s="1461">
        <v>85.137531380753131</v>
      </c>
      <c r="T42" s="1460">
        <v>107.84667106922015</v>
      </c>
      <c r="U42" s="1461">
        <v>90.218133598541357</v>
      </c>
      <c r="V42" s="1462">
        <v>105.14372124939639</v>
      </c>
    </row>
    <row r="43" spans="1:22" ht="29.25" customHeight="1">
      <c r="A43" s="547">
        <v>41</v>
      </c>
      <c r="B43" s="1490" t="s">
        <v>156</v>
      </c>
      <c r="C43" s="1455">
        <v>15235</v>
      </c>
      <c r="D43" s="1456">
        <v>113912</v>
      </c>
      <c r="E43" s="1455">
        <v>288</v>
      </c>
      <c r="F43" s="1456">
        <v>128859</v>
      </c>
      <c r="G43" s="1457">
        <f t="shared" si="1"/>
        <v>129147</v>
      </c>
      <c r="H43" s="1458">
        <v>176389</v>
      </c>
      <c r="I43" s="1459">
        <v>1123639</v>
      </c>
      <c r="J43" s="1726">
        <v>7151</v>
      </c>
      <c r="K43" s="1727">
        <v>1292877</v>
      </c>
      <c r="L43" s="1726">
        <v>1228563</v>
      </c>
      <c r="M43" s="1727">
        <v>71465</v>
      </c>
      <c r="N43" s="1457">
        <f t="shared" si="0"/>
        <v>1300028</v>
      </c>
      <c r="O43" s="1451">
        <v>0</v>
      </c>
      <c r="P43" s="1460">
        <v>79.762404865223104</v>
      </c>
      <c r="Q43" s="1461">
        <v>69.275926986400847</v>
      </c>
      <c r="R43" s="1460">
        <v>115.48992295690276</v>
      </c>
      <c r="S43" s="1461">
        <v>69.533894156161381</v>
      </c>
      <c r="T43" s="1460">
        <v>69.430705414779709</v>
      </c>
      <c r="U43" s="1461">
        <v>81.658792491841695</v>
      </c>
      <c r="V43" s="1462">
        <v>69.954717963190305</v>
      </c>
    </row>
    <row r="44" spans="1:22" ht="29.25" customHeight="1">
      <c r="A44" s="547">
        <v>42</v>
      </c>
      <c r="B44" s="1490" t="s">
        <v>497</v>
      </c>
      <c r="C44" s="1455">
        <v>5855</v>
      </c>
      <c r="D44" s="1456">
        <v>8394</v>
      </c>
      <c r="E44" s="1455">
        <v>1946</v>
      </c>
      <c r="F44" s="1456">
        <v>12303</v>
      </c>
      <c r="G44" s="1457">
        <f t="shared" si="1"/>
        <v>14249</v>
      </c>
      <c r="H44" s="1458">
        <v>129844</v>
      </c>
      <c r="I44" s="1459">
        <v>268009</v>
      </c>
      <c r="J44" s="1726">
        <v>62442</v>
      </c>
      <c r="K44" s="1727">
        <v>335411</v>
      </c>
      <c r="L44" s="1726">
        <v>368209</v>
      </c>
      <c r="M44" s="1727">
        <v>29644</v>
      </c>
      <c r="N44" s="1457">
        <f t="shared" si="0"/>
        <v>397853</v>
      </c>
      <c r="O44" s="1451">
        <v>0</v>
      </c>
      <c r="P44" s="1460">
        <v>155.84088952219591</v>
      </c>
      <c r="Q44" s="1461">
        <v>94.630950428942697</v>
      </c>
      <c r="R44" s="1460">
        <v>178.19342142372832</v>
      </c>
      <c r="S44" s="1461">
        <v>95.723456792634153</v>
      </c>
      <c r="T44" s="1460">
        <v>112.6728398853075</v>
      </c>
      <c r="U44" s="1461">
        <v>98.283774698452021</v>
      </c>
      <c r="V44" s="1462">
        <v>111.78347927040573</v>
      </c>
    </row>
    <row r="45" spans="1:22" ht="29.25" customHeight="1">
      <c r="A45" s="547">
        <v>43</v>
      </c>
      <c r="B45" s="1490" t="s">
        <v>856</v>
      </c>
      <c r="C45" s="1455">
        <v>49580</v>
      </c>
      <c r="D45" s="1456">
        <v>5414</v>
      </c>
      <c r="E45" s="1455">
        <v>687</v>
      </c>
      <c r="F45" s="1456">
        <v>54307</v>
      </c>
      <c r="G45" s="1457">
        <f t="shared" si="1"/>
        <v>54994</v>
      </c>
      <c r="H45" s="1458">
        <v>243460</v>
      </c>
      <c r="I45" s="1459">
        <v>79195</v>
      </c>
      <c r="J45" s="1726">
        <v>10118</v>
      </c>
      <c r="K45" s="1727">
        <v>312537</v>
      </c>
      <c r="L45" s="1726">
        <v>278715</v>
      </c>
      <c r="M45" s="1727">
        <v>43940</v>
      </c>
      <c r="N45" s="1457">
        <f t="shared" si="0"/>
        <v>322655</v>
      </c>
      <c r="O45" s="1451">
        <v>0</v>
      </c>
      <c r="P45" s="1460">
        <v>67.548506099915087</v>
      </c>
      <c r="Q45" s="1461">
        <v>90.507280436443097</v>
      </c>
      <c r="R45" s="1460">
        <v>59.471417756290627</v>
      </c>
      <c r="S45" s="1461">
        <v>74.876236677813736</v>
      </c>
      <c r="T45" s="1460">
        <v>73.652659360104806</v>
      </c>
      <c r="U45" s="1461">
        <v>69.370447754225424</v>
      </c>
      <c r="V45" s="1462">
        <v>73.106449877261142</v>
      </c>
    </row>
    <row r="46" spans="1:22" ht="29.25" customHeight="1">
      <c r="A46" s="547">
        <v>45</v>
      </c>
      <c r="B46" s="1490" t="s">
        <v>824</v>
      </c>
      <c r="C46" s="1455">
        <v>50465</v>
      </c>
      <c r="D46" s="1456">
        <v>171</v>
      </c>
      <c r="E46" s="1455">
        <v>203</v>
      </c>
      <c r="F46" s="1456">
        <v>50433</v>
      </c>
      <c r="G46" s="1457">
        <f t="shared" si="1"/>
        <v>50636</v>
      </c>
      <c r="H46" s="1458">
        <v>202919</v>
      </c>
      <c r="I46" s="1459">
        <v>4145</v>
      </c>
      <c r="J46" s="1726">
        <v>7442</v>
      </c>
      <c r="K46" s="1727">
        <v>199622</v>
      </c>
      <c r="L46" s="1726">
        <v>168468</v>
      </c>
      <c r="M46" s="1727">
        <v>38596</v>
      </c>
      <c r="N46" s="1457">
        <f t="shared" si="0"/>
        <v>207064</v>
      </c>
      <c r="O46" s="1451">
        <v>0</v>
      </c>
      <c r="P46" s="1460">
        <v>88.533436159024333</v>
      </c>
      <c r="Q46" s="1461">
        <v>105.42090581930759</v>
      </c>
      <c r="R46" s="1460">
        <v>218.80413264809687</v>
      </c>
      <c r="S46" s="1461">
        <v>83.706229343582251</v>
      </c>
      <c r="T46" s="1460">
        <v>89.408289546615265</v>
      </c>
      <c r="U46" s="1461">
        <v>86.340459465289626</v>
      </c>
      <c r="V46" s="1462">
        <v>88.898115399779428</v>
      </c>
    </row>
    <row r="47" spans="1:22" ht="29.25" customHeight="1">
      <c r="A47" s="547">
        <v>46</v>
      </c>
      <c r="B47" s="1490" t="s">
        <v>115</v>
      </c>
      <c r="C47" s="1455">
        <v>129984</v>
      </c>
      <c r="D47" s="1456">
        <v>731</v>
      </c>
      <c r="E47" s="1455">
        <v>37</v>
      </c>
      <c r="F47" s="1456">
        <v>130678</v>
      </c>
      <c r="G47" s="1457">
        <f t="shared" si="1"/>
        <v>130715</v>
      </c>
      <c r="H47" s="1458">
        <v>679831</v>
      </c>
      <c r="I47" s="1459">
        <v>4857</v>
      </c>
      <c r="J47" s="1726">
        <v>330</v>
      </c>
      <c r="K47" s="1727">
        <v>684358</v>
      </c>
      <c r="L47" s="1726">
        <v>479931</v>
      </c>
      <c r="M47" s="1727">
        <v>204757</v>
      </c>
      <c r="N47" s="1457">
        <f t="shared" si="0"/>
        <v>684688</v>
      </c>
      <c r="O47" s="1451">
        <v>0</v>
      </c>
      <c r="P47" s="1460">
        <v>93.155890043674717</v>
      </c>
      <c r="Q47" s="1461">
        <v>81.518107781573022</v>
      </c>
      <c r="R47" s="1460">
        <v>72.563556879323599</v>
      </c>
      <c r="S47" s="1461">
        <v>93.0967589988105</v>
      </c>
      <c r="T47" s="1460">
        <v>93.553917059776637</v>
      </c>
      <c r="U47" s="1461">
        <v>91.849586171745017</v>
      </c>
      <c r="V47" s="1462">
        <v>93.076913047179673</v>
      </c>
    </row>
    <row r="48" spans="1:22" ht="29.25" customHeight="1">
      <c r="A48" s="547">
        <v>47</v>
      </c>
      <c r="B48" s="1490" t="s">
        <v>825</v>
      </c>
      <c r="C48" s="1455">
        <v>307520</v>
      </c>
      <c r="D48" s="1456">
        <v>963</v>
      </c>
      <c r="E48" s="1455">
        <v>199</v>
      </c>
      <c r="F48" s="1456">
        <v>308284</v>
      </c>
      <c r="G48" s="1457">
        <f t="shared" si="1"/>
        <v>308483</v>
      </c>
      <c r="H48" s="1458">
        <v>1258431</v>
      </c>
      <c r="I48" s="1459">
        <v>4058</v>
      </c>
      <c r="J48" s="1726">
        <v>2110</v>
      </c>
      <c r="K48" s="1727">
        <v>1260379</v>
      </c>
      <c r="L48" s="1726">
        <v>771291</v>
      </c>
      <c r="M48" s="1727">
        <v>491198</v>
      </c>
      <c r="N48" s="1457">
        <f t="shared" si="0"/>
        <v>1262489</v>
      </c>
      <c r="O48" s="1468">
        <v>0</v>
      </c>
      <c r="P48" s="1460">
        <v>75.790327730569615</v>
      </c>
      <c r="Q48" s="1461">
        <v>67.297750185424277</v>
      </c>
      <c r="R48" s="1460">
        <v>69.07713429542234</v>
      </c>
      <c r="S48" s="1461">
        <v>75.778992749893447</v>
      </c>
      <c r="T48" s="1460">
        <v>76.491005434663933</v>
      </c>
      <c r="U48" s="1461">
        <v>74.504965627672988</v>
      </c>
      <c r="V48" s="1462">
        <v>75.764395105012426</v>
      </c>
    </row>
    <row r="49" spans="1:22" s="2" customFormat="1" ht="29.25" customHeight="1">
      <c r="A49" s="547">
        <v>49</v>
      </c>
      <c r="B49" s="1490" t="s">
        <v>865</v>
      </c>
      <c r="C49" s="1455">
        <v>111867</v>
      </c>
      <c r="D49" s="1456">
        <v>8580</v>
      </c>
      <c r="E49" s="1455">
        <v>877</v>
      </c>
      <c r="F49" s="1456">
        <v>119570</v>
      </c>
      <c r="G49" s="1457">
        <f t="shared" si="1"/>
        <v>120447</v>
      </c>
      <c r="H49" s="1458">
        <v>446868</v>
      </c>
      <c r="I49" s="1459">
        <v>91627</v>
      </c>
      <c r="J49" s="1726">
        <v>24919</v>
      </c>
      <c r="K49" s="1727">
        <v>513576</v>
      </c>
      <c r="L49" s="1726">
        <v>473983</v>
      </c>
      <c r="M49" s="1727">
        <v>64512</v>
      </c>
      <c r="N49" s="1457">
        <f t="shared" si="0"/>
        <v>538495</v>
      </c>
      <c r="O49" s="1451">
        <v>0</v>
      </c>
      <c r="P49" s="1460">
        <v>74.125857904321094</v>
      </c>
      <c r="Q49" s="1461">
        <v>88.118170871296883</v>
      </c>
      <c r="R49" s="1460">
        <v>151.99441508929169</v>
      </c>
      <c r="S49" s="1461">
        <v>72.334191872451427</v>
      </c>
      <c r="T49" s="1460">
        <v>76.290889254932253</v>
      </c>
      <c r="U49" s="1461">
        <v>75.723055159752292</v>
      </c>
      <c r="V49" s="1462">
        <v>76.231870821849242</v>
      </c>
    </row>
    <row r="50" spans="1:22" ht="29.25" customHeight="1">
      <c r="A50" s="547">
        <v>50</v>
      </c>
      <c r="B50" s="1490" t="s">
        <v>866</v>
      </c>
      <c r="C50" s="1455">
        <v>2213</v>
      </c>
      <c r="D50" s="1456">
        <v>84</v>
      </c>
      <c r="E50" s="1455">
        <v>22</v>
      </c>
      <c r="F50" s="1456">
        <v>2275</v>
      </c>
      <c r="G50" s="1457">
        <f t="shared" si="1"/>
        <v>2297</v>
      </c>
      <c r="H50" s="1458">
        <v>14416</v>
      </c>
      <c r="I50" s="1459">
        <v>878</v>
      </c>
      <c r="J50" s="1726">
        <v>779</v>
      </c>
      <c r="K50" s="1727">
        <v>14515</v>
      </c>
      <c r="L50" s="1726">
        <v>13934</v>
      </c>
      <c r="M50" s="1727">
        <v>1360</v>
      </c>
      <c r="N50" s="1457">
        <f t="shared" si="0"/>
        <v>15294</v>
      </c>
      <c r="O50" s="1451">
        <v>0</v>
      </c>
      <c r="P50" s="1460">
        <v>156.71703172988865</v>
      </c>
      <c r="Q50" s="1461">
        <v>83.203350071473082</v>
      </c>
      <c r="R50" s="1460">
        <v>109.46304751791877</v>
      </c>
      <c r="S50" s="1461">
        <v>156.13084619641609</v>
      </c>
      <c r="T50" s="1460">
        <v>156.06079552129785</v>
      </c>
      <c r="U50" s="1461">
        <v>100.35420364692594</v>
      </c>
      <c r="V50" s="1462">
        <v>151.97568676084606</v>
      </c>
    </row>
    <row r="51" spans="1:22" ht="29.25" customHeight="1">
      <c r="A51" s="547">
        <v>51</v>
      </c>
      <c r="B51" s="1490" t="s">
        <v>867</v>
      </c>
      <c r="C51" s="1455">
        <v>286</v>
      </c>
      <c r="D51" s="1456">
        <v>6</v>
      </c>
      <c r="E51" s="1455">
        <v>10</v>
      </c>
      <c r="F51" s="1456">
        <v>282</v>
      </c>
      <c r="G51" s="1457">
        <f t="shared" si="1"/>
        <v>292</v>
      </c>
      <c r="H51" s="1458">
        <v>24289</v>
      </c>
      <c r="I51" s="1459">
        <v>160</v>
      </c>
      <c r="J51" s="1726">
        <v>64</v>
      </c>
      <c r="K51" s="1727">
        <v>24385</v>
      </c>
      <c r="L51" s="1726">
        <v>12778</v>
      </c>
      <c r="M51" s="1727">
        <v>11671</v>
      </c>
      <c r="N51" s="1457">
        <f t="shared" si="0"/>
        <v>24449</v>
      </c>
      <c r="O51" s="1451">
        <v>0</v>
      </c>
      <c r="P51" s="1460">
        <v>255.32900012806101</v>
      </c>
      <c r="Q51" s="1461">
        <v>215.71544715447155</v>
      </c>
      <c r="R51" s="1460">
        <v>114.15484268969772</v>
      </c>
      <c r="S51" s="1461">
        <v>257.10447403332051</v>
      </c>
      <c r="T51" s="1460">
        <v>282.61543639392801</v>
      </c>
      <c r="U51" s="1461">
        <v>221.65344003417107</v>
      </c>
      <c r="V51" s="1462">
        <v>255.12787335161102</v>
      </c>
    </row>
    <row r="52" spans="1:22" ht="29.25" customHeight="1">
      <c r="A52" s="547">
        <v>52</v>
      </c>
      <c r="B52" s="1490" t="s">
        <v>822</v>
      </c>
      <c r="C52" s="1455">
        <v>17461</v>
      </c>
      <c r="D52" s="1456">
        <v>985</v>
      </c>
      <c r="E52" s="1455">
        <v>508</v>
      </c>
      <c r="F52" s="1456">
        <v>17938</v>
      </c>
      <c r="G52" s="1457">
        <f t="shared" si="1"/>
        <v>18446</v>
      </c>
      <c r="H52" s="1458">
        <v>213585</v>
      </c>
      <c r="I52" s="1459">
        <v>21411</v>
      </c>
      <c r="J52" s="1726">
        <v>6074</v>
      </c>
      <c r="K52" s="1727">
        <v>228922</v>
      </c>
      <c r="L52" s="1726">
        <v>186689</v>
      </c>
      <c r="M52" s="1727">
        <v>48307</v>
      </c>
      <c r="N52" s="1457">
        <f t="shared" si="0"/>
        <v>234996</v>
      </c>
      <c r="O52" s="1451">
        <v>0</v>
      </c>
      <c r="P52" s="1460">
        <v>110.21955991760989</v>
      </c>
      <c r="Q52" s="1461">
        <v>83.106356767704142</v>
      </c>
      <c r="R52" s="1460">
        <v>178.23884405585534</v>
      </c>
      <c r="S52" s="1461">
        <v>105.58545557563453</v>
      </c>
      <c r="T52" s="1460">
        <v>108.59173415679406</v>
      </c>
      <c r="U52" s="1461">
        <v>104.69386854911134</v>
      </c>
      <c r="V52" s="1462">
        <v>107.87328695142834</v>
      </c>
    </row>
    <row r="53" spans="1:22" ht="29.25" customHeight="1">
      <c r="A53" s="547">
        <v>53</v>
      </c>
      <c r="B53" s="1490" t="s">
        <v>19</v>
      </c>
      <c r="C53" s="1455">
        <v>2476</v>
      </c>
      <c r="D53" s="1456">
        <v>110</v>
      </c>
      <c r="E53" s="1455">
        <v>124</v>
      </c>
      <c r="F53" s="1456">
        <v>2462</v>
      </c>
      <c r="G53" s="1457">
        <f t="shared" si="1"/>
        <v>2586</v>
      </c>
      <c r="H53" s="1458">
        <v>25965</v>
      </c>
      <c r="I53" s="1459">
        <v>8432</v>
      </c>
      <c r="J53" s="1726">
        <v>6041</v>
      </c>
      <c r="K53" s="1727">
        <v>28356</v>
      </c>
      <c r="L53" s="1726">
        <v>25856</v>
      </c>
      <c r="M53" s="1727">
        <v>8541</v>
      </c>
      <c r="N53" s="1457">
        <f t="shared" si="0"/>
        <v>34397</v>
      </c>
      <c r="O53" s="1451">
        <v>0</v>
      </c>
      <c r="P53" s="1460">
        <v>96.068083329605273</v>
      </c>
      <c r="Q53" s="1461">
        <v>81.910476760974404</v>
      </c>
      <c r="R53" s="1460">
        <v>138.92940234134321</v>
      </c>
      <c r="S53" s="1461">
        <v>82.222397406577741</v>
      </c>
      <c r="T53" s="1460">
        <v>89.487249467188718</v>
      </c>
      <c r="U53" s="1461">
        <v>100.91329395839871</v>
      </c>
      <c r="V53" s="1462">
        <v>92.10775852808608</v>
      </c>
    </row>
    <row r="54" spans="1:22" ht="29.25" customHeight="1">
      <c r="A54" s="547">
        <v>55</v>
      </c>
      <c r="B54" s="1490" t="s">
        <v>20</v>
      </c>
      <c r="C54" s="1455">
        <v>17445</v>
      </c>
      <c r="D54" s="1456">
        <v>296</v>
      </c>
      <c r="E54" s="1455">
        <v>672</v>
      </c>
      <c r="F54" s="1456">
        <v>17069</v>
      </c>
      <c r="G54" s="1457">
        <f t="shared" si="1"/>
        <v>17741</v>
      </c>
      <c r="H54" s="1458">
        <v>246682</v>
      </c>
      <c r="I54" s="1459">
        <v>3414</v>
      </c>
      <c r="J54" s="1726">
        <v>4210</v>
      </c>
      <c r="K54" s="1727">
        <v>245886</v>
      </c>
      <c r="L54" s="1726">
        <v>164824</v>
      </c>
      <c r="M54" s="1727">
        <v>85272</v>
      </c>
      <c r="N54" s="1457">
        <f t="shared" si="0"/>
        <v>250096</v>
      </c>
      <c r="O54" s="1451">
        <v>0</v>
      </c>
      <c r="P54" s="1460">
        <v>82.996868636148079</v>
      </c>
      <c r="Q54" s="1461">
        <v>69.689155728904183</v>
      </c>
      <c r="R54" s="1460">
        <v>60.321060576893849</v>
      </c>
      <c r="S54" s="1461">
        <v>83.52268374500882</v>
      </c>
      <c r="T54" s="1460">
        <v>86.069079667012261</v>
      </c>
      <c r="U54" s="1461">
        <v>76.077673695230402</v>
      </c>
      <c r="V54" s="1462">
        <v>82.807481893830058</v>
      </c>
    </row>
    <row r="55" spans="1:22" ht="29.25" customHeight="1">
      <c r="A55" s="547">
        <v>56</v>
      </c>
      <c r="B55" s="1490" t="s">
        <v>21</v>
      </c>
      <c r="C55" s="1455">
        <v>105699</v>
      </c>
      <c r="D55" s="1456">
        <v>7521</v>
      </c>
      <c r="E55" s="1455">
        <v>794</v>
      </c>
      <c r="F55" s="1456">
        <v>112426</v>
      </c>
      <c r="G55" s="1457">
        <f t="shared" si="1"/>
        <v>113220</v>
      </c>
      <c r="H55" s="1458">
        <v>545378</v>
      </c>
      <c r="I55" s="1459">
        <v>73694</v>
      </c>
      <c r="J55" s="1726">
        <v>12346</v>
      </c>
      <c r="K55" s="1727">
        <v>606726</v>
      </c>
      <c r="L55" s="1726">
        <v>421552</v>
      </c>
      <c r="M55" s="1727">
        <v>197520</v>
      </c>
      <c r="N55" s="1457">
        <f t="shared" si="0"/>
        <v>619072</v>
      </c>
      <c r="O55" s="1451">
        <v>0</v>
      </c>
      <c r="P55" s="1460">
        <v>67.615434718811898</v>
      </c>
      <c r="Q55" s="1461">
        <v>71.022050433511467</v>
      </c>
      <c r="R55" s="1460">
        <v>74.938967777170944</v>
      </c>
      <c r="S55" s="1461">
        <v>67.908430306724185</v>
      </c>
      <c r="T55" s="1460">
        <v>69.205322049899735</v>
      </c>
      <c r="U55" s="1461">
        <v>65.380718214422501</v>
      </c>
      <c r="V55" s="1462">
        <v>68.060868816466765</v>
      </c>
    </row>
    <row r="56" spans="1:22" ht="29.25" customHeight="1">
      <c r="A56" s="547">
        <v>58</v>
      </c>
      <c r="B56" s="1490" t="s">
        <v>99</v>
      </c>
      <c r="C56" s="1455">
        <v>2643</v>
      </c>
      <c r="D56" s="1456">
        <v>7</v>
      </c>
      <c r="E56" s="1455">
        <v>9</v>
      </c>
      <c r="F56" s="1456">
        <v>2641</v>
      </c>
      <c r="G56" s="1457">
        <f t="shared" si="1"/>
        <v>2650</v>
      </c>
      <c r="H56" s="1458">
        <v>20939</v>
      </c>
      <c r="I56" s="1459">
        <v>50</v>
      </c>
      <c r="J56" s="1726">
        <v>73</v>
      </c>
      <c r="K56" s="1727">
        <v>20916</v>
      </c>
      <c r="L56" s="1726">
        <v>12966</v>
      </c>
      <c r="M56" s="1727">
        <v>8023</v>
      </c>
      <c r="N56" s="1457">
        <f t="shared" si="0"/>
        <v>20989</v>
      </c>
      <c r="O56" s="1451">
        <v>0</v>
      </c>
      <c r="P56" s="1460">
        <v>120.1077252136715</v>
      </c>
      <c r="Q56" s="1461">
        <v>78.338412698412696</v>
      </c>
      <c r="R56" s="1460">
        <v>127.84080827994086</v>
      </c>
      <c r="S56" s="1461">
        <v>119.96592825407102</v>
      </c>
      <c r="T56" s="1460">
        <v>120.93317869861238</v>
      </c>
      <c r="U56" s="1461">
        <v>118.36657227840571</v>
      </c>
      <c r="V56" s="1462">
        <v>119.99782163793402</v>
      </c>
    </row>
    <row r="57" spans="1:22" ht="29.25" customHeight="1">
      <c r="A57" s="547">
        <v>59</v>
      </c>
      <c r="B57" s="1490" t="s">
        <v>100</v>
      </c>
      <c r="C57" s="1455">
        <v>2014</v>
      </c>
      <c r="D57" s="1456">
        <v>7</v>
      </c>
      <c r="E57" s="1455">
        <v>4</v>
      </c>
      <c r="F57" s="1456">
        <v>2017</v>
      </c>
      <c r="G57" s="1457">
        <f t="shared" si="1"/>
        <v>2021</v>
      </c>
      <c r="H57" s="1458">
        <v>17206</v>
      </c>
      <c r="I57" s="1459">
        <v>207</v>
      </c>
      <c r="J57" s="1726">
        <v>199</v>
      </c>
      <c r="K57" s="1727">
        <v>17214</v>
      </c>
      <c r="L57" s="1726">
        <v>11166</v>
      </c>
      <c r="M57" s="1727">
        <v>6247</v>
      </c>
      <c r="N57" s="1457">
        <f t="shared" si="0"/>
        <v>17413</v>
      </c>
      <c r="O57" s="1451">
        <v>0</v>
      </c>
      <c r="P57" s="1460">
        <v>98.761590867416743</v>
      </c>
      <c r="Q57" s="1461">
        <v>112.44630180902222</v>
      </c>
      <c r="R57" s="1460">
        <v>120.096018735363</v>
      </c>
      <c r="S57" s="1461">
        <v>98.709402632530484</v>
      </c>
      <c r="T57" s="1460">
        <v>97.555563046201115</v>
      </c>
      <c r="U57" s="1461">
        <v>101.47176126911998</v>
      </c>
      <c r="V57" s="1462">
        <v>98.9032824081077</v>
      </c>
    </row>
    <row r="58" spans="1:22" ht="29.25" customHeight="1">
      <c r="A58" s="547">
        <v>60</v>
      </c>
      <c r="B58" s="1490" t="s">
        <v>755</v>
      </c>
      <c r="C58" s="1455">
        <v>834</v>
      </c>
      <c r="D58" s="1456">
        <v>10</v>
      </c>
      <c r="E58" s="1455">
        <v>5</v>
      </c>
      <c r="F58" s="1456">
        <v>839</v>
      </c>
      <c r="G58" s="1457">
        <f t="shared" si="1"/>
        <v>844</v>
      </c>
      <c r="H58" s="1458">
        <v>9659</v>
      </c>
      <c r="I58" s="1459">
        <v>264</v>
      </c>
      <c r="J58" s="1726">
        <v>111</v>
      </c>
      <c r="K58" s="1727">
        <v>9812</v>
      </c>
      <c r="L58" s="1726">
        <v>6658</v>
      </c>
      <c r="M58" s="1727">
        <v>3265</v>
      </c>
      <c r="N58" s="1457">
        <f t="shared" si="0"/>
        <v>9923</v>
      </c>
      <c r="O58" s="1451">
        <v>0</v>
      </c>
      <c r="P58" s="1460">
        <v>149.15893786879556</v>
      </c>
      <c r="Q58" s="1461">
        <v>158.61361296963457</v>
      </c>
      <c r="R58" s="1460">
        <v>148.0006690454951</v>
      </c>
      <c r="S58" s="1461">
        <v>149.45856469315785</v>
      </c>
      <c r="T58" s="1460">
        <v>148.27763766402842</v>
      </c>
      <c r="U58" s="1461">
        <v>151.97720439381416</v>
      </c>
      <c r="V58" s="1462">
        <v>149.43408646681294</v>
      </c>
    </row>
    <row r="59" spans="1:22" ht="29.25" customHeight="1">
      <c r="A59" s="547">
        <v>61</v>
      </c>
      <c r="B59" s="1490" t="s">
        <v>756</v>
      </c>
      <c r="C59" s="1455">
        <v>3169</v>
      </c>
      <c r="D59" s="1456">
        <v>37</v>
      </c>
      <c r="E59" s="1455">
        <v>33</v>
      </c>
      <c r="F59" s="1456">
        <v>3173</v>
      </c>
      <c r="G59" s="1457">
        <f t="shared" si="1"/>
        <v>3206</v>
      </c>
      <c r="H59" s="1458">
        <v>23313</v>
      </c>
      <c r="I59" s="1459">
        <v>665</v>
      </c>
      <c r="J59" s="1726">
        <v>958</v>
      </c>
      <c r="K59" s="1727">
        <v>23020</v>
      </c>
      <c r="L59" s="1726">
        <v>15539</v>
      </c>
      <c r="M59" s="1727">
        <v>8439</v>
      </c>
      <c r="N59" s="1457">
        <f t="shared" si="0"/>
        <v>23978</v>
      </c>
      <c r="O59" s="1451">
        <v>0</v>
      </c>
      <c r="P59" s="1460">
        <v>158.42450511062233</v>
      </c>
      <c r="Q59" s="1461">
        <v>84.235771920387307</v>
      </c>
      <c r="R59" s="1460">
        <v>270.03848132271889</v>
      </c>
      <c r="S59" s="1461">
        <v>149.07279788256423</v>
      </c>
      <c r="T59" s="1460">
        <v>162.40185314922371</v>
      </c>
      <c r="U59" s="1461">
        <v>144.99146576001098</v>
      </c>
      <c r="V59" s="1462">
        <v>156.39735044430691</v>
      </c>
    </row>
    <row r="60" spans="1:22" ht="29.25" customHeight="1">
      <c r="A60" s="547">
        <v>62</v>
      </c>
      <c r="B60" s="1490" t="s">
        <v>757</v>
      </c>
      <c r="C60" s="1455">
        <v>7381</v>
      </c>
      <c r="D60" s="1456">
        <v>574</v>
      </c>
      <c r="E60" s="1455">
        <v>70</v>
      </c>
      <c r="F60" s="1456">
        <v>7885</v>
      </c>
      <c r="G60" s="1457">
        <f t="shared" si="1"/>
        <v>7955</v>
      </c>
      <c r="H60" s="1458">
        <v>63726</v>
      </c>
      <c r="I60" s="1459">
        <v>11275</v>
      </c>
      <c r="J60" s="1726">
        <v>1202</v>
      </c>
      <c r="K60" s="1727">
        <v>73799</v>
      </c>
      <c r="L60" s="1726">
        <v>47253</v>
      </c>
      <c r="M60" s="1727">
        <v>27748</v>
      </c>
      <c r="N60" s="1457">
        <f t="shared" si="0"/>
        <v>75001</v>
      </c>
      <c r="O60" s="1451">
        <v>0</v>
      </c>
      <c r="P60" s="1460">
        <v>185.55528202365522</v>
      </c>
      <c r="Q60" s="1461">
        <v>89.383265130303684</v>
      </c>
      <c r="R60" s="1460">
        <v>123.23490991932449</v>
      </c>
      <c r="S60" s="1461">
        <v>172.40726807672624</v>
      </c>
      <c r="T60" s="1460">
        <v>183.59231024196222</v>
      </c>
      <c r="U60" s="1461">
        <v>144.97629283772991</v>
      </c>
      <c r="V60" s="1462">
        <v>170.22195722108256</v>
      </c>
    </row>
    <row r="61" spans="1:22" ht="29.25" customHeight="1">
      <c r="A61" s="547">
        <v>63</v>
      </c>
      <c r="B61" s="1490" t="s">
        <v>758</v>
      </c>
      <c r="C61" s="1455">
        <v>1251</v>
      </c>
      <c r="D61" s="1456">
        <v>541</v>
      </c>
      <c r="E61" s="1455">
        <v>68</v>
      </c>
      <c r="F61" s="1456">
        <v>1724</v>
      </c>
      <c r="G61" s="1457">
        <f t="shared" si="1"/>
        <v>1792</v>
      </c>
      <c r="H61" s="1458">
        <v>15675</v>
      </c>
      <c r="I61" s="1459">
        <v>39267</v>
      </c>
      <c r="J61" s="1726">
        <v>545</v>
      </c>
      <c r="K61" s="1727">
        <v>54397</v>
      </c>
      <c r="L61" s="1726">
        <v>22894</v>
      </c>
      <c r="M61" s="1727">
        <v>32048</v>
      </c>
      <c r="N61" s="1457">
        <f t="shared" si="0"/>
        <v>54942</v>
      </c>
      <c r="O61" s="1451">
        <v>0</v>
      </c>
      <c r="P61" s="1460">
        <v>171.03660734149054</v>
      </c>
      <c r="Q61" s="1461">
        <v>75.755558495450884</v>
      </c>
      <c r="R61" s="1460">
        <v>69.963802285587491</v>
      </c>
      <c r="S61" s="1461">
        <v>98.466603990128121</v>
      </c>
      <c r="T61" s="1460">
        <v>112.95807756108756</v>
      </c>
      <c r="U61" s="1461">
        <v>85.752823451925636</v>
      </c>
      <c r="V61" s="1462">
        <v>97.806054954474902</v>
      </c>
    </row>
    <row r="62" spans="1:22" ht="29.25" customHeight="1">
      <c r="A62" s="547">
        <v>64</v>
      </c>
      <c r="B62" s="1490" t="s">
        <v>823</v>
      </c>
      <c r="C62" s="1455">
        <v>7176</v>
      </c>
      <c r="D62" s="1456">
        <v>8</v>
      </c>
      <c r="E62" s="1455">
        <v>41</v>
      </c>
      <c r="F62" s="1456">
        <v>7143</v>
      </c>
      <c r="G62" s="1457">
        <f t="shared" si="1"/>
        <v>7184</v>
      </c>
      <c r="H62" s="1458">
        <v>88124</v>
      </c>
      <c r="I62" s="1459">
        <v>57</v>
      </c>
      <c r="J62" s="1726">
        <v>1474</v>
      </c>
      <c r="K62" s="1727">
        <v>86707</v>
      </c>
      <c r="L62" s="1726">
        <v>48044</v>
      </c>
      <c r="M62" s="1727">
        <v>40137</v>
      </c>
      <c r="N62" s="1457">
        <f t="shared" si="0"/>
        <v>88181</v>
      </c>
      <c r="O62" s="1451">
        <v>0</v>
      </c>
      <c r="P62" s="1460">
        <v>218.78362051814503</v>
      </c>
      <c r="Q62" s="1461">
        <v>73.973039215686271</v>
      </c>
      <c r="R62" s="1460">
        <v>253.00428288113423</v>
      </c>
      <c r="S62" s="1461">
        <v>218.04844401401738</v>
      </c>
      <c r="T62" s="1463">
        <v>232.69765966976038</v>
      </c>
      <c r="U62" s="1461">
        <v>200.65442920930548</v>
      </c>
      <c r="V62" s="1462">
        <v>218.68729101146374</v>
      </c>
    </row>
    <row r="63" spans="1:22" ht="29.25" customHeight="1">
      <c r="A63" s="547">
        <v>65</v>
      </c>
      <c r="B63" s="1490" t="s">
        <v>839</v>
      </c>
      <c r="C63" s="1455">
        <v>3901</v>
      </c>
      <c r="D63" s="1456">
        <v>2</v>
      </c>
      <c r="E63" s="1455">
        <v>3</v>
      </c>
      <c r="F63" s="1456">
        <v>3900</v>
      </c>
      <c r="G63" s="1457">
        <f t="shared" si="1"/>
        <v>3903</v>
      </c>
      <c r="H63" s="1458">
        <v>24253</v>
      </c>
      <c r="I63" s="1459">
        <v>6</v>
      </c>
      <c r="J63" s="1726">
        <v>63</v>
      </c>
      <c r="K63" s="1727">
        <v>24196</v>
      </c>
      <c r="L63" s="1726">
        <v>10642</v>
      </c>
      <c r="M63" s="1727">
        <v>13617</v>
      </c>
      <c r="N63" s="1457">
        <f t="shared" si="0"/>
        <v>24259</v>
      </c>
      <c r="O63" s="1451">
        <v>0</v>
      </c>
      <c r="P63" s="1460">
        <v>156.9979124098021</v>
      </c>
      <c r="Q63" s="1461">
        <v>59.25333333333333</v>
      </c>
      <c r="R63" s="1460">
        <v>183.4638418079096</v>
      </c>
      <c r="S63" s="1461">
        <v>156.909823410624</v>
      </c>
      <c r="T63" s="1460">
        <v>168.68541381895145</v>
      </c>
      <c r="U63" s="1461">
        <v>147.28183663115169</v>
      </c>
      <c r="V63" s="1462">
        <v>156.99173572612449</v>
      </c>
    </row>
    <row r="64" spans="1:22" ht="29.25" customHeight="1">
      <c r="A64" s="547">
        <v>66</v>
      </c>
      <c r="B64" s="1490" t="s">
        <v>671</v>
      </c>
      <c r="C64" s="1455">
        <v>11712</v>
      </c>
      <c r="D64" s="1456">
        <v>15</v>
      </c>
      <c r="E64" s="1455">
        <v>5</v>
      </c>
      <c r="F64" s="1456">
        <v>11722</v>
      </c>
      <c r="G64" s="1457">
        <f t="shared" si="1"/>
        <v>11727</v>
      </c>
      <c r="H64" s="1458">
        <v>49458</v>
      </c>
      <c r="I64" s="1459">
        <v>308</v>
      </c>
      <c r="J64" s="1726">
        <v>611</v>
      </c>
      <c r="K64" s="1727">
        <v>49155</v>
      </c>
      <c r="L64" s="1726">
        <v>23940</v>
      </c>
      <c r="M64" s="1727">
        <v>25826</v>
      </c>
      <c r="N64" s="1457">
        <f t="shared" si="0"/>
        <v>49766</v>
      </c>
      <c r="O64" s="1451">
        <v>0</v>
      </c>
      <c r="P64" s="1460">
        <v>120.41939019636978</v>
      </c>
      <c r="Q64" s="1461">
        <v>64.12124546154692</v>
      </c>
      <c r="R64" s="1460">
        <v>212.78693334930236</v>
      </c>
      <c r="S64" s="1461">
        <v>118.93682115180722</v>
      </c>
      <c r="T64" s="1460">
        <v>129.51811313166135</v>
      </c>
      <c r="U64" s="1461">
        <v>110.71398619626687</v>
      </c>
      <c r="V64" s="1462">
        <v>120.05089595713784</v>
      </c>
    </row>
    <row r="65" spans="1:22" ht="29.25" customHeight="1">
      <c r="A65" s="547">
        <v>68</v>
      </c>
      <c r="B65" s="1490" t="s">
        <v>635</v>
      </c>
      <c r="C65" s="1455">
        <v>56607</v>
      </c>
      <c r="D65" s="1456">
        <v>363</v>
      </c>
      <c r="E65" s="1455">
        <v>35</v>
      </c>
      <c r="F65" s="1456">
        <v>56935</v>
      </c>
      <c r="G65" s="1457">
        <f t="shared" si="1"/>
        <v>56970</v>
      </c>
      <c r="H65" s="1458">
        <v>116117</v>
      </c>
      <c r="I65" s="1459">
        <v>1698</v>
      </c>
      <c r="J65" s="1726">
        <v>805</v>
      </c>
      <c r="K65" s="1727">
        <v>117010</v>
      </c>
      <c r="L65" s="1726">
        <v>86159</v>
      </c>
      <c r="M65" s="1727">
        <v>31656</v>
      </c>
      <c r="N65" s="1457">
        <f t="shared" si="0"/>
        <v>117815</v>
      </c>
      <c r="O65" s="1451">
        <v>0</v>
      </c>
      <c r="P65" s="1460">
        <v>77.258400450177831</v>
      </c>
      <c r="Q65" s="1461">
        <v>79.859704529557646</v>
      </c>
      <c r="R65" s="1460">
        <v>68.59862763037512</v>
      </c>
      <c r="S65" s="1461">
        <v>77.355128847379532</v>
      </c>
      <c r="T65" s="1460">
        <v>76.397696009676366</v>
      </c>
      <c r="U65" s="1461">
        <v>80.11090607310706</v>
      </c>
      <c r="V65" s="1462">
        <v>77.297443116116199</v>
      </c>
    </row>
    <row r="66" spans="1:22" ht="29.25" customHeight="1">
      <c r="A66" s="547">
        <v>69</v>
      </c>
      <c r="B66" s="1490" t="s">
        <v>521</v>
      </c>
      <c r="C66" s="1455">
        <v>47441</v>
      </c>
      <c r="D66" s="1456">
        <v>52</v>
      </c>
      <c r="E66" s="1455">
        <v>180</v>
      </c>
      <c r="F66" s="1456">
        <v>47313</v>
      </c>
      <c r="G66" s="1457">
        <f t="shared" si="1"/>
        <v>47493</v>
      </c>
      <c r="H66" s="1458">
        <v>140703</v>
      </c>
      <c r="I66" s="1459">
        <v>741</v>
      </c>
      <c r="J66" s="1726">
        <v>1113</v>
      </c>
      <c r="K66" s="1727">
        <v>140331</v>
      </c>
      <c r="L66" s="1726">
        <v>62188</v>
      </c>
      <c r="M66" s="1727">
        <v>79256</v>
      </c>
      <c r="N66" s="1457">
        <f t="shared" si="0"/>
        <v>141444</v>
      </c>
      <c r="O66" s="1451">
        <v>0</v>
      </c>
      <c r="P66" s="1460">
        <v>76.497072823581462</v>
      </c>
      <c r="Q66" s="1461">
        <v>59.25</v>
      </c>
      <c r="R66" s="1460">
        <v>59.25</v>
      </c>
      <c r="S66" s="1461">
        <v>77.863101410733933</v>
      </c>
      <c r="T66" s="1460">
        <v>78.344274859562063</v>
      </c>
      <c r="U66" s="1461">
        <v>74.658529164394736</v>
      </c>
      <c r="V66" s="1462">
        <v>76.34481172804972</v>
      </c>
    </row>
    <row r="67" spans="1:22" ht="29.25" customHeight="1">
      <c r="A67" s="547">
        <v>70</v>
      </c>
      <c r="B67" s="1490" t="s">
        <v>450</v>
      </c>
      <c r="C67" s="1455">
        <v>19607</v>
      </c>
      <c r="D67" s="1456">
        <v>905</v>
      </c>
      <c r="E67" s="1455">
        <v>1049</v>
      </c>
      <c r="F67" s="1456">
        <v>19463</v>
      </c>
      <c r="G67" s="1457">
        <f t="shared" si="1"/>
        <v>20512</v>
      </c>
      <c r="H67" s="1458">
        <v>200507</v>
      </c>
      <c r="I67" s="1459">
        <v>15319</v>
      </c>
      <c r="J67" s="1726">
        <v>22620</v>
      </c>
      <c r="K67" s="1727">
        <v>193206</v>
      </c>
      <c r="L67" s="1726">
        <v>123436</v>
      </c>
      <c r="M67" s="1727">
        <v>92390</v>
      </c>
      <c r="N67" s="1457">
        <f t="shared" si="0"/>
        <v>215826</v>
      </c>
      <c r="O67" s="1451">
        <v>0</v>
      </c>
      <c r="P67" s="1460">
        <v>157.06431585057115</v>
      </c>
      <c r="Q67" s="1461">
        <v>87.690285256043069</v>
      </c>
      <c r="R67" s="1460">
        <v>133.93938740316275</v>
      </c>
      <c r="S67" s="1461">
        <v>156.10836918318736</v>
      </c>
      <c r="T67" s="1460">
        <v>162.86909504757725</v>
      </c>
      <c r="U67" s="1461">
        <v>138.09830371498978</v>
      </c>
      <c r="V67" s="1462">
        <v>152.65938283380302</v>
      </c>
    </row>
    <row r="68" spans="1:22" ht="29.25" customHeight="1">
      <c r="A68" s="547">
        <v>71</v>
      </c>
      <c r="B68" s="1490" t="s">
        <v>451</v>
      </c>
      <c r="C68" s="1455">
        <v>21882</v>
      </c>
      <c r="D68" s="1456">
        <v>1581</v>
      </c>
      <c r="E68" s="1455">
        <v>1085</v>
      </c>
      <c r="F68" s="1456">
        <v>22378</v>
      </c>
      <c r="G68" s="1457">
        <f t="shared" si="1"/>
        <v>23463</v>
      </c>
      <c r="H68" s="1458">
        <v>139350</v>
      </c>
      <c r="I68" s="1459">
        <v>12713</v>
      </c>
      <c r="J68" s="1726">
        <v>16485</v>
      </c>
      <c r="K68" s="1727">
        <v>135578</v>
      </c>
      <c r="L68" s="1726">
        <v>101498</v>
      </c>
      <c r="M68" s="1727">
        <v>50565</v>
      </c>
      <c r="N68" s="1457">
        <f t="shared" si="0"/>
        <v>152063</v>
      </c>
      <c r="O68" s="1451">
        <v>0</v>
      </c>
      <c r="P68" s="1460">
        <v>121.12751100957237</v>
      </c>
      <c r="Q68" s="1461">
        <v>124.65751576041366</v>
      </c>
      <c r="R68" s="1460">
        <v>182.85084325396826</v>
      </c>
      <c r="S68" s="1461">
        <v>112.91979465831149</v>
      </c>
      <c r="T68" s="1460">
        <v>130.41582712683623</v>
      </c>
      <c r="U68" s="1461">
        <v>103.22597501073848</v>
      </c>
      <c r="V68" s="1462">
        <v>121.42640272858176</v>
      </c>
    </row>
    <row r="69" spans="1:22" ht="29.25" customHeight="1">
      <c r="A69" s="547">
        <v>72</v>
      </c>
      <c r="B69" s="1490" t="s">
        <v>143</v>
      </c>
      <c r="C69" s="1455">
        <v>833</v>
      </c>
      <c r="D69" s="1456">
        <v>49</v>
      </c>
      <c r="E69" s="1455">
        <v>140</v>
      </c>
      <c r="F69" s="1456">
        <v>742</v>
      </c>
      <c r="G69" s="1457">
        <f t="shared" si="1"/>
        <v>882</v>
      </c>
      <c r="H69" s="1458">
        <v>11858</v>
      </c>
      <c r="I69" s="1459">
        <v>283</v>
      </c>
      <c r="J69" s="1726">
        <v>5565</v>
      </c>
      <c r="K69" s="1727">
        <v>6576</v>
      </c>
      <c r="L69" s="1726">
        <v>8073</v>
      </c>
      <c r="M69" s="1727">
        <v>4068</v>
      </c>
      <c r="N69" s="1457">
        <f t="shared" si="0"/>
        <v>12141</v>
      </c>
      <c r="O69" s="1451">
        <v>0</v>
      </c>
      <c r="P69" s="1463">
        <v>215.2195034535753</v>
      </c>
      <c r="Q69" s="1461">
        <v>94.943881908015129</v>
      </c>
      <c r="R69" s="1460">
        <v>234.49936164274558</v>
      </c>
      <c r="S69" s="1461">
        <v>192.77288468167475</v>
      </c>
      <c r="T69" s="1463">
        <v>228.98657479665511</v>
      </c>
      <c r="U69" s="1461">
        <v>180.00213304560734</v>
      </c>
      <c r="V69" s="1467">
        <v>212.450314648675</v>
      </c>
    </row>
    <row r="70" spans="1:22" ht="29.25" customHeight="1">
      <c r="A70" s="547">
        <v>73</v>
      </c>
      <c r="B70" s="1490" t="s">
        <v>144</v>
      </c>
      <c r="C70" s="1455">
        <v>7214</v>
      </c>
      <c r="D70" s="1456">
        <v>63</v>
      </c>
      <c r="E70" s="1455">
        <v>41</v>
      </c>
      <c r="F70" s="1456">
        <v>7236</v>
      </c>
      <c r="G70" s="1457">
        <f t="shared" si="1"/>
        <v>7277</v>
      </c>
      <c r="H70" s="1458">
        <v>55453</v>
      </c>
      <c r="I70" s="1459">
        <v>1013</v>
      </c>
      <c r="J70" s="1726">
        <v>716</v>
      </c>
      <c r="K70" s="1727">
        <v>55750</v>
      </c>
      <c r="L70" s="1726">
        <v>31007</v>
      </c>
      <c r="M70" s="1727">
        <v>25459</v>
      </c>
      <c r="N70" s="1457">
        <f t="shared" ref="N70:N93" si="2">+L70+M70</f>
        <v>56466</v>
      </c>
      <c r="O70" s="1451">
        <v>0</v>
      </c>
      <c r="P70" s="1460">
        <v>100.13632991858371</v>
      </c>
      <c r="Q70" s="1461">
        <v>109.9263598647818</v>
      </c>
      <c r="R70" s="1460">
        <v>156.93922895821072</v>
      </c>
      <c r="S70" s="1461">
        <v>99.458987589903643</v>
      </c>
      <c r="T70" s="1460">
        <v>101.48446500499124</v>
      </c>
      <c r="U70" s="1461">
        <v>98.752457025700295</v>
      </c>
      <c r="V70" s="1462">
        <v>100.31114898130892</v>
      </c>
    </row>
    <row r="71" spans="1:22" ht="29.25" customHeight="1">
      <c r="A71" s="547">
        <v>74</v>
      </c>
      <c r="B71" s="1490" t="s">
        <v>770</v>
      </c>
      <c r="C71" s="1455">
        <v>7848</v>
      </c>
      <c r="D71" s="1456">
        <v>165</v>
      </c>
      <c r="E71" s="1455">
        <v>131</v>
      </c>
      <c r="F71" s="1456">
        <v>7882</v>
      </c>
      <c r="G71" s="1457">
        <f t="shared" ref="G71:G93" si="3">+F71+E71</f>
        <v>8013</v>
      </c>
      <c r="H71" s="1458">
        <v>40518</v>
      </c>
      <c r="I71" s="1459">
        <v>2536</v>
      </c>
      <c r="J71" s="1726">
        <v>1929</v>
      </c>
      <c r="K71" s="1727">
        <v>41125</v>
      </c>
      <c r="L71" s="1726">
        <v>27374</v>
      </c>
      <c r="M71" s="1727">
        <v>15680</v>
      </c>
      <c r="N71" s="1457">
        <f t="shared" si="2"/>
        <v>43054</v>
      </c>
      <c r="O71" s="1451">
        <v>0</v>
      </c>
      <c r="P71" s="1460">
        <v>87.304462506972669</v>
      </c>
      <c r="Q71" s="1461">
        <v>86.645339029168483</v>
      </c>
      <c r="R71" s="1460">
        <v>149.05662398083743</v>
      </c>
      <c r="S71" s="1461">
        <v>81.049959657749753</v>
      </c>
      <c r="T71" s="1460">
        <v>89.485675527999987</v>
      </c>
      <c r="U71" s="1461">
        <v>83.77494155845902</v>
      </c>
      <c r="V71" s="1462">
        <v>87.255501628322307</v>
      </c>
    </row>
    <row r="72" spans="1:22" ht="29.25" customHeight="1">
      <c r="A72" s="547">
        <v>75</v>
      </c>
      <c r="B72" s="1490" t="s">
        <v>723</v>
      </c>
      <c r="C72" s="1455">
        <v>2245</v>
      </c>
      <c r="D72" s="1456">
        <v>56</v>
      </c>
      <c r="E72" s="1455">
        <v>137</v>
      </c>
      <c r="F72" s="1456">
        <v>2164</v>
      </c>
      <c r="G72" s="1457">
        <f t="shared" si="3"/>
        <v>2301</v>
      </c>
      <c r="H72" s="1458">
        <v>5234</v>
      </c>
      <c r="I72" s="1459">
        <v>1638</v>
      </c>
      <c r="J72" s="1726">
        <v>1140</v>
      </c>
      <c r="K72" s="1727">
        <v>5732</v>
      </c>
      <c r="L72" s="1726">
        <v>4302</v>
      </c>
      <c r="M72" s="1727">
        <v>2570</v>
      </c>
      <c r="N72" s="1457">
        <f t="shared" si="2"/>
        <v>6872</v>
      </c>
      <c r="O72" s="1451">
        <v>0</v>
      </c>
      <c r="P72" s="1460">
        <v>74.474417382162258</v>
      </c>
      <c r="Q72" s="1461">
        <v>78.48105410884142</v>
      </c>
      <c r="R72" s="1460">
        <v>77.425410133419319</v>
      </c>
      <c r="S72" s="1461">
        <v>74.386160588334874</v>
      </c>
      <c r="T72" s="1460">
        <v>84.632504054280076</v>
      </c>
      <c r="U72" s="1461">
        <v>62.119260726620269</v>
      </c>
      <c r="V72" s="1462">
        <v>75.353134297732637</v>
      </c>
    </row>
    <row r="73" spans="1:22" ht="29.25" customHeight="1">
      <c r="A73" s="547">
        <v>77</v>
      </c>
      <c r="B73" s="1490" t="s">
        <v>462</v>
      </c>
      <c r="C73" s="1455">
        <v>5317</v>
      </c>
      <c r="D73" s="1456">
        <v>277</v>
      </c>
      <c r="E73" s="1455">
        <v>54</v>
      </c>
      <c r="F73" s="1456">
        <v>5540</v>
      </c>
      <c r="G73" s="1457">
        <f t="shared" si="3"/>
        <v>5594</v>
      </c>
      <c r="H73" s="1458">
        <v>26335</v>
      </c>
      <c r="I73" s="1459">
        <v>3178</v>
      </c>
      <c r="J73" s="1726">
        <v>3542</v>
      </c>
      <c r="K73" s="1727">
        <v>25971</v>
      </c>
      <c r="L73" s="1726">
        <v>22483</v>
      </c>
      <c r="M73" s="1727">
        <v>7030</v>
      </c>
      <c r="N73" s="1457">
        <f t="shared" si="2"/>
        <v>29513</v>
      </c>
      <c r="O73" s="1451">
        <v>0</v>
      </c>
      <c r="P73" s="1460">
        <v>110.52800746372668</v>
      </c>
      <c r="Q73" s="1461">
        <v>82.845327528482017</v>
      </c>
      <c r="R73" s="1460">
        <v>178.39098130697059</v>
      </c>
      <c r="S73" s="1461">
        <v>97.572859932324377</v>
      </c>
      <c r="T73" s="1460">
        <v>107.91120982509935</v>
      </c>
      <c r="U73" s="1461">
        <v>106.32093493524026</v>
      </c>
      <c r="V73" s="1462">
        <v>107.55372373047284</v>
      </c>
    </row>
    <row r="74" spans="1:22" ht="29.25" customHeight="1">
      <c r="A74" s="547">
        <v>78</v>
      </c>
      <c r="B74" s="1490" t="s">
        <v>520</v>
      </c>
      <c r="C74" s="1455">
        <v>937</v>
      </c>
      <c r="D74" s="1456">
        <v>949</v>
      </c>
      <c r="E74" s="1455">
        <v>110</v>
      </c>
      <c r="F74" s="1456">
        <v>1776</v>
      </c>
      <c r="G74" s="1457">
        <f t="shared" si="3"/>
        <v>1886</v>
      </c>
      <c r="H74" s="1458">
        <v>31432</v>
      </c>
      <c r="I74" s="1459">
        <v>38730</v>
      </c>
      <c r="J74" s="1726">
        <v>3833</v>
      </c>
      <c r="K74" s="1727">
        <v>66329</v>
      </c>
      <c r="L74" s="1726">
        <v>45490</v>
      </c>
      <c r="M74" s="1727">
        <v>24672</v>
      </c>
      <c r="N74" s="1457">
        <f t="shared" si="2"/>
        <v>70162</v>
      </c>
      <c r="O74" s="1451">
        <v>0</v>
      </c>
      <c r="P74" s="1460">
        <v>83.783418939184145</v>
      </c>
      <c r="Q74" s="1461">
        <v>88.098741764931816</v>
      </c>
      <c r="R74" s="1460">
        <v>84.861977322597852</v>
      </c>
      <c r="S74" s="1461">
        <v>87.203933532009259</v>
      </c>
      <c r="T74" s="1460">
        <v>88.302950583797553</v>
      </c>
      <c r="U74" s="1461">
        <v>84.511455336840413</v>
      </c>
      <c r="V74" s="1462">
        <v>87.03370134695443</v>
      </c>
    </row>
    <row r="75" spans="1:22" ht="29.25" customHeight="1">
      <c r="A75" s="547">
        <v>79</v>
      </c>
      <c r="B75" s="1490" t="s">
        <v>426</v>
      </c>
      <c r="C75" s="1455">
        <v>7779</v>
      </c>
      <c r="D75" s="1456">
        <v>133</v>
      </c>
      <c r="E75" s="1455">
        <v>37</v>
      </c>
      <c r="F75" s="1456">
        <v>7875</v>
      </c>
      <c r="G75" s="1457">
        <f t="shared" si="3"/>
        <v>7912</v>
      </c>
      <c r="H75" s="1458">
        <v>43933</v>
      </c>
      <c r="I75" s="1459">
        <v>1534</v>
      </c>
      <c r="J75" s="1726">
        <v>910</v>
      </c>
      <c r="K75" s="1727">
        <v>44557</v>
      </c>
      <c r="L75" s="1726">
        <v>27475</v>
      </c>
      <c r="M75" s="1727">
        <v>17992</v>
      </c>
      <c r="N75" s="1457">
        <f t="shared" si="2"/>
        <v>45467</v>
      </c>
      <c r="O75" s="1451">
        <v>0</v>
      </c>
      <c r="P75" s="1460">
        <v>93.287634308803405</v>
      </c>
      <c r="Q75" s="1461">
        <v>76.353703232374656</v>
      </c>
      <c r="R75" s="1460">
        <v>125.58453485758325</v>
      </c>
      <c r="S75" s="1461">
        <v>91.854934953369096</v>
      </c>
      <c r="T75" s="1460">
        <v>94.309684783083583</v>
      </c>
      <c r="U75" s="1461">
        <v>90.226707753975049</v>
      </c>
      <c r="V75" s="1462">
        <v>92.724105074515194</v>
      </c>
    </row>
    <row r="76" spans="1:22" ht="29.25" customHeight="1">
      <c r="A76" s="547">
        <v>80</v>
      </c>
      <c r="B76" s="1490" t="s">
        <v>498</v>
      </c>
      <c r="C76" s="1455">
        <v>6049</v>
      </c>
      <c r="D76" s="1456">
        <v>14637</v>
      </c>
      <c r="E76" s="1455">
        <v>357</v>
      </c>
      <c r="F76" s="1456">
        <v>20329</v>
      </c>
      <c r="G76" s="1457">
        <f t="shared" si="3"/>
        <v>20686</v>
      </c>
      <c r="H76" s="1458">
        <v>82690</v>
      </c>
      <c r="I76" s="1459">
        <v>214808</v>
      </c>
      <c r="J76" s="1726">
        <v>8866</v>
      </c>
      <c r="K76" s="1727">
        <v>288632</v>
      </c>
      <c r="L76" s="1726">
        <v>254772</v>
      </c>
      <c r="M76" s="1727">
        <v>42726</v>
      </c>
      <c r="N76" s="1457">
        <f t="shared" si="2"/>
        <v>297498</v>
      </c>
      <c r="O76" s="1451">
        <v>0</v>
      </c>
      <c r="P76" s="1460">
        <v>77.765115841024681</v>
      </c>
      <c r="Q76" s="1461">
        <v>84.353404018400624</v>
      </c>
      <c r="R76" s="1460">
        <v>86.155185151335132</v>
      </c>
      <c r="S76" s="1461">
        <v>82.940781679830664</v>
      </c>
      <c r="T76" s="1460">
        <v>83.364811477534204</v>
      </c>
      <c r="U76" s="1461">
        <v>80.660752791261729</v>
      </c>
      <c r="V76" s="1462">
        <v>83.050765852421037</v>
      </c>
    </row>
    <row r="77" spans="1:22" ht="29.25" customHeight="1">
      <c r="A77" s="547">
        <v>81</v>
      </c>
      <c r="B77" s="1490" t="s">
        <v>499</v>
      </c>
      <c r="C77" s="1455">
        <v>29427</v>
      </c>
      <c r="D77" s="1456">
        <v>26231</v>
      </c>
      <c r="E77" s="1455">
        <v>5735</v>
      </c>
      <c r="F77" s="1456">
        <v>49923</v>
      </c>
      <c r="G77" s="1457">
        <f t="shared" si="3"/>
        <v>55658</v>
      </c>
      <c r="H77" s="1458">
        <v>225395</v>
      </c>
      <c r="I77" s="1459">
        <v>493344</v>
      </c>
      <c r="J77" s="1726">
        <v>160900</v>
      </c>
      <c r="K77" s="1727">
        <v>557839</v>
      </c>
      <c r="L77" s="1726">
        <v>446313</v>
      </c>
      <c r="M77" s="1727">
        <v>272426</v>
      </c>
      <c r="N77" s="1457">
        <f t="shared" si="2"/>
        <v>718739</v>
      </c>
      <c r="O77" s="1451">
        <v>0</v>
      </c>
      <c r="P77" s="1460">
        <v>78.669334733292388</v>
      </c>
      <c r="Q77" s="1461">
        <v>73.817880241624309</v>
      </c>
      <c r="R77" s="1460">
        <v>75.779674960361731</v>
      </c>
      <c r="S77" s="1461">
        <v>74.71737275724837</v>
      </c>
      <c r="T77" s="1460">
        <v>78.400850280111982</v>
      </c>
      <c r="U77" s="1461">
        <v>68.92141235954054</v>
      </c>
      <c r="V77" s="1462">
        <v>74.953508224760967</v>
      </c>
    </row>
    <row r="78" spans="1:22" ht="29.25" customHeight="1">
      <c r="A78" s="547">
        <v>82</v>
      </c>
      <c r="B78" s="1490" t="s">
        <v>364</v>
      </c>
      <c r="C78" s="1455">
        <v>49212</v>
      </c>
      <c r="D78" s="1456">
        <v>1327</v>
      </c>
      <c r="E78" s="1455">
        <v>2746</v>
      </c>
      <c r="F78" s="1456">
        <v>47793</v>
      </c>
      <c r="G78" s="1457">
        <f t="shared" si="3"/>
        <v>50539</v>
      </c>
      <c r="H78" s="1458">
        <v>356266</v>
      </c>
      <c r="I78" s="1459">
        <v>50564</v>
      </c>
      <c r="J78" s="1726">
        <v>34726</v>
      </c>
      <c r="K78" s="1727">
        <v>372104</v>
      </c>
      <c r="L78" s="1726">
        <v>231243</v>
      </c>
      <c r="M78" s="1727">
        <v>175587</v>
      </c>
      <c r="N78" s="1457">
        <f t="shared" si="2"/>
        <v>406830</v>
      </c>
      <c r="O78" s="1451">
        <v>0</v>
      </c>
      <c r="P78" s="1460">
        <v>117.04291883507784</v>
      </c>
      <c r="Q78" s="1461">
        <v>85.701785650990701</v>
      </c>
      <c r="R78" s="1460">
        <v>112.10097993564843</v>
      </c>
      <c r="S78" s="1461">
        <v>112.87813939262557</v>
      </c>
      <c r="T78" s="1460">
        <v>123.05752520098349</v>
      </c>
      <c r="U78" s="1461">
        <v>98.670949565807234</v>
      </c>
      <c r="V78" s="1462">
        <v>112.78918835902287</v>
      </c>
    </row>
    <row r="79" spans="1:22" ht="29.25" customHeight="1">
      <c r="A79" s="547">
        <v>84</v>
      </c>
      <c r="B79" s="1490" t="s">
        <v>766</v>
      </c>
      <c r="C79" s="1455">
        <v>2619</v>
      </c>
      <c r="D79" s="1456">
        <v>615</v>
      </c>
      <c r="E79" s="1455">
        <v>2677</v>
      </c>
      <c r="F79" s="1456">
        <v>557</v>
      </c>
      <c r="G79" s="1457">
        <f t="shared" si="3"/>
        <v>3234</v>
      </c>
      <c r="H79" s="1458">
        <v>56813</v>
      </c>
      <c r="I79" s="1459">
        <v>21096</v>
      </c>
      <c r="J79" s="1726">
        <v>60588</v>
      </c>
      <c r="K79" s="1727">
        <v>17321</v>
      </c>
      <c r="L79" s="1726">
        <v>56984</v>
      </c>
      <c r="M79" s="1727">
        <v>20925</v>
      </c>
      <c r="N79" s="1457">
        <f t="shared" si="2"/>
        <v>77909</v>
      </c>
      <c r="O79" s="1451">
        <v>0</v>
      </c>
      <c r="P79" s="1460">
        <v>106.14902787467179</v>
      </c>
      <c r="Q79" s="1461">
        <v>171.48587244197657</v>
      </c>
      <c r="R79" s="1460">
        <v>103.62603606241811</v>
      </c>
      <c r="S79" s="1461">
        <v>90.321096220575626</v>
      </c>
      <c r="T79" s="1460">
        <v>102.65845077002881</v>
      </c>
      <c r="U79" s="1461">
        <v>98.680930733837201</v>
      </c>
      <c r="V79" s="1462">
        <v>101.06697655967858</v>
      </c>
    </row>
    <row r="80" spans="1:22" ht="29.25" customHeight="1">
      <c r="A80" s="547">
        <v>85</v>
      </c>
      <c r="B80" s="1490" t="s">
        <v>516</v>
      </c>
      <c r="C80" s="1455">
        <v>35561</v>
      </c>
      <c r="D80" s="1456">
        <v>3213</v>
      </c>
      <c r="E80" s="1455">
        <v>17337</v>
      </c>
      <c r="F80" s="1456">
        <v>21437</v>
      </c>
      <c r="G80" s="1457">
        <f t="shared" si="3"/>
        <v>38774</v>
      </c>
      <c r="H80" s="1458">
        <v>377130</v>
      </c>
      <c r="I80" s="1459">
        <v>110964</v>
      </c>
      <c r="J80" s="1726">
        <v>185291</v>
      </c>
      <c r="K80" s="1727">
        <v>302803</v>
      </c>
      <c r="L80" s="1726">
        <v>172860</v>
      </c>
      <c r="M80" s="1727">
        <v>315234</v>
      </c>
      <c r="N80" s="1457">
        <f t="shared" si="2"/>
        <v>488094</v>
      </c>
      <c r="O80" s="1451">
        <v>0</v>
      </c>
      <c r="P80" s="1460">
        <v>57.680896421953193</v>
      </c>
      <c r="Q80" s="1461">
        <v>56.83264911235203</v>
      </c>
      <c r="R80" s="1463">
        <v>59.25</v>
      </c>
      <c r="S80" s="1461">
        <v>89.785210063028529</v>
      </c>
      <c r="T80" s="1460">
        <v>59.25</v>
      </c>
      <c r="U80" s="1461">
        <v>94.030344198618295</v>
      </c>
      <c r="V80" s="1462">
        <v>57.602953137291372</v>
      </c>
    </row>
    <row r="81" spans="1:22" ht="29.25" customHeight="1">
      <c r="A81" s="547">
        <v>86</v>
      </c>
      <c r="B81" s="1490" t="s">
        <v>849</v>
      </c>
      <c r="C81" s="1455">
        <v>22734</v>
      </c>
      <c r="D81" s="1456">
        <v>1425</v>
      </c>
      <c r="E81" s="1455">
        <v>1950</v>
      </c>
      <c r="F81" s="1456">
        <v>22209</v>
      </c>
      <c r="G81" s="1457">
        <f t="shared" si="3"/>
        <v>24159</v>
      </c>
      <c r="H81" s="1458">
        <v>264901</v>
      </c>
      <c r="I81" s="1459">
        <v>24784</v>
      </c>
      <c r="J81" s="1726">
        <v>26238</v>
      </c>
      <c r="K81" s="1727">
        <v>263447</v>
      </c>
      <c r="L81" s="1726">
        <v>104369</v>
      </c>
      <c r="M81" s="1727">
        <v>185316</v>
      </c>
      <c r="N81" s="1457">
        <f t="shared" si="2"/>
        <v>289685</v>
      </c>
      <c r="O81" s="1451">
        <v>0</v>
      </c>
      <c r="P81" s="1460">
        <v>96.60945292107472</v>
      </c>
      <c r="Q81" s="1461">
        <v>86.028207890878392</v>
      </c>
      <c r="R81" s="1460">
        <v>85.93565560825725</v>
      </c>
      <c r="S81" s="1461">
        <v>97.203685014499655</v>
      </c>
      <c r="T81" s="1460">
        <v>109.92329660435617</v>
      </c>
      <c r="U81" s="1461">
        <v>60.191876352334489</v>
      </c>
      <c r="V81" s="1462">
        <v>95.698804674688887</v>
      </c>
    </row>
    <row r="82" spans="1:22" ht="29.25" customHeight="1">
      <c r="A82" s="547">
        <v>87</v>
      </c>
      <c r="B82" s="1490" t="s">
        <v>654</v>
      </c>
      <c r="C82" s="1455">
        <v>1106</v>
      </c>
      <c r="D82" s="1456">
        <v>391</v>
      </c>
      <c r="E82" s="1455">
        <v>237</v>
      </c>
      <c r="F82" s="1456">
        <v>1260</v>
      </c>
      <c r="G82" s="1457">
        <f t="shared" si="3"/>
        <v>1497</v>
      </c>
      <c r="H82" s="1458">
        <v>13909</v>
      </c>
      <c r="I82" s="1459">
        <v>12619</v>
      </c>
      <c r="J82" s="1726">
        <v>1715</v>
      </c>
      <c r="K82" s="1727">
        <v>24813</v>
      </c>
      <c r="L82" s="1726">
        <v>8607</v>
      </c>
      <c r="M82" s="1727">
        <v>17921</v>
      </c>
      <c r="N82" s="1457">
        <f t="shared" si="2"/>
        <v>26528</v>
      </c>
      <c r="O82" s="1451">
        <v>0</v>
      </c>
      <c r="P82" s="1460">
        <v>69.780541585745425</v>
      </c>
      <c r="Q82" s="1461">
        <v>109.01369474451587</v>
      </c>
      <c r="R82" s="1460">
        <v>91.885690852216371</v>
      </c>
      <c r="S82" s="1461">
        <v>89.88382046052088</v>
      </c>
      <c r="T82" s="1460">
        <v>93.491982549050107</v>
      </c>
      <c r="U82" s="1461">
        <v>87.59522891572594</v>
      </c>
      <c r="V82" s="1462">
        <v>90.027519659831555</v>
      </c>
    </row>
    <row r="83" spans="1:22" ht="29.25" customHeight="1">
      <c r="A83" s="547">
        <v>88</v>
      </c>
      <c r="B83" s="1490" t="s">
        <v>367</v>
      </c>
      <c r="C83" s="1455">
        <v>4431</v>
      </c>
      <c r="D83" s="1456">
        <v>254</v>
      </c>
      <c r="E83" s="1455">
        <v>752</v>
      </c>
      <c r="F83" s="1456">
        <v>3933</v>
      </c>
      <c r="G83" s="1457">
        <f t="shared" si="3"/>
        <v>4685</v>
      </c>
      <c r="H83" s="1458">
        <v>42224</v>
      </c>
      <c r="I83" s="1459">
        <v>5516</v>
      </c>
      <c r="J83" s="1726">
        <v>7851</v>
      </c>
      <c r="K83" s="1727">
        <v>39889</v>
      </c>
      <c r="L83" s="1726">
        <v>13786</v>
      </c>
      <c r="M83" s="1727">
        <v>33954</v>
      </c>
      <c r="N83" s="1457">
        <f t="shared" si="2"/>
        <v>47740</v>
      </c>
      <c r="O83" s="1451">
        <v>0</v>
      </c>
      <c r="P83" s="1460">
        <v>77.09200672836306</v>
      </c>
      <c r="Q83" s="1461">
        <v>105.51439116266366</v>
      </c>
      <c r="R83" s="1460">
        <v>110.62276012109049</v>
      </c>
      <c r="S83" s="1461">
        <v>73.937554298441469</v>
      </c>
      <c r="T83" s="1460">
        <v>96.526695446316666</v>
      </c>
      <c r="U83" s="1461">
        <v>88.28783369982942</v>
      </c>
      <c r="V83" s="1462">
        <v>80.435825365861675</v>
      </c>
    </row>
    <row r="84" spans="1:22" ht="29.25" customHeight="1">
      <c r="A84" s="547">
        <v>90</v>
      </c>
      <c r="B84" s="1490" t="s">
        <v>261</v>
      </c>
      <c r="C84" s="1455">
        <v>1388</v>
      </c>
      <c r="D84" s="1456">
        <v>70</v>
      </c>
      <c r="E84" s="1455">
        <v>92</v>
      </c>
      <c r="F84" s="1456">
        <v>1366</v>
      </c>
      <c r="G84" s="1457">
        <f t="shared" si="3"/>
        <v>1458</v>
      </c>
      <c r="H84" s="1458">
        <v>10188</v>
      </c>
      <c r="I84" s="1459">
        <v>2450</v>
      </c>
      <c r="J84" s="1726">
        <v>4000</v>
      </c>
      <c r="K84" s="1727">
        <v>8638</v>
      </c>
      <c r="L84" s="1726">
        <v>7897</v>
      </c>
      <c r="M84" s="1727">
        <v>4741</v>
      </c>
      <c r="N84" s="1457">
        <f t="shared" si="2"/>
        <v>12638</v>
      </c>
      <c r="O84" s="1451">
        <v>0</v>
      </c>
      <c r="P84" s="1460">
        <v>103.06438311046703</v>
      </c>
      <c r="Q84" s="1461">
        <v>115.00318235977257</v>
      </c>
      <c r="R84" s="1460">
        <v>137.8033437923329</v>
      </c>
      <c r="S84" s="1461">
        <v>92.427245014423377</v>
      </c>
      <c r="T84" s="1460">
        <v>106.76073750172885</v>
      </c>
      <c r="U84" s="1461">
        <v>73.707602741611382</v>
      </c>
      <c r="V84" s="1462">
        <v>105.75323614684145</v>
      </c>
    </row>
    <row r="85" spans="1:22" ht="29.25" customHeight="1">
      <c r="A85" s="547">
        <v>91</v>
      </c>
      <c r="B85" s="1490" t="s">
        <v>262</v>
      </c>
      <c r="C85" s="1455">
        <v>245</v>
      </c>
      <c r="D85" s="1456">
        <v>50</v>
      </c>
      <c r="E85" s="1455">
        <v>156</v>
      </c>
      <c r="F85" s="1456">
        <v>139</v>
      </c>
      <c r="G85" s="1457">
        <f t="shared" si="3"/>
        <v>295</v>
      </c>
      <c r="H85" s="1458">
        <v>2048</v>
      </c>
      <c r="I85" s="1459">
        <v>806</v>
      </c>
      <c r="J85" s="1726">
        <v>1094</v>
      </c>
      <c r="K85" s="1727">
        <v>1760</v>
      </c>
      <c r="L85" s="1726">
        <v>1791</v>
      </c>
      <c r="M85" s="1727">
        <v>1063</v>
      </c>
      <c r="N85" s="1457">
        <f t="shared" si="2"/>
        <v>2854</v>
      </c>
      <c r="O85" s="1451">
        <v>0</v>
      </c>
      <c r="P85" s="1460">
        <v>121.17324804849254</v>
      </c>
      <c r="Q85" s="1461">
        <v>76.97627566232218</v>
      </c>
      <c r="R85" s="1460">
        <v>123.77341139784262</v>
      </c>
      <c r="S85" s="1461">
        <v>98.236240318019753</v>
      </c>
      <c r="T85" s="1460">
        <v>113.80808934856559</v>
      </c>
      <c r="U85" s="1461">
        <v>103.96448877051813</v>
      </c>
      <c r="V85" s="1462">
        <v>108.2395517830211</v>
      </c>
    </row>
    <row r="86" spans="1:22" ht="29.25" customHeight="1">
      <c r="A86" s="547">
        <v>92</v>
      </c>
      <c r="B86" s="1490" t="s">
        <v>263</v>
      </c>
      <c r="C86" s="1455">
        <v>3398</v>
      </c>
      <c r="D86" s="1456">
        <v>26</v>
      </c>
      <c r="E86" s="1455">
        <v>10</v>
      </c>
      <c r="F86" s="1456">
        <v>3414</v>
      </c>
      <c r="G86" s="1457">
        <f t="shared" si="3"/>
        <v>3424</v>
      </c>
      <c r="H86" s="1458">
        <v>7775</v>
      </c>
      <c r="I86" s="1459">
        <v>84</v>
      </c>
      <c r="J86" s="1726">
        <v>199</v>
      </c>
      <c r="K86" s="1727">
        <v>7660</v>
      </c>
      <c r="L86" s="1726">
        <v>5548</v>
      </c>
      <c r="M86" s="1727">
        <v>2311</v>
      </c>
      <c r="N86" s="1457">
        <f t="shared" si="2"/>
        <v>7859</v>
      </c>
      <c r="O86" s="1451">
        <v>0</v>
      </c>
      <c r="P86" s="1460">
        <v>64.10618665225816</v>
      </c>
      <c r="Q86" s="1461">
        <v>61.692051602163964</v>
      </c>
      <c r="R86" s="1463">
        <v>142.4552142725768</v>
      </c>
      <c r="S86" s="1461">
        <v>62.066131516531698</v>
      </c>
      <c r="T86" s="1460">
        <v>64.54495815472545</v>
      </c>
      <c r="U86" s="1461">
        <v>98.597746152798578</v>
      </c>
      <c r="V86" s="1462">
        <v>64.080134155836376</v>
      </c>
    </row>
    <row r="87" spans="1:22" ht="29.25" customHeight="1">
      <c r="A87" s="547">
        <v>93</v>
      </c>
      <c r="B87" s="1490" t="s">
        <v>264</v>
      </c>
      <c r="C87" s="1455">
        <v>7531</v>
      </c>
      <c r="D87" s="1456">
        <v>212</v>
      </c>
      <c r="E87" s="1455">
        <v>125</v>
      </c>
      <c r="F87" s="1456">
        <v>7618</v>
      </c>
      <c r="G87" s="1457">
        <f t="shared" si="3"/>
        <v>7743</v>
      </c>
      <c r="H87" s="1458">
        <v>41279</v>
      </c>
      <c r="I87" s="1459">
        <v>4871</v>
      </c>
      <c r="J87" s="1726">
        <v>3100</v>
      </c>
      <c r="K87" s="1727">
        <v>43050</v>
      </c>
      <c r="L87" s="1726">
        <v>31564</v>
      </c>
      <c r="M87" s="1727">
        <v>14586</v>
      </c>
      <c r="N87" s="1457">
        <f t="shared" si="2"/>
        <v>46150</v>
      </c>
      <c r="O87" s="1451">
        <v>0</v>
      </c>
      <c r="P87" s="1460">
        <v>93.470203876480383</v>
      </c>
      <c r="Q87" s="1461">
        <v>112.69141924506025</v>
      </c>
      <c r="R87" s="1460">
        <v>135.58124023185124</v>
      </c>
      <c r="S87" s="1461">
        <v>92.898757082672518</v>
      </c>
      <c r="T87" s="1460">
        <v>100.72393271593793</v>
      </c>
      <c r="U87" s="1461">
        <v>62.871543960327067</v>
      </c>
      <c r="V87" s="1462">
        <v>95.679191295999786</v>
      </c>
    </row>
    <row r="88" spans="1:22" ht="29.25" customHeight="1">
      <c r="A88" s="547">
        <v>94</v>
      </c>
      <c r="B88" s="1490" t="s">
        <v>0</v>
      </c>
      <c r="C88" s="1455">
        <v>10143</v>
      </c>
      <c r="D88" s="1456">
        <v>244</v>
      </c>
      <c r="E88" s="1455">
        <v>886</v>
      </c>
      <c r="F88" s="1456">
        <v>9501</v>
      </c>
      <c r="G88" s="1457">
        <f t="shared" si="3"/>
        <v>10387</v>
      </c>
      <c r="H88" s="1458">
        <v>45033</v>
      </c>
      <c r="I88" s="1459">
        <v>4002</v>
      </c>
      <c r="J88" s="1726">
        <v>12907</v>
      </c>
      <c r="K88" s="1727">
        <v>36128</v>
      </c>
      <c r="L88" s="1726">
        <v>28142</v>
      </c>
      <c r="M88" s="1727">
        <v>20893</v>
      </c>
      <c r="N88" s="1457">
        <f t="shared" si="2"/>
        <v>49035</v>
      </c>
      <c r="O88" s="1451">
        <v>0</v>
      </c>
      <c r="P88" s="1460">
        <v>118.46081655363589</v>
      </c>
      <c r="Q88" s="1461">
        <v>92.249293949563082</v>
      </c>
      <c r="R88" s="1460">
        <v>95.095573289464312</v>
      </c>
      <c r="S88" s="1461">
        <v>121.87303547773308</v>
      </c>
      <c r="T88" s="1460">
        <v>117.32989754465804</v>
      </c>
      <c r="U88" s="1461">
        <v>83.372235189819435</v>
      </c>
      <c r="V88" s="1462">
        <v>116.64742264685297</v>
      </c>
    </row>
    <row r="89" spans="1:22" ht="29.25" customHeight="1">
      <c r="A89" s="547">
        <v>95</v>
      </c>
      <c r="B89" s="1490" t="s">
        <v>228</v>
      </c>
      <c r="C89" s="1455">
        <v>11800</v>
      </c>
      <c r="D89" s="1456">
        <v>64</v>
      </c>
      <c r="E89" s="1455">
        <v>84</v>
      </c>
      <c r="F89" s="1456">
        <v>11780</v>
      </c>
      <c r="G89" s="1457">
        <f t="shared" si="3"/>
        <v>11864</v>
      </c>
      <c r="H89" s="1458">
        <v>61252</v>
      </c>
      <c r="I89" s="1459">
        <v>1783</v>
      </c>
      <c r="J89" s="1726">
        <v>277</v>
      </c>
      <c r="K89" s="1727">
        <v>62758</v>
      </c>
      <c r="L89" s="1726">
        <v>48720</v>
      </c>
      <c r="M89" s="1727">
        <v>14315</v>
      </c>
      <c r="N89" s="1457">
        <f t="shared" si="2"/>
        <v>63035</v>
      </c>
      <c r="O89" s="1451">
        <v>0</v>
      </c>
      <c r="P89" s="1460">
        <v>80.805651414319755</v>
      </c>
      <c r="Q89" s="1461">
        <v>59.25</v>
      </c>
      <c r="R89" s="1463">
        <v>59.25</v>
      </c>
      <c r="S89" s="1461">
        <v>85.872313734046031</v>
      </c>
      <c r="T89" s="1460">
        <v>79.917203268594065</v>
      </c>
      <c r="U89" s="1461">
        <v>115.50143072508067</v>
      </c>
      <c r="V89" s="1462">
        <v>79.792724216172132</v>
      </c>
    </row>
    <row r="90" spans="1:22" ht="29.25" customHeight="1">
      <c r="A90" s="547">
        <v>96</v>
      </c>
      <c r="B90" s="1490" t="s">
        <v>229</v>
      </c>
      <c r="C90" s="1455">
        <v>29276</v>
      </c>
      <c r="D90" s="1456">
        <v>481</v>
      </c>
      <c r="E90" s="1455">
        <v>275</v>
      </c>
      <c r="F90" s="1456">
        <v>29482</v>
      </c>
      <c r="G90" s="1457">
        <f t="shared" si="3"/>
        <v>29757</v>
      </c>
      <c r="H90" s="1458">
        <v>94900</v>
      </c>
      <c r="I90" s="1459">
        <v>7439</v>
      </c>
      <c r="J90" s="1726">
        <v>4488</v>
      </c>
      <c r="K90" s="1727">
        <v>97851</v>
      </c>
      <c r="L90" s="1726">
        <v>54771</v>
      </c>
      <c r="M90" s="1727">
        <v>47568</v>
      </c>
      <c r="N90" s="1457">
        <f t="shared" si="2"/>
        <v>102339</v>
      </c>
      <c r="O90" s="1451">
        <v>0</v>
      </c>
      <c r="P90" s="1460">
        <v>63.594252713411734</v>
      </c>
      <c r="Q90" s="1461">
        <v>87.711429480469775</v>
      </c>
      <c r="R90" s="1460">
        <v>64.493820131096541</v>
      </c>
      <c r="S90" s="1461">
        <v>65.507178718162734</v>
      </c>
      <c r="T90" s="1460">
        <v>67.708289888869373</v>
      </c>
      <c r="U90" s="1461">
        <v>79.301738084989537</v>
      </c>
      <c r="V90" s="1462">
        <v>65.405068610949613</v>
      </c>
    </row>
    <row r="91" spans="1:22" ht="29.25" customHeight="1">
      <c r="A91" s="547">
        <v>97</v>
      </c>
      <c r="B91" s="1490" t="s">
        <v>853</v>
      </c>
      <c r="C91" s="1455">
        <v>18614</v>
      </c>
      <c r="D91" s="1456">
        <v>19</v>
      </c>
      <c r="E91" s="1455">
        <v>12</v>
      </c>
      <c r="F91" s="1456">
        <v>18621</v>
      </c>
      <c r="G91" s="1457">
        <f t="shared" si="3"/>
        <v>18633</v>
      </c>
      <c r="H91" s="1458">
        <v>20717</v>
      </c>
      <c r="I91" s="1459">
        <v>54</v>
      </c>
      <c r="J91" s="1726">
        <v>50</v>
      </c>
      <c r="K91" s="1727">
        <v>20721</v>
      </c>
      <c r="L91" s="1726">
        <v>3161</v>
      </c>
      <c r="M91" s="1727">
        <v>17610</v>
      </c>
      <c r="N91" s="1457">
        <f t="shared" si="2"/>
        <v>20771</v>
      </c>
      <c r="O91" s="1451">
        <v>0</v>
      </c>
      <c r="P91" s="1460">
        <v>62.105475233792092</v>
      </c>
      <c r="Q91" s="1461">
        <v>87.769381107491853</v>
      </c>
      <c r="R91" s="1460">
        <v>65.564674397859051</v>
      </c>
      <c r="S91" s="1461">
        <v>62.163120889679483</v>
      </c>
      <c r="T91" s="1460">
        <v>70.131245740915787</v>
      </c>
      <c r="U91" s="1461">
        <v>62.517899304796465</v>
      </c>
      <c r="V91" s="1462">
        <v>62.170289590838891</v>
      </c>
    </row>
    <row r="92" spans="1:22" ht="29.25" customHeight="1">
      <c r="A92" s="547">
        <v>98</v>
      </c>
      <c r="B92" s="1490" t="s">
        <v>854</v>
      </c>
      <c r="C92" s="1455">
        <v>447</v>
      </c>
      <c r="D92" s="1456">
        <v>4</v>
      </c>
      <c r="E92" s="1455">
        <v>1</v>
      </c>
      <c r="F92" s="1456">
        <v>450</v>
      </c>
      <c r="G92" s="1457">
        <f t="shared" si="3"/>
        <v>451</v>
      </c>
      <c r="H92" s="1458">
        <v>1543</v>
      </c>
      <c r="I92" s="1459">
        <v>49</v>
      </c>
      <c r="J92" s="1726">
        <v>2</v>
      </c>
      <c r="K92" s="1727">
        <v>1590</v>
      </c>
      <c r="L92" s="1726">
        <v>685</v>
      </c>
      <c r="M92" s="1727">
        <v>907</v>
      </c>
      <c r="N92" s="1457">
        <f t="shared" si="2"/>
        <v>1592</v>
      </c>
      <c r="O92" s="1451">
        <v>0</v>
      </c>
      <c r="P92" s="1460">
        <v>64.235668789808912</v>
      </c>
      <c r="Q92" s="1461">
        <v>98.517994858611829</v>
      </c>
      <c r="R92" s="1469">
        <v>303.39999999999998</v>
      </c>
      <c r="S92" s="1461">
        <v>65.268251992691262</v>
      </c>
      <c r="T92" s="1460">
        <v>70.222613145690062</v>
      </c>
      <c r="U92" s="1461">
        <v>60.79344600721209</v>
      </c>
      <c r="V92" s="1462">
        <v>65.647863112239506</v>
      </c>
    </row>
    <row r="93" spans="1:22" ht="29.25" customHeight="1">
      <c r="A93" s="549">
        <v>99</v>
      </c>
      <c r="B93" s="1492" t="s">
        <v>60</v>
      </c>
      <c r="C93" s="1470">
        <v>458</v>
      </c>
      <c r="D93" s="1471">
        <v>3</v>
      </c>
      <c r="E93" s="1470">
        <v>21</v>
      </c>
      <c r="F93" s="1471">
        <v>440</v>
      </c>
      <c r="G93" s="1472">
        <f t="shared" si="3"/>
        <v>461</v>
      </c>
      <c r="H93" s="1473">
        <v>4024</v>
      </c>
      <c r="I93" s="1474">
        <v>14</v>
      </c>
      <c r="J93" s="1728">
        <v>221</v>
      </c>
      <c r="K93" s="1729">
        <v>3817</v>
      </c>
      <c r="L93" s="1728">
        <v>2272</v>
      </c>
      <c r="M93" s="1729">
        <v>1766</v>
      </c>
      <c r="N93" s="1472">
        <f t="shared" si="2"/>
        <v>4038</v>
      </c>
      <c r="O93" s="1451">
        <v>0</v>
      </c>
      <c r="P93" s="1475">
        <v>161.39077925075003</v>
      </c>
      <c r="Q93" s="1476">
        <v>155.55153203342618</v>
      </c>
      <c r="R93" s="1475">
        <v>141.99951984635084</v>
      </c>
      <c r="S93" s="1476">
        <v>162.46235194585449</v>
      </c>
      <c r="T93" s="1475">
        <v>155.13906044197279</v>
      </c>
      <c r="U93" s="1476">
        <v>61.143704403506007</v>
      </c>
      <c r="V93" s="1477">
        <v>161.34097888020744</v>
      </c>
    </row>
    <row r="94" spans="1:22" ht="24" customHeight="1" thickBot="1">
      <c r="A94" s="1970" t="s">
        <v>1266</v>
      </c>
      <c r="B94" s="1971"/>
      <c r="C94" s="1478">
        <f t="shared" ref="C94:N94" si="4">SUM(C6:C93)</f>
        <v>1573624</v>
      </c>
      <c r="D94" s="1479">
        <f t="shared" si="4"/>
        <v>209652</v>
      </c>
      <c r="E94" s="1480">
        <f t="shared" si="4"/>
        <v>49510</v>
      </c>
      <c r="F94" s="1479">
        <f t="shared" si="4"/>
        <v>1733766</v>
      </c>
      <c r="G94" s="1481">
        <f t="shared" si="4"/>
        <v>1783276</v>
      </c>
      <c r="H94" s="1482">
        <f t="shared" si="4"/>
        <v>10899654</v>
      </c>
      <c r="I94" s="1483">
        <f t="shared" si="4"/>
        <v>2949705</v>
      </c>
      <c r="J94" s="1730">
        <f t="shared" si="4"/>
        <v>901116</v>
      </c>
      <c r="K94" s="1731">
        <f t="shared" si="4"/>
        <v>12948243</v>
      </c>
      <c r="L94" s="1732">
        <f>SUM(L6:L93)</f>
        <v>9877444</v>
      </c>
      <c r="M94" s="1732">
        <f t="shared" ref="M94" si="5">SUM(M6:M93)</f>
        <v>3971915</v>
      </c>
      <c r="N94" s="1481">
        <f t="shared" si="4"/>
        <v>13849359</v>
      </c>
      <c r="O94" s="1484">
        <v>0</v>
      </c>
      <c r="P94" s="1485">
        <v>89.736857180395958</v>
      </c>
      <c r="Q94" s="1486">
        <v>77.858776287401142</v>
      </c>
      <c r="R94" s="1486">
        <v>77.175968253705392</v>
      </c>
      <c r="S94" s="1486">
        <v>88.920914954375121</v>
      </c>
      <c r="T94" s="1486">
        <v>90.059807132622183</v>
      </c>
      <c r="U94" s="1486">
        <v>80.850408761437336</v>
      </c>
      <c r="V94" s="1487">
        <v>87.416258086660164</v>
      </c>
    </row>
    <row r="95" spans="1:22">
      <c r="C95" s="548"/>
      <c r="D95" s="548"/>
      <c r="E95" s="548"/>
      <c r="F95" s="548"/>
      <c r="G95" s="548"/>
      <c r="H95" s="979"/>
      <c r="U95" s="199" t="s">
        <v>729</v>
      </c>
      <c r="V95" s="227" t="s">
        <v>729</v>
      </c>
    </row>
    <row r="96" spans="1:22">
      <c r="C96" s="548"/>
      <c r="D96" s="548"/>
      <c r="E96" s="548"/>
      <c r="F96" s="548"/>
      <c r="G96" s="548"/>
      <c r="H96" s="979"/>
      <c r="I96" s="980"/>
      <c r="J96" s="1734"/>
      <c r="K96" s="1734"/>
      <c r="L96" s="1734"/>
      <c r="M96" s="1734"/>
      <c r="N96" s="980"/>
    </row>
    <row r="97" spans="3:12">
      <c r="C97" s="548"/>
      <c r="D97" s="548"/>
      <c r="E97" s="548"/>
      <c r="F97" s="548"/>
      <c r="G97" s="548"/>
    </row>
    <row r="98" spans="3:12">
      <c r="C98" s="548"/>
      <c r="D98" s="548"/>
      <c r="E98" s="548"/>
      <c r="F98" s="548"/>
      <c r="G98" s="548"/>
    </row>
    <row r="99" spans="3:12">
      <c r="C99" s="548"/>
      <c r="D99" s="548"/>
      <c r="E99" s="548"/>
      <c r="F99" s="548"/>
      <c r="G99" s="548"/>
    </row>
    <row r="100" spans="3:12">
      <c r="C100" s="548"/>
      <c r="D100" s="548"/>
      <c r="E100" s="548"/>
      <c r="F100" s="548"/>
      <c r="G100" s="548"/>
      <c r="L100" s="1733">
        <f>1777.5/30</f>
        <v>59.25</v>
      </c>
    </row>
    <row r="101" spans="3:12">
      <c r="C101" s="548"/>
      <c r="D101" s="548"/>
      <c r="E101" s="548"/>
      <c r="F101" s="548"/>
      <c r="G101" s="548"/>
    </row>
    <row r="102" spans="3:12">
      <c r="C102" s="548"/>
      <c r="D102" s="548"/>
      <c r="E102" s="548"/>
      <c r="F102" s="548"/>
      <c r="G102" s="548"/>
    </row>
    <row r="103" spans="3:12">
      <c r="C103" s="548"/>
      <c r="D103" s="548"/>
      <c r="E103" s="548"/>
      <c r="F103" s="548"/>
      <c r="G103" s="548"/>
    </row>
    <row r="104" spans="3:12">
      <c r="C104" s="548"/>
      <c r="D104" s="548"/>
      <c r="E104" s="548"/>
      <c r="F104" s="548"/>
      <c r="G104" s="548"/>
    </row>
    <row r="105" spans="3:12">
      <c r="C105" s="548"/>
      <c r="D105" s="548"/>
      <c r="E105" s="548"/>
      <c r="F105" s="548"/>
      <c r="G105" s="548"/>
    </row>
    <row r="106" spans="3:12">
      <c r="C106" s="548"/>
      <c r="D106" s="548"/>
      <c r="E106" s="548"/>
      <c r="F106" s="548"/>
      <c r="G106" s="548"/>
    </row>
    <row r="107" spans="3:12">
      <c r="C107" s="548"/>
      <c r="D107" s="548"/>
      <c r="E107" s="548"/>
      <c r="F107" s="548"/>
      <c r="G107" s="548"/>
    </row>
    <row r="108" spans="3:12">
      <c r="C108" s="548"/>
      <c r="D108" s="548"/>
      <c r="E108" s="548"/>
      <c r="F108" s="548"/>
      <c r="G108" s="548"/>
    </row>
    <row r="109" spans="3:12">
      <c r="C109" s="548"/>
      <c r="D109" s="548"/>
      <c r="E109" s="548"/>
      <c r="F109" s="548"/>
      <c r="G109" s="548"/>
    </row>
    <row r="110" spans="3:12">
      <c r="C110" s="548"/>
      <c r="D110" s="548"/>
      <c r="E110" s="548"/>
      <c r="F110" s="548"/>
      <c r="G110" s="548"/>
    </row>
    <row r="111" spans="3:12">
      <c r="C111" s="548"/>
      <c r="D111" s="548"/>
      <c r="E111" s="548"/>
      <c r="F111" s="548"/>
      <c r="G111" s="548"/>
    </row>
    <row r="112" spans="3:12">
      <c r="C112" s="548"/>
      <c r="D112" s="548"/>
      <c r="E112" s="548"/>
      <c r="F112" s="548"/>
      <c r="G112" s="548"/>
    </row>
    <row r="113" spans="3:7">
      <c r="C113" s="548"/>
      <c r="D113" s="548"/>
      <c r="E113" s="548"/>
      <c r="F113" s="548"/>
      <c r="G113" s="548"/>
    </row>
    <row r="114" spans="3:7">
      <c r="C114" s="548"/>
      <c r="D114" s="548"/>
      <c r="E114" s="548"/>
      <c r="F114" s="548"/>
      <c r="G114" s="548"/>
    </row>
    <row r="115" spans="3:7">
      <c r="C115" s="548"/>
      <c r="D115" s="548"/>
      <c r="E115" s="548"/>
      <c r="F115" s="548"/>
      <c r="G115" s="548"/>
    </row>
    <row r="116" spans="3:7">
      <c r="C116" s="548"/>
      <c r="D116" s="548"/>
      <c r="E116" s="548"/>
      <c r="F116" s="548"/>
      <c r="G116" s="548"/>
    </row>
    <row r="117" spans="3:7">
      <c r="C117" s="548"/>
      <c r="D117" s="548"/>
      <c r="E117" s="548"/>
      <c r="F117" s="548"/>
      <c r="G117" s="548"/>
    </row>
    <row r="118" spans="3:7">
      <c r="C118" s="548"/>
      <c r="D118" s="548"/>
      <c r="E118" s="548"/>
      <c r="F118" s="548"/>
      <c r="G118" s="548"/>
    </row>
    <row r="119" spans="3:7">
      <c r="C119" s="548"/>
      <c r="D119" s="548"/>
      <c r="E119" s="548"/>
      <c r="F119" s="548"/>
      <c r="G119" s="548"/>
    </row>
    <row r="120" spans="3:7">
      <c r="C120" s="548"/>
      <c r="D120" s="548"/>
      <c r="E120" s="548"/>
      <c r="F120" s="548"/>
      <c r="G120" s="548"/>
    </row>
    <row r="121" spans="3:7">
      <c r="C121" s="548"/>
      <c r="D121" s="548"/>
      <c r="E121" s="548"/>
      <c r="F121" s="548"/>
      <c r="G121" s="548"/>
    </row>
    <row r="122" spans="3:7">
      <c r="C122" s="548"/>
      <c r="D122" s="548"/>
      <c r="E122" s="548"/>
      <c r="F122" s="548"/>
      <c r="G122" s="548"/>
    </row>
    <row r="123" spans="3:7">
      <c r="C123" s="548"/>
      <c r="D123" s="548"/>
      <c r="E123" s="548"/>
      <c r="F123" s="548"/>
      <c r="G123" s="548"/>
    </row>
    <row r="124" spans="3:7">
      <c r="C124" s="548"/>
      <c r="D124" s="548"/>
      <c r="E124" s="548"/>
      <c r="F124" s="548"/>
      <c r="G124" s="548"/>
    </row>
    <row r="125" spans="3:7">
      <c r="C125" s="548"/>
      <c r="D125" s="548"/>
      <c r="E125" s="548"/>
      <c r="F125" s="548"/>
      <c r="G125" s="548"/>
    </row>
    <row r="126" spans="3:7">
      <c r="C126" s="548"/>
      <c r="D126" s="548"/>
      <c r="E126" s="548"/>
      <c r="F126" s="548"/>
      <c r="G126" s="548"/>
    </row>
    <row r="127" spans="3:7">
      <c r="C127" s="548"/>
      <c r="D127" s="548"/>
      <c r="E127" s="548"/>
      <c r="F127" s="548"/>
      <c r="G127" s="548"/>
    </row>
    <row r="128" spans="3:7">
      <c r="C128" s="548"/>
      <c r="D128" s="548"/>
      <c r="E128" s="548"/>
      <c r="F128" s="548"/>
      <c r="G128" s="548"/>
    </row>
    <row r="129" spans="3:7">
      <c r="C129" s="548"/>
      <c r="D129" s="548"/>
      <c r="E129" s="548"/>
      <c r="F129" s="548"/>
      <c r="G129" s="548"/>
    </row>
    <row r="130" spans="3:7">
      <c r="C130" s="548"/>
      <c r="D130" s="548"/>
      <c r="E130" s="548"/>
      <c r="F130" s="548"/>
      <c r="G130" s="548"/>
    </row>
    <row r="131" spans="3:7">
      <c r="C131" s="548"/>
      <c r="D131" s="548"/>
      <c r="E131" s="548"/>
      <c r="F131" s="548"/>
      <c r="G131" s="548"/>
    </row>
    <row r="132" spans="3:7">
      <c r="C132" s="548"/>
      <c r="D132" s="548"/>
      <c r="E132" s="548"/>
      <c r="F132" s="548"/>
      <c r="G132" s="548"/>
    </row>
    <row r="133" spans="3:7">
      <c r="C133" s="548"/>
      <c r="D133" s="548"/>
      <c r="E133" s="548"/>
      <c r="F133" s="548"/>
      <c r="G133" s="548"/>
    </row>
    <row r="134" spans="3:7">
      <c r="C134" s="548"/>
      <c r="D134" s="548"/>
      <c r="E134" s="548"/>
      <c r="F134" s="548"/>
      <c r="G134" s="548"/>
    </row>
    <row r="135" spans="3:7">
      <c r="C135" s="548"/>
      <c r="D135" s="548"/>
      <c r="E135" s="548"/>
      <c r="F135" s="548"/>
      <c r="G135" s="548"/>
    </row>
    <row r="136" spans="3:7">
      <c r="C136" s="548"/>
      <c r="D136" s="548"/>
      <c r="E136" s="548"/>
      <c r="F136" s="548"/>
      <c r="G136" s="548"/>
    </row>
    <row r="137" spans="3:7">
      <c r="C137" s="548"/>
      <c r="D137" s="548"/>
      <c r="E137" s="548"/>
      <c r="F137" s="548"/>
      <c r="G137" s="548"/>
    </row>
    <row r="138" spans="3:7">
      <c r="C138" s="548"/>
      <c r="D138" s="548"/>
      <c r="E138" s="548"/>
      <c r="F138" s="548"/>
      <c r="G138" s="548"/>
    </row>
    <row r="139" spans="3:7">
      <c r="C139" s="548"/>
      <c r="D139" s="548"/>
      <c r="E139" s="548"/>
      <c r="F139" s="548"/>
      <c r="G139" s="548"/>
    </row>
    <row r="140" spans="3:7">
      <c r="C140" s="548"/>
      <c r="D140" s="548"/>
      <c r="E140" s="548"/>
      <c r="F140" s="548"/>
      <c r="G140" s="548"/>
    </row>
    <row r="141" spans="3:7">
      <c r="C141" s="548"/>
      <c r="D141" s="548"/>
      <c r="E141" s="548"/>
      <c r="F141" s="548"/>
      <c r="G141" s="548"/>
    </row>
    <row r="142" spans="3:7">
      <c r="C142" s="548"/>
      <c r="D142" s="548"/>
      <c r="E142" s="548"/>
      <c r="F142" s="548"/>
      <c r="G142" s="548"/>
    </row>
    <row r="143" spans="3:7">
      <c r="C143" s="548"/>
      <c r="D143" s="548"/>
      <c r="E143" s="548"/>
      <c r="F143" s="548"/>
      <c r="G143" s="548"/>
    </row>
    <row r="144" spans="3:7">
      <c r="C144" s="548"/>
      <c r="D144" s="548"/>
      <c r="E144" s="548"/>
      <c r="F144" s="548"/>
      <c r="G144" s="548"/>
    </row>
    <row r="145" spans="3:7">
      <c r="C145" s="548"/>
      <c r="D145" s="548"/>
      <c r="E145" s="548"/>
      <c r="F145" s="548"/>
      <c r="G145" s="548"/>
    </row>
    <row r="146" spans="3:7">
      <c r="C146" s="548"/>
      <c r="D146" s="548"/>
      <c r="E146" s="548"/>
      <c r="F146" s="548"/>
      <c r="G146" s="548"/>
    </row>
    <row r="147" spans="3:7">
      <c r="C147" s="548"/>
      <c r="D147" s="548"/>
      <c r="E147" s="548"/>
      <c r="F147" s="548"/>
      <c r="G147" s="548"/>
    </row>
    <row r="148" spans="3:7">
      <c r="C148" s="548"/>
      <c r="D148" s="548"/>
      <c r="E148" s="548"/>
      <c r="F148" s="548"/>
      <c r="G148" s="548"/>
    </row>
    <row r="149" spans="3:7">
      <c r="C149" s="548"/>
      <c r="D149" s="548"/>
      <c r="E149" s="548"/>
      <c r="F149" s="548"/>
      <c r="G149" s="548"/>
    </row>
    <row r="150" spans="3:7">
      <c r="C150" s="548"/>
      <c r="D150" s="548"/>
      <c r="E150" s="548"/>
      <c r="F150" s="548"/>
      <c r="G150" s="548"/>
    </row>
    <row r="151" spans="3:7">
      <c r="C151" s="548"/>
      <c r="D151" s="548"/>
      <c r="E151" s="548"/>
      <c r="F151" s="548"/>
      <c r="G151" s="548"/>
    </row>
    <row r="152" spans="3:7">
      <c r="C152" s="548"/>
      <c r="D152" s="548"/>
      <c r="E152" s="548"/>
      <c r="F152" s="548"/>
      <c r="G152" s="548"/>
    </row>
    <row r="153" spans="3:7">
      <c r="C153" s="548"/>
      <c r="D153" s="548"/>
      <c r="E153" s="548"/>
      <c r="F153" s="548"/>
      <c r="G153" s="548"/>
    </row>
    <row r="154" spans="3:7">
      <c r="C154" s="548"/>
      <c r="D154" s="548"/>
      <c r="E154" s="548"/>
      <c r="F154" s="548"/>
      <c r="G154" s="548"/>
    </row>
    <row r="155" spans="3:7">
      <c r="C155" s="548"/>
      <c r="D155" s="548"/>
      <c r="E155" s="548"/>
      <c r="F155" s="548"/>
      <c r="G155" s="548"/>
    </row>
    <row r="156" spans="3:7">
      <c r="C156" s="548"/>
      <c r="D156" s="548"/>
      <c r="E156" s="548"/>
      <c r="F156" s="548"/>
      <c r="G156" s="548"/>
    </row>
    <row r="157" spans="3:7">
      <c r="C157" s="548"/>
      <c r="D157" s="548"/>
      <c r="E157" s="548"/>
      <c r="F157" s="548"/>
      <c r="G157" s="548"/>
    </row>
    <row r="158" spans="3:7">
      <c r="C158" s="548"/>
      <c r="D158" s="548"/>
      <c r="E158" s="548"/>
      <c r="F158" s="548"/>
      <c r="G158" s="548"/>
    </row>
    <row r="159" spans="3:7">
      <c r="C159" s="548"/>
      <c r="D159" s="548"/>
      <c r="E159" s="548"/>
      <c r="F159" s="548"/>
      <c r="G159" s="548"/>
    </row>
    <row r="160" spans="3:7">
      <c r="C160" s="548"/>
      <c r="D160" s="548"/>
      <c r="E160" s="548"/>
      <c r="F160" s="548"/>
      <c r="G160" s="548"/>
    </row>
    <row r="161" spans="3:7">
      <c r="C161" s="548"/>
      <c r="D161" s="548"/>
      <c r="E161" s="548"/>
      <c r="F161" s="548"/>
      <c r="G161" s="548"/>
    </row>
    <row r="162" spans="3:7">
      <c r="C162" s="548"/>
      <c r="D162" s="548"/>
      <c r="E162" s="548"/>
      <c r="F162" s="548"/>
      <c r="G162" s="548"/>
    </row>
    <row r="163" spans="3:7">
      <c r="C163" s="548"/>
      <c r="D163" s="548"/>
      <c r="E163" s="548"/>
      <c r="F163" s="548"/>
      <c r="G163" s="548"/>
    </row>
    <row r="164" spans="3:7">
      <c r="C164" s="548"/>
      <c r="D164" s="548"/>
      <c r="E164" s="548"/>
      <c r="F164" s="548"/>
      <c r="G164" s="548"/>
    </row>
    <row r="165" spans="3:7">
      <c r="C165" s="548"/>
      <c r="D165" s="548"/>
      <c r="E165" s="548"/>
      <c r="F165" s="548"/>
      <c r="G165" s="548"/>
    </row>
    <row r="166" spans="3:7">
      <c r="C166" s="548"/>
      <c r="D166" s="548"/>
      <c r="E166" s="548"/>
      <c r="F166" s="548"/>
      <c r="G166" s="548"/>
    </row>
    <row r="167" spans="3:7">
      <c r="C167" s="548"/>
      <c r="D167" s="548"/>
      <c r="E167" s="548"/>
      <c r="F167" s="548"/>
      <c r="G167" s="548"/>
    </row>
    <row r="168" spans="3:7">
      <c r="C168" s="548"/>
      <c r="D168" s="548"/>
      <c r="E168" s="548"/>
      <c r="F168" s="548"/>
      <c r="G168" s="548"/>
    </row>
    <row r="169" spans="3:7">
      <c r="C169" s="548"/>
      <c r="D169" s="548"/>
      <c r="E169" s="548"/>
      <c r="F169" s="548"/>
      <c r="G169" s="548"/>
    </row>
    <row r="170" spans="3:7">
      <c r="C170" s="548"/>
      <c r="D170" s="548"/>
      <c r="E170" s="548"/>
      <c r="F170" s="548"/>
      <c r="G170" s="548"/>
    </row>
    <row r="171" spans="3:7">
      <c r="C171" s="548"/>
      <c r="D171" s="548"/>
      <c r="E171" s="548"/>
      <c r="F171" s="548"/>
      <c r="G171" s="548"/>
    </row>
    <row r="172" spans="3:7">
      <c r="C172" s="548"/>
      <c r="D172" s="548"/>
      <c r="E172" s="548"/>
      <c r="F172" s="548"/>
      <c r="G172" s="548"/>
    </row>
    <row r="173" spans="3:7">
      <c r="C173" s="548"/>
      <c r="D173" s="548"/>
      <c r="E173" s="548"/>
      <c r="F173" s="548"/>
      <c r="G173" s="548"/>
    </row>
    <row r="174" spans="3:7">
      <c r="C174" s="548"/>
      <c r="D174" s="548"/>
      <c r="E174" s="548"/>
      <c r="F174" s="548"/>
      <c r="G174" s="548"/>
    </row>
    <row r="175" spans="3:7">
      <c r="C175" s="548"/>
      <c r="D175" s="548"/>
      <c r="E175" s="548"/>
      <c r="F175" s="548"/>
      <c r="G175" s="548"/>
    </row>
    <row r="176" spans="3:7">
      <c r="C176" s="548"/>
      <c r="D176" s="548"/>
      <c r="E176" s="548"/>
      <c r="F176" s="548"/>
      <c r="G176" s="548"/>
    </row>
    <row r="177" spans="3:7">
      <c r="C177" s="548"/>
      <c r="D177" s="548"/>
      <c r="E177" s="548"/>
      <c r="F177" s="548"/>
      <c r="G177" s="548"/>
    </row>
    <row r="178" spans="3:7">
      <c r="C178" s="548"/>
      <c r="D178" s="548"/>
      <c r="E178" s="548"/>
      <c r="F178" s="548"/>
      <c r="G178" s="548"/>
    </row>
    <row r="179" spans="3:7">
      <c r="C179" s="548"/>
      <c r="D179" s="548"/>
      <c r="E179" s="548"/>
      <c r="F179" s="548"/>
      <c r="G179" s="548"/>
    </row>
    <row r="180" spans="3:7">
      <c r="C180" s="548"/>
      <c r="D180" s="548"/>
      <c r="E180" s="548"/>
      <c r="F180" s="548"/>
      <c r="G180" s="548"/>
    </row>
    <row r="181" spans="3:7">
      <c r="C181" s="548"/>
      <c r="D181" s="548"/>
      <c r="E181" s="548"/>
      <c r="F181" s="548"/>
      <c r="G181" s="548"/>
    </row>
    <row r="182" spans="3:7">
      <c r="C182" s="548"/>
      <c r="D182" s="548"/>
      <c r="E182" s="548"/>
      <c r="F182" s="548"/>
      <c r="G182" s="548"/>
    </row>
    <row r="183" spans="3:7">
      <c r="C183" s="548"/>
      <c r="D183" s="548"/>
      <c r="E183" s="548"/>
      <c r="F183" s="548"/>
      <c r="G183" s="548"/>
    </row>
    <row r="184" spans="3:7">
      <c r="C184" s="548"/>
      <c r="D184" s="548"/>
      <c r="E184" s="548"/>
      <c r="F184" s="548"/>
      <c r="G184" s="548"/>
    </row>
    <row r="185" spans="3:7">
      <c r="C185" s="548"/>
      <c r="D185" s="548"/>
      <c r="E185" s="548"/>
      <c r="F185" s="548"/>
      <c r="G185" s="548"/>
    </row>
    <row r="186" spans="3:7">
      <c r="C186" s="548"/>
      <c r="D186" s="548"/>
      <c r="E186" s="548"/>
      <c r="F186" s="548"/>
      <c r="G186" s="548"/>
    </row>
    <row r="187" spans="3:7">
      <c r="C187" s="548"/>
      <c r="D187" s="548"/>
      <c r="E187" s="548"/>
      <c r="F187" s="548"/>
      <c r="G187" s="548"/>
    </row>
    <row r="188" spans="3:7">
      <c r="C188" s="548"/>
      <c r="D188" s="548"/>
      <c r="E188" s="548"/>
      <c r="F188" s="548"/>
      <c r="G188" s="548"/>
    </row>
    <row r="189" spans="3:7">
      <c r="C189" s="548"/>
      <c r="D189" s="548"/>
      <c r="E189" s="548"/>
      <c r="F189" s="548"/>
      <c r="G189" s="548"/>
    </row>
    <row r="190" spans="3:7">
      <c r="C190" s="548"/>
      <c r="D190" s="548"/>
      <c r="E190" s="548"/>
      <c r="F190" s="548"/>
      <c r="G190" s="548"/>
    </row>
    <row r="191" spans="3:7">
      <c r="C191" s="548"/>
      <c r="D191" s="548"/>
      <c r="E191" s="548"/>
      <c r="F191" s="548"/>
      <c r="G191" s="548"/>
    </row>
    <row r="192" spans="3:7">
      <c r="C192" s="548"/>
      <c r="D192" s="548"/>
      <c r="E192" s="548"/>
      <c r="F192" s="548"/>
      <c r="G192" s="548"/>
    </row>
    <row r="193" spans="3:7">
      <c r="C193" s="548"/>
      <c r="D193" s="548"/>
      <c r="E193" s="548"/>
      <c r="F193" s="548"/>
      <c r="G193" s="548"/>
    </row>
    <row r="194" spans="3:7">
      <c r="C194" s="548"/>
      <c r="D194" s="548"/>
      <c r="E194" s="548"/>
      <c r="F194" s="548"/>
      <c r="G194" s="548"/>
    </row>
    <row r="195" spans="3:7">
      <c r="C195" s="548"/>
      <c r="D195" s="548"/>
      <c r="E195" s="548"/>
      <c r="F195" s="548"/>
      <c r="G195" s="548"/>
    </row>
    <row r="196" spans="3:7">
      <c r="C196" s="548"/>
      <c r="D196" s="548"/>
      <c r="E196" s="548"/>
      <c r="F196" s="548"/>
      <c r="G196" s="548"/>
    </row>
    <row r="197" spans="3:7">
      <c r="C197" s="548"/>
      <c r="D197" s="548"/>
      <c r="E197" s="548"/>
      <c r="F197" s="548"/>
      <c r="G197" s="548"/>
    </row>
    <row r="198" spans="3:7">
      <c r="C198" s="548"/>
      <c r="D198" s="548"/>
      <c r="E198" s="548"/>
      <c r="F198" s="548"/>
      <c r="G198" s="548"/>
    </row>
    <row r="199" spans="3:7">
      <c r="C199" s="548"/>
      <c r="D199" s="548"/>
      <c r="E199" s="548"/>
      <c r="F199" s="548"/>
      <c r="G199" s="548"/>
    </row>
    <row r="200" spans="3:7">
      <c r="C200" s="548"/>
      <c r="D200" s="548"/>
      <c r="E200" s="548"/>
      <c r="F200" s="548"/>
      <c r="G200" s="548"/>
    </row>
    <row r="201" spans="3:7">
      <c r="C201" s="548"/>
      <c r="D201" s="548"/>
      <c r="E201" s="548"/>
      <c r="F201" s="548"/>
      <c r="G201" s="548"/>
    </row>
    <row r="202" spans="3:7">
      <c r="C202" s="548"/>
      <c r="D202" s="548"/>
      <c r="E202" s="548"/>
      <c r="F202" s="548"/>
      <c r="G202" s="548"/>
    </row>
    <row r="203" spans="3:7">
      <c r="C203" s="548"/>
      <c r="D203" s="548"/>
      <c r="E203" s="548"/>
      <c r="F203" s="548"/>
      <c r="G203" s="548"/>
    </row>
    <row r="204" spans="3:7">
      <c r="C204" s="548"/>
      <c r="D204" s="548"/>
      <c r="E204" s="548"/>
      <c r="F204" s="548"/>
      <c r="G204" s="548"/>
    </row>
    <row r="205" spans="3:7">
      <c r="C205" s="548"/>
      <c r="D205" s="548"/>
      <c r="E205" s="548"/>
      <c r="F205" s="548"/>
      <c r="G205" s="548"/>
    </row>
    <row r="206" spans="3:7">
      <c r="C206" s="548"/>
      <c r="D206" s="548"/>
      <c r="E206" s="548"/>
      <c r="F206" s="548"/>
      <c r="G206" s="548"/>
    </row>
    <row r="207" spans="3:7">
      <c r="C207" s="548"/>
      <c r="D207" s="548"/>
      <c r="E207" s="548"/>
      <c r="F207" s="548"/>
      <c r="G207" s="548"/>
    </row>
    <row r="208" spans="3:7">
      <c r="C208" s="548"/>
      <c r="D208" s="548"/>
      <c r="E208" s="548"/>
      <c r="F208" s="548"/>
      <c r="G208" s="548"/>
    </row>
    <row r="209" spans="3:7">
      <c r="C209" s="548"/>
      <c r="D209" s="548"/>
      <c r="E209" s="548"/>
      <c r="F209" s="548"/>
      <c r="G209" s="548"/>
    </row>
    <row r="210" spans="3:7">
      <c r="C210" s="548"/>
      <c r="D210" s="548"/>
      <c r="E210" s="548"/>
      <c r="F210" s="548"/>
      <c r="G210" s="548"/>
    </row>
    <row r="211" spans="3:7">
      <c r="C211" s="548"/>
      <c r="D211" s="548"/>
      <c r="E211" s="548"/>
      <c r="F211" s="548"/>
      <c r="G211" s="548"/>
    </row>
    <row r="212" spans="3:7">
      <c r="C212" s="548"/>
      <c r="D212" s="548"/>
      <c r="E212" s="548"/>
      <c r="F212" s="548"/>
      <c r="G212" s="548"/>
    </row>
    <row r="213" spans="3:7">
      <c r="C213" s="548"/>
      <c r="D213" s="548"/>
      <c r="E213" s="548"/>
      <c r="F213" s="548"/>
      <c r="G213" s="548"/>
    </row>
    <row r="214" spans="3:7">
      <c r="C214" s="548"/>
      <c r="D214" s="548"/>
      <c r="E214" s="548"/>
      <c r="F214" s="548"/>
      <c r="G214" s="548"/>
    </row>
    <row r="215" spans="3:7">
      <c r="C215" s="548"/>
      <c r="D215" s="548"/>
      <c r="E215" s="548"/>
      <c r="F215" s="548"/>
      <c r="G215" s="548"/>
    </row>
    <row r="216" spans="3:7">
      <c r="C216" s="548"/>
      <c r="D216" s="548"/>
      <c r="E216" s="548"/>
      <c r="F216" s="548"/>
      <c r="G216" s="548"/>
    </row>
    <row r="217" spans="3:7">
      <c r="C217" s="548"/>
      <c r="D217" s="548"/>
      <c r="E217" s="548"/>
      <c r="F217" s="548"/>
      <c r="G217" s="548"/>
    </row>
    <row r="218" spans="3:7">
      <c r="C218" s="548"/>
      <c r="D218" s="548"/>
      <c r="E218" s="548"/>
      <c r="F218" s="548"/>
      <c r="G218" s="548"/>
    </row>
    <row r="219" spans="3:7">
      <c r="C219" s="548"/>
      <c r="D219" s="548"/>
      <c r="E219" s="548"/>
      <c r="F219" s="548"/>
      <c r="G219" s="548"/>
    </row>
    <row r="220" spans="3:7">
      <c r="C220" s="548"/>
      <c r="D220" s="548"/>
      <c r="E220" s="548"/>
      <c r="F220" s="548"/>
      <c r="G220" s="548"/>
    </row>
    <row r="221" spans="3:7">
      <c r="C221" s="548"/>
      <c r="D221" s="548"/>
      <c r="E221" s="548"/>
      <c r="F221" s="548"/>
      <c r="G221" s="548"/>
    </row>
    <row r="222" spans="3:7">
      <c r="C222" s="548"/>
      <c r="D222" s="548"/>
      <c r="E222" s="548"/>
      <c r="F222" s="548"/>
      <c r="G222" s="548"/>
    </row>
    <row r="223" spans="3:7">
      <c r="C223" s="548"/>
      <c r="D223" s="548"/>
      <c r="E223" s="548"/>
      <c r="F223" s="548"/>
      <c r="G223" s="548"/>
    </row>
    <row r="224" spans="3:7">
      <c r="C224" s="548"/>
      <c r="D224" s="548"/>
      <c r="E224" s="548"/>
      <c r="F224" s="548"/>
      <c r="G224" s="548"/>
    </row>
    <row r="225" spans="3:7">
      <c r="C225" s="548"/>
      <c r="D225" s="548"/>
      <c r="E225" s="548"/>
      <c r="F225" s="548"/>
      <c r="G225" s="548"/>
    </row>
    <row r="226" spans="3:7">
      <c r="C226" s="548"/>
      <c r="D226" s="548"/>
      <c r="E226" s="548"/>
      <c r="F226" s="548"/>
      <c r="G226" s="548"/>
    </row>
    <row r="227" spans="3:7">
      <c r="C227" s="548"/>
      <c r="D227" s="548"/>
      <c r="E227" s="548"/>
      <c r="F227" s="548"/>
      <c r="G227" s="548"/>
    </row>
    <row r="228" spans="3:7">
      <c r="C228" s="548"/>
      <c r="D228" s="548"/>
      <c r="E228" s="548"/>
      <c r="F228" s="548"/>
      <c r="G228" s="548"/>
    </row>
    <row r="229" spans="3:7">
      <c r="C229" s="548"/>
      <c r="D229" s="548"/>
      <c r="E229" s="548"/>
      <c r="F229" s="548"/>
      <c r="G229" s="548"/>
    </row>
    <row r="230" spans="3:7">
      <c r="C230" s="548"/>
      <c r="D230" s="548"/>
      <c r="E230" s="548"/>
      <c r="F230" s="548"/>
      <c r="G230" s="548"/>
    </row>
    <row r="231" spans="3:7">
      <c r="C231" s="548"/>
      <c r="D231" s="548"/>
      <c r="E231" s="548"/>
      <c r="F231" s="548"/>
      <c r="G231" s="548"/>
    </row>
    <row r="232" spans="3:7">
      <c r="C232" s="548"/>
      <c r="D232" s="548"/>
      <c r="E232" s="548"/>
      <c r="F232" s="548"/>
      <c r="G232" s="548"/>
    </row>
    <row r="233" spans="3:7">
      <c r="C233" s="548"/>
      <c r="D233" s="548"/>
      <c r="E233" s="548"/>
      <c r="F233" s="548"/>
      <c r="G233" s="548"/>
    </row>
    <row r="234" spans="3:7">
      <c r="C234" s="548"/>
      <c r="D234" s="548"/>
      <c r="E234" s="548"/>
      <c r="F234" s="548"/>
      <c r="G234" s="548"/>
    </row>
    <row r="235" spans="3:7">
      <c r="C235" s="548"/>
      <c r="D235" s="548"/>
      <c r="E235" s="548"/>
      <c r="F235" s="548"/>
      <c r="G235" s="548"/>
    </row>
    <row r="236" spans="3:7">
      <c r="C236" s="548"/>
      <c r="D236" s="548"/>
      <c r="E236" s="548"/>
      <c r="F236" s="548"/>
      <c r="G236" s="548"/>
    </row>
    <row r="237" spans="3:7">
      <c r="C237" s="548"/>
      <c r="D237" s="548"/>
      <c r="E237" s="548"/>
      <c r="F237" s="548"/>
      <c r="G237" s="548"/>
    </row>
    <row r="238" spans="3:7">
      <c r="C238" s="548"/>
      <c r="D238" s="548"/>
      <c r="E238" s="548"/>
      <c r="F238" s="548"/>
      <c r="G238" s="548"/>
    </row>
    <row r="239" spans="3:7">
      <c r="C239" s="548"/>
      <c r="D239" s="548"/>
      <c r="E239" s="548"/>
      <c r="F239" s="548"/>
      <c r="G239" s="548"/>
    </row>
    <row r="240" spans="3:7">
      <c r="C240" s="548"/>
      <c r="D240" s="548"/>
      <c r="E240" s="548"/>
      <c r="F240" s="548"/>
      <c r="G240" s="548"/>
    </row>
    <row r="241" spans="3:7">
      <c r="C241" s="548"/>
      <c r="D241" s="548"/>
      <c r="E241" s="548"/>
      <c r="F241" s="548"/>
      <c r="G241" s="548"/>
    </row>
    <row r="242" spans="3:7">
      <c r="C242" s="548"/>
      <c r="D242" s="548"/>
      <c r="E242" s="548"/>
      <c r="F242" s="548"/>
      <c r="G242" s="548"/>
    </row>
    <row r="243" spans="3:7">
      <c r="C243" s="548"/>
      <c r="D243" s="548"/>
      <c r="E243" s="548"/>
      <c r="F243" s="548"/>
      <c r="G243" s="548"/>
    </row>
    <row r="244" spans="3:7">
      <c r="C244" s="548"/>
      <c r="D244" s="548"/>
      <c r="E244" s="548"/>
      <c r="F244" s="548"/>
      <c r="G244" s="548"/>
    </row>
    <row r="245" spans="3:7">
      <c r="C245" s="548"/>
      <c r="D245" s="548"/>
      <c r="E245" s="548"/>
      <c r="F245" s="548"/>
      <c r="G245" s="548"/>
    </row>
    <row r="246" spans="3:7">
      <c r="C246" s="548"/>
      <c r="D246" s="548"/>
      <c r="E246" s="548"/>
      <c r="F246" s="548"/>
      <c r="G246" s="548"/>
    </row>
    <row r="247" spans="3:7">
      <c r="C247" s="548"/>
      <c r="D247" s="548"/>
      <c r="E247" s="548"/>
      <c r="F247" s="548"/>
      <c r="G247" s="548"/>
    </row>
    <row r="248" spans="3:7">
      <c r="C248" s="548"/>
      <c r="D248" s="548"/>
      <c r="E248" s="548"/>
      <c r="F248" s="548"/>
      <c r="G248" s="548"/>
    </row>
    <row r="249" spans="3:7">
      <c r="C249" s="548"/>
      <c r="D249" s="548"/>
      <c r="E249" s="548"/>
      <c r="F249" s="548"/>
      <c r="G249" s="548"/>
    </row>
    <row r="250" spans="3:7">
      <c r="C250" s="548"/>
      <c r="D250" s="548"/>
      <c r="E250" s="548"/>
      <c r="F250" s="548"/>
      <c r="G250" s="548"/>
    </row>
    <row r="251" spans="3:7">
      <c r="C251" s="548"/>
      <c r="D251" s="548"/>
      <c r="E251" s="548"/>
      <c r="F251" s="548"/>
      <c r="G251" s="548"/>
    </row>
    <row r="252" spans="3:7">
      <c r="C252" s="548"/>
      <c r="D252" s="548"/>
      <c r="E252" s="548"/>
      <c r="F252" s="548"/>
      <c r="G252" s="548"/>
    </row>
    <row r="253" spans="3:7">
      <c r="C253" s="548"/>
      <c r="D253" s="548"/>
      <c r="E253" s="548"/>
      <c r="F253" s="548"/>
      <c r="G253" s="548"/>
    </row>
    <row r="254" spans="3:7">
      <c r="C254" s="548"/>
      <c r="D254" s="548"/>
      <c r="E254" s="548"/>
      <c r="F254" s="548"/>
      <c r="G254" s="548"/>
    </row>
    <row r="255" spans="3:7">
      <c r="C255" s="548"/>
      <c r="D255" s="548"/>
      <c r="E255" s="548"/>
      <c r="F255" s="548"/>
      <c r="G255" s="548"/>
    </row>
    <row r="256" spans="3:7">
      <c r="C256" s="548"/>
      <c r="D256" s="548"/>
      <c r="E256" s="548"/>
      <c r="F256" s="548"/>
      <c r="G256" s="548"/>
    </row>
    <row r="257" spans="3:7">
      <c r="C257" s="548"/>
      <c r="D257" s="548"/>
      <c r="E257" s="548"/>
      <c r="F257" s="548"/>
      <c r="G257" s="548"/>
    </row>
    <row r="258" spans="3:7">
      <c r="C258" s="548"/>
      <c r="D258" s="548"/>
      <c r="E258" s="548"/>
      <c r="F258" s="548"/>
      <c r="G258" s="548"/>
    </row>
    <row r="259" spans="3:7">
      <c r="C259" s="548"/>
      <c r="D259" s="548"/>
      <c r="E259" s="548"/>
      <c r="F259" s="548"/>
      <c r="G259" s="548"/>
    </row>
    <row r="260" spans="3:7">
      <c r="C260" s="548"/>
      <c r="D260" s="548"/>
      <c r="E260" s="548"/>
      <c r="F260" s="548"/>
      <c r="G260" s="548"/>
    </row>
    <row r="261" spans="3:7">
      <c r="C261" s="548"/>
      <c r="D261" s="548"/>
      <c r="E261" s="548"/>
      <c r="F261" s="548"/>
      <c r="G261" s="548"/>
    </row>
    <row r="262" spans="3:7">
      <c r="C262" s="548"/>
      <c r="D262" s="548"/>
      <c r="E262" s="548"/>
      <c r="F262" s="548"/>
      <c r="G262" s="548"/>
    </row>
    <row r="263" spans="3:7">
      <c r="C263" s="548"/>
      <c r="D263" s="548"/>
      <c r="E263" s="548"/>
      <c r="F263" s="548"/>
      <c r="G263" s="548"/>
    </row>
    <row r="264" spans="3:7">
      <c r="C264" s="548"/>
      <c r="D264" s="548"/>
      <c r="E264" s="548"/>
      <c r="F264" s="548"/>
      <c r="G264" s="548"/>
    </row>
    <row r="265" spans="3:7">
      <c r="C265" s="548"/>
      <c r="D265" s="548"/>
      <c r="E265" s="548"/>
      <c r="F265" s="548"/>
      <c r="G265" s="548"/>
    </row>
    <row r="266" spans="3:7">
      <c r="C266" s="548"/>
      <c r="D266" s="548"/>
      <c r="E266" s="548"/>
      <c r="F266" s="548"/>
      <c r="G266" s="548"/>
    </row>
    <row r="267" spans="3:7">
      <c r="C267" s="548"/>
      <c r="D267" s="548"/>
      <c r="E267" s="548"/>
      <c r="F267" s="548"/>
      <c r="G267" s="548"/>
    </row>
    <row r="268" spans="3:7">
      <c r="C268" s="548"/>
      <c r="D268" s="548"/>
      <c r="E268" s="548"/>
      <c r="F268" s="548"/>
      <c r="G268" s="548"/>
    </row>
    <row r="269" spans="3:7">
      <c r="C269" s="548"/>
      <c r="D269" s="548"/>
      <c r="E269" s="548"/>
      <c r="F269" s="548"/>
      <c r="G269" s="548"/>
    </row>
    <row r="270" spans="3:7">
      <c r="C270" s="548"/>
      <c r="D270" s="548"/>
      <c r="E270" s="548"/>
      <c r="F270" s="548"/>
      <c r="G270" s="548"/>
    </row>
    <row r="271" spans="3:7">
      <c r="C271" s="548"/>
      <c r="D271" s="548"/>
      <c r="E271" s="548"/>
      <c r="F271" s="548"/>
      <c r="G271" s="548"/>
    </row>
    <row r="272" spans="3:7">
      <c r="C272" s="548"/>
      <c r="D272" s="548"/>
      <c r="E272" s="548"/>
      <c r="F272" s="548"/>
      <c r="G272" s="548"/>
    </row>
    <row r="273" spans="3:7">
      <c r="C273" s="548"/>
      <c r="D273" s="548"/>
      <c r="E273" s="548"/>
      <c r="F273" s="548"/>
      <c r="G273" s="548"/>
    </row>
    <row r="274" spans="3:7">
      <c r="C274" s="548"/>
      <c r="D274" s="548"/>
      <c r="E274" s="548"/>
      <c r="F274" s="548"/>
      <c r="G274" s="548"/>
    </row>
    <row r="275" spans="3:7">
      <c r="C275" s="548"/>
      <c r="D275" s="548"/>
      <c r="E275" s="548"/>
      <c r="F275" s="548"/>
      <c r="G275" s="548"/>
    </row>
    <row r="276" spans="3:7">
      <c r="C276" s="548"/>
      <c r="D276" s="548"/>
      <c r="E276" s="548"/>
      <c r="F276" s="548"/>
      <c r="G276" s="548"/>
    </row>
    <row r="277" spans="3:7">
      <c r="C277" s="548"/>
      <c r="D277" s="548"/>
      <c r="E277" s="548"/>
      <c r="F277" s="548"/>
      <c r="G277" s="548"/>
    </row>
    <row r="278" spans="3:7">
      <c r="C278" s="548"/>
      <c r="D278" s="548"/>
      <c r="E278" s="548"/>
      <c r="F278" s="548"/>
      <c r="G278" s="548"/>
    </row>
    <row r="279" spans="3:7">
      <c r="C279" s="548"/>
      <c r="D279" s="548"/>
      <c r="E279" s="548"/>
      <c r="F279" s="548"/>
      <c r="G279" s="548"/>
    </row>
    <row r="280" spans="3:7">
      <c r="C280" s="548"/>
      <c r="D280" s="548"/>
      <c r="E280" s="548"/>
      <c r="F280" s="548"/>
      <c r="G280" s="548"/>
    </row>
    <row r="281" spans="3:7">
      <c r="C281" s="548"/>
      <c r="D281" s="548"/>
      <c r="E281" s="548"/>
      <c r="F281" s="548"/>
      <c r="G281" s="548"/>
    </row>
    <row r="282" spans="3:7">
      <c r="C282" s="548"/>
      <c r="D282" s="548"/>
      <c r="E282" s="548"/>
      <c r="F282" s="548"/>
      <c r="G282" s="548"/>
    </row>
    <row r="283" spans="3:7">
      <c r="C283" s="548"/>
      <c r="D283" s="548"/>
      <c r="E283" s="548"/>
      <c r="F283" s="548"/>
      <c r="G283" s="548"/>
    </row>
    <row r="284" spans="3:7">
      <c r="C284" s="548"/>
      <c r="D284" s="548"/>
      <c r="E284" s="548"/>
      <c r="F284" s="548"/>
      <c r="G284" s="548"/>
    </row>
    <row r="285" spans="3:7">
      <c r="C285" s="548"/>
      <c r="D285" s="548"/>
      <c r="E285" s="548"/>
      <c r="F285" s="548"/>
      <c r="G285" s="548"/>
    </row>
    <row r="286" spans="3:7">
      <c r="C286" s="548"/>
      <c r="D286" s="548"/>
      <c r="E286" s="548"/>
      <c r="F286" s="548"/>
      <c r="G286" s="548"/>
    </row>
    <row r="287" spans="3:7">
      <c r="C287" s="548"/>
      <c r="D287" s="548"/>
      <c r="E287" s="548"/>
      <c r="F287" s="548"/>
      <c r="G287" s="548"/>
    </row>
    <row r="288" spans="3:7">
      <c r="C288" s="548"/>
      <c r="D288" s="548"/>
      <c r="E288" s="548"/>
      <c r="F288" s="548"/>
      <c r="G288" s="548"/>
    </row>
    <row r="289" spans="3:7">
      <c r="C289" s="548"/>
      <c r="D289" s="548"/>
      <c r="E289" s="548"/>
      <c r="F289" s="548"/>
      <c r="G289" s="548"/>
    </row>
    <row r="290" spans="3:7">
      <c r="C290" s="548"/>
      <c r="D290" s="548"/>
      <c r="E290" s="548"/>
      <c r="F290" s="548"/>
      <c r="G290" s="548"/>
    </row>
    <row r="291" spans="3:7">
      <c r="C291" s="548"/>
      <c r="D291" s="548"/>
      <c r="E291" s="548"/>
      <c r="F291" s="548"/>
      <c r="G291" s="548"/>
    </row>
    <row r="292" spans="3:7">
      <c r="C292" s="548"/>
      <c r="D292" s="548"/>
      <c r="E292" s="548"/>
      <c r="F292" s="548"/>
      <c r="G292" s="548"/>
    </row>
    <row r="293" spans="3:7">
      <c r="C293" s="548"/>
      <c r="D293" s="548"/>
      <c r="E293" s="548"/>
      <c r="F293" s="548"/>
      <c r="G293" s="548"/>
    </row>
    <row r="294" spans="3:7">
      <c r="C294" s="548"/>
      <c r="D294" s="548"/>
      <c r="E294" s="548"/>
      <c r="F294" s="548"/>
      <c r="G294" s="548"/>
    </row>
    <row r="295" spans="3:7">
      <c r="C295" s="548"/>
      <c r="D295" s="548"/>
      <c r="E295" s="548"/>
      <c r="F295" s="548"/>
      <c r="G295" s="548"/>
    </row>
    <row r="296" spans="3:7">
      <c r="C296" s="548"/>
      <c r="D296" s="548"/>
      <c r="E296" s="548"/>
      <c r="F296" s="548"/>
      <c r="G296" s="548"/>
    </row>
    <row r="297" spans="3:7">
      <c r="C297" s="548"/>
      <c r="D297" s="548"/>
      <c r="E297" s="548"/>
      <c r="F297" s="548"/>
      <c r="G297" s="548"/>
    </row>
    <row r="298" spans="3:7">
      <c r="C298" s="548"/>
      <c r="D298" s="548"/>
      <c r="E298" s="548"/>
      <c r="F298" s="548"/>
      <c r="G298" s="548"/>
    </row>
    <row r="299" spans="3:7">
      <c r="C299" s="548"/>
      <c r="D299" s="548"/>
      <c r="E299" s="548"/>
      <c r="F299" s="548"/>
      <c r="G299" s="548"/>
    </row>
    <row r="300" spans="3:7">
      <c r="C300" s="548"/>
      <c r="D300" s="548"/>
      <c r="E300" s="548"/>
      <c r="F300" s="548"/>
      <c r="G300" s="548"/>
    </row>
    <row r="301" spans="3:7">
      <c r="C301" s="548"/>
      <c r="D301" s="548"/>
      <c r="E301" s="548"/>
      <c r="F301" s="548"/>
      <c r="G301" s="548"/>
    </row>
    <row r="302" spans="3:7">
      <c r="C302" s="548"/>
      <c r="D302" s="548"/>
      <c r="E302" s="548"/>
      <c r="F302" s="548"/>
      <c r="G302" s="548"/>
    </row>
    <row r="303" spans="3:7">
      <c r="C303" s="548"/>
      <c r="D303" s="548"/>
      <c r="E303" s="548"/>
      <c r="F303" s="548"/>
      <c r="G303" s="548"/>
    </row>
    <row r="304" spans="3:7">
      <c r="C304" s="548"/>
      <c r="D304" s="548"/>
      <c r="E304" s="548"/>
      <c r="F304" s="548"/>
      <c r="G304" s="548"/>
    </row>
    <row r="305" spans="3:7">
      <c r="C305" s="548"/>
      <c r="D305" s="548"/>
      <c r="E305" s="548"/>
      <c r="F305" s="548"/>
      <c r="G305" s="548"/>
    </row>
    <row r="306" spans="3:7">
      <c r="C306" s="548"/>
      <c r="D306" s="548"/>
      <c r="E306" s="548"/>
      <c r="F306" s="548"/>
      <c r="G306" s="548"/>
    </row>
    <row r="307" spans="3:7">
      <c r="C307" s="548"/>
      <c r="D307" s="548"/>
      <c r="E307" s="548"/>
      <c r="F307" s="548"/>
      <c r="G307" s="548"/>
    </row>
    <row r="308" spans="3:7">
      <c r="C308" s="548"/>
      <c r="D308" s="548"/>
      <c r="E308" s="548"/>
      <c r="F308" s="548"/>
      <c r="G308" s="548"/>
    </row>
    <row r="309" spans="3:7">
      <c r="C309" s="548"/>
      <c r="D309" s="548"/>
      <c r="E309" s="548"/>
      <c r="F309" s="548"/>
      <c r="G309" s="548"/>
    </row>
    <row r="310" spans="3:7">
      <c r="C310" s="548"/>
      <c r="D310" s="548"/>
      <c r="E310" s="548"/>
      <c r="F310" s="548"/>
      <c r="G310" s="548"/>
    </row>
    <row r="311" spans="3:7">
      <c r="C311" s="548"/>
      <c r="D311" s="548"/>
      <c r="E311" s="548"/>
      <c r="F311" s="548"/>
      <c r="G311" s="548"/>
    </row>
    <row r="312" spans="3:7">
      <c r="C312" s="548"/>
      <c r="D312" s="548"/>
      <c r="E312" s="548"/>
      <c r="F312" s="548"/>
      <c r="G312" s="548"/>
    </row>
    <row r="313" spans="3:7">
      <c r="C313" s="548"/>
      <c r="D313" s="548"/>
      <c r="E313" s="548"/>
      <c r="F313" s="548"/>
      <c r="G313" s="548"/>
    </row>
    <row r="314" spans="3:7">
      <c r="C314" s="548"/>
      <c r="D314" s="548"/>
      <c r="E314" s="548"/>
      <c r="F314" s="548"/>
      <c r="G314" s="548"/>
    </row>
    <row r="315" spans="3:7">
      <c r="C315" s="548"/>
      <c r="D315" s="548"/>
      <c r="E315" s="548"/>
      <c r="F315" s="548"/>
      <c r="G315" s="548"/>
    </row>
    <row r="316" spans="3:7">
      <c r="C316" s="548"/>
      <c r="D316" s="548"/>
      <c r="E316" s="548"/>
      <c r="F316" s="548"/>
      <c r="G316" s="548"/>
    </row>
    <row r="317" spans="3:7">
      <c r="C317" s="548"/>
      <c r="D317" s="548"/>
      <c r="E317" s="548"/>
      <c r="F317" s="548"/>
      <c r="G317" s="548"/>
    </row>
    <row r="318" spans="3:7">
      <c r="C318" s="548"/>
      <c r="D318" s="548"/>
      <c r="E318" s="548"/>
      <c r="F318" s="548"/>
      <c r="G318" s="548"/>
    </row>
    <row r="319" spans="3:7">
      <c r="C319" s="548"/>
      <c r="D319" s="548"/>
      <c r="E319" s="548"/>
      <c r="F319" s="548"/>
      <c r="G319" s="548"/>
    </row>
    <row r="320" spans="3:7">
      <c r="C320" s="548"/>
      <c r="D320" s="548"/>
      <c r="E320" s="548"/>
      <c r="F320" s="548"/>
      <c r="G320" s="548"/>
    </row>
    <row r="321" spans="3:7">
      <c r="C321" s="548"/>
      <c r="D321" s="548"/>
      <c r="E321" s="548"/>
      <c r="F321" s="548"/>
      <c r="G321" s="548"/>
    </row>
    <row r="322" spans="3:7">
      <c r="C322" s="548"/>
      <c r="D322" s="548"/>
      <c r="E322" s="548"/>
      <c r="F322" s="548"/>
      <c r="G322" s="548"/>
    </row>
    <row r="323" spans="3:7">
      <c r="C323" s="548"/>
      <c r="D323" s="548"/>
      <c r="E323" s="548"/>
      <c r="F323" s="548"/>
      <c r="G323" s="548"/>
    </row>
    <row r="324" spans="3:7">
      <c r="C324" s="548"/>
      <c r="D324" s="548"/>
      <c r="E324" s="548"/>
      <c r="F324" s="548"/>
      <c r="G324" s="548"/>
    </row>
    <row r="325" spans="3:7">
      <c r="C325" s="548"/>
      <c r="D325" s="548"/>
      <c r="E325" s="548"/>
      <c r="F325" s="548"/>
      <c r="G325" s="548"/>
    </row>
    <row r="326" spans="3:7">
      <c r="C326" s="548"/>
      <c r="D326" s="548"/>
      <c r="E326" s="548"/>
      <c r="F326" s="548"/>
      <c r="G326" s="548"/>
    </row>
    <row r="327" spans="3:7">
      <c r="C327" s="548"/>
      <c r="D327" s="548"/>
      <c r="E327" s="548"/>
      <c r="F327" s="548"/>
      <c r="G327" s="548"/>
    </row>
    <row r="328" spans="3:7">
      <c r="C328" s="548"/>
      <c r="D328" s="548"/>
      <c r="E328" s="548"/>
      <c r="F328" s="548"/>
      <c r="G328" s="548"/>
    </row>
    <row r="329" spans="3:7">
      <c r="C329" s="548"/>
      <c r="D329" s="548"/>
      <c r="E329" s="548"/>
      <c r="F329" s="548"/>
      <c r="G329" s="548"/>
    </row>
    <row r="330" spans="3:7">
      <c r="C330" s="548"/>
      <c r="D330" s="548"/>
      <c r="E330" s="548"/>
      <c r="F330" s="548"/>
      <c r="G330" s="548"/>
    </row>
    <row r="331" spans="3:7">
      <c r="C331" s="548"/>
      <c r="D331" s="548"/>
      <c r="E331" s="548"/>
      <c r="F331" s="548"/>
      <c r="G331" s="548"/>
    </row>
    <row r="332" spans="3:7">
      <c r="C332" s="548"/>
      <c r="D332" s="548"/>
      <c r="E332" s="548"/>
      <c r="F332" s="548"/>
      <c r="G332" s="548"/>
    </row>
    <row r="333" spans="3:7">
      <c r="C333" s="548"/>
      <c r="D333" s="548"/>
      <c r="E333" s="548"/>
      <c r="F333" s="548"/>
      <c r="G333" s="548"/>
    </row>
    <row r="334" spans="3:7">
      <c r="C334" s="548"/>
      <c r="D334" s="548"/>
      <c r="E334" s="548"/>
      <c r="F334" s="548"/>
      <c r="G334" s="548"/>
    </row>
    <row r="335" spans="3:7">
      <c r="C335" s="548"/>
      <c r="D335" s="548"/>
      <c r="E335" s="548"/>
      <c r="F335" s="548"/>
      <c r="G335" s="548"/>
    </row>
    <row r="336" spans="3:7">
      <c r="C336" s="548"/>
      <c r="D336" s="548"/>
      <c r="E336" s="548"/>
      <c r="F336" s="548"/>
      <c r="G336" s="548"/>
    </row>
    <row r="337" spans="3:7">
      <c r="C337" s="548"/>
      <c r="D337" s="548"/>
      <c r="E337" s="548"/>
      <c r="F337" s="548"/>
      <c r="G337" s="548"/>
    </row>
    <row r="338" spans="3:7">
      <c r="C338" s="548"/>
      <c r="D338" s="548"/>
      <c r="E338" s="548"/>
      <c r="F338" s="548"/>
      <c r="G338" s="548"/>
    </row>
    <row r="339" spans="3:7">
      <c r="C339" s="548"/>
      <c r="D339" s="548"/>
      <c r="E339" s="548"/>
      <c r="F339" s="548"/>
      <c r="G339" s="548"/>
    </row>
    <row r="340" spans="3:7">
      <c r="C340" s="548"/>
      <c r="D340" s="548"/>
      <c r="E340" s="548"/>
      <c r="F340" s="548"/>
      <c r="G340" s="548"/>
    </row>
    <row r="341" spans="3:7">
      <c r="C341" s="548"/>
      <c r="D341" s="548"/>
      <c r="E341" s="548"/>
      <c r="F341" s="548"/>
      <c r="G341" s="548"/>
    </row>
    <row r="342" spans="3:7">
      <c r="C342" s="548"/>
      <c r="D342" s="548"/>
      <c r="E342" s="548"/>
      <c r="F342" s="548"/>
      <c r="G342" s="548"/>
    </row>
    <row r="343" spans="3:7">
      <c r="C343" s="548"/>
      <c r="D343" s="548"/>
      <c r="E343" s="548"/>
      <c r="F343" s="548"/>
      <c r="G343" s="548"/>
    </row>
    <row r="344" spans="3:7">
      <c r="C344" s="548"/>
      <c r="D344" s="548"/>
      <c r="E344" s="548"/>
      <c r="F344" s="548"/>
      <c r="G344" s="548"/>
    </row>
    <row r="345" spans="3:7">
      <c r="C345" s="548"/>
      <c r="D345" s="548"/>
      <c r="E345" s="548"/>
      <c r="F345" s="548"/>
      <c r="G345" s="548"/>
    </row>
    <row r="346" spans="3:7">
      <c r="C346" s="548"/>
      <c r="D346" s="548"/>
      <c r="E346" s="548"/>
      <c r="F346" s="548"/>
      <c r="G346" s="548"/>
    </row>
    <row r="347" spans="3:7">
      <c r="C347" s="548"/>
      <c r="D347" s="548"/>
      <c r="E347" s="548"/>
      <c r="F347" s="548"/>
      <c r="G347" s="548"/>
    </row>
    <row r="348" spans="3:7">
      <c r="C348" s="548"/>
      <c r="D348" s="548"/>
      <c r="E348" s="548"/>
      <c r="F348" s="548"/>
      <c r="G348" s="548"/>
    </row>
    <row r="349" spans="3:7">
      <c r="C349" s="548"/>
      <c r="D349" s="548"/>
      <c r="E349" s="548"/>
      <c r="F349" s="548"/>
      <c r="G349" s="548"/>
    </row>
    <row r="350" spans="3:7">
      <c r="C350" s="548"/>
      <c r="D350" s="548"/>
      <c r="E350" s="548"/>
      <c r="F350" s="548"/>
      <c r="G350" s="548"/>
    </row>
    <row r="351" spans="3:7">
      <c r="C351" s="548"/>
      <c r="D351" s="548"/>
      <c r="E351" s="548"/>
      <c r="F351" s="548"/>
      <c r="G351" s="548"/>
    </row>
    <row r="352" spans="3:7">
      <c r="C352" s="548"/>
      <c r="D352" s="548"/>
      <c r="E352" s="548"/>
      <c r="F352" s="548"/>
      <c r="G352" s="548"/>
    </row>
    <row r="353" spans="3:7">
      <c r="C353" s="548"/>
      <c r="D353" s="548"/>
      <c r="E353" s="548"/>
      <c r="F353" s="548"/>
      <c r="G353" s="548"/>
    </row>
    <row r="354" spans="3:7">
      <c r="C354" s="548"/>
      <c r="D354" s="548"/>
      <c r="E354" s="548"/>
      <c r="F354" s="548"/>
      <c r="G354" s="548"/>
    </row>
    <row r="355" spans="3:7">
      <c r="C355" s="548"/>
      <c r="D355" s="548"/>
      <c r="E355" s="548"/>
      <c r="F355" s="548"/>
      <c r="G355" s="548"/>
    </row>
    <row r="356" spans="3:7">
      <c r="C356" s="548"/>
      <c r="D356" s="548"/>
      <c r="E356" s="548"/>
      <c r="F356" s="548"/>
      <c r="G356" s="548"/>
    </row>
    <row r="357" spans="3:7">
      <c r="C357" s="548"/>
      <c r="D357" s="548"/>
      <c r="E357" s="548"/>
      <c r="F357" s="548"/>
      <c r="G357" s="548"/>
    </row>
    <row r="358" spans="3:7">
      <c r="C358" s="548"/>
      <c r="D358" s="548"/>
      <c r="E358" s="548"/>
      <c r="F358" s="548"/>
      <c r="G358" s="548"/>
    </row>
    <row r="359" spans="3:7">
      <c r="C359" s="548"/>
      <c r="D359" s="548"/>
      <c r="E359" s="548"/>
      <c r="F359" s="548"/>
      <c r="G359" s="548"/>
    </row>
    <row r="360" spans="3:7">
      <c r="C360" s="548"/>
      <c r="D360" s="548"/>
      <c r="E360" s="548"/>
      <c r="F360" s="548"/>
      <c r="G360" s="548"/>
    </row>
    <row r="361" spans="3:7">
      <c r="C361" s="548"/>
      <c r="D361" s="548"/>
      <c r="E361" s="548"/>
      <c r="F361" s="548"/>
      <c r="G361" s="548"/>
    </row>
    <row r="362" spans="3:7">
      <c r="C362" s="548"/>
      <c r="D362" s="548"/>
      <c r="E362" s="548"/>
      <c r="F362" s="548"/>
      <c r="G362" s="548"/>
    </row>
    <row r="363" spans="3:7">
      <c r="C363" s="548"/>
      <c r="D363" s="548"/>
      <c r="E363" s="548"/>
      <c r="F363" s="548"/>
      <c r="G363" s="548"/>
    </row>
    <row r="364" spans="3:7">
      <c r="C364" s="548"/>
      <c r="D364" s="548"/>
      <c r="E364" s="548"/>
      <c r="F364" s="548"/>
      <c r="G364" s="548"/>
    </row>
    <row r="365" spans="3:7">
      <c r="C365" s="548"/>
      <c r="D365" s="548"/>
      <c r="E365" s="548"/>
      <c r="F365" s="548"/>
      <c r="G365" s="548"/>
    </row>
    <row r="366" spans="3:7">
      <c r="C366" s="548"/>
      <c r="D366" s="548"/>
      <c r="E366" s="548"/>
      <c r="F366" s="548"/>
      <c r="G366" s="548"/>
    </row>
    <row r="367" spans="3:7">
      <c r="C367" s="548"/>
      <c r="D367" s="548"/>
      <c r="E367" s="548"/>
      <c r="F367" s="548"/>
      <c r="G367" s="548"/>
    </row>
    <row r="368" spans="3:7">
      <c r="C368" s="548"/>
      <c r="D368" s="548"/>
      <c r="E368" s="548"/>
      <c r="F368" s="548"/>
      <c r="G368" s="548"/>
    </row>
    <row r="369" spans="3:7">
      <c r="C369" s="548"/>
      <c r="D369" s="548"/>
      <c r="E369" s="548"/>
      <c r="F369" s="548"/>
      <c r="G369" s="548"/>
    </row>
    <row r="370" spans="3:7">
      <c r="C370" s="548"/>
      <c r="D370" s="548"/>
      <c r="E370" s="548"/>
      <c r="F370" s="548"/>
      <c r="G370" s="548"/>
    </row>
    <row r="371" spans="3:7">
      <c r="C371" s="548"/>
      <c r="D371" s="548"/>
      <c r="E371" s="548"/>
      <c r="F371" s="548"/>
      <c r="G371" s="548"/>
    </row>
    <row r="372" spans="3:7">
      <c r="C372" s="548"/>
      <c r="D372" s="548"/>
      <c r="E372" s="548"/>
      <c r="F372" s="548"/>
      <c r="G372" s="548"/>
    </row>
    <row r="373" spans="3:7">
      <c r="C373" s="548"/>
      <c r="D373" s="548"/>
      <c r="E373" s="548"/>
      <c r="F373" s="548"/>
      <c r="G373" s="548"/>
    </row>
    <row r="374" spans="3:7">
      <c r="C374" s="548"/>
      <c r="D374" s="548"/>
      <c r="E374" s="548"/>
      <c r="F374" s="548"/>
      <c r="G374" s="548"/>
    </row>
    <row r="375" spans="3:7">
      <c r="C375" s="548"/>
      <c r="D375" s="548"/>
      <c r="E375" s="548"/>
      <c r="F375" s="548"/>
      <c r="G375" s="548"/>
    </row>
    <row r="376" spans="3:7">
      <c r="C376" s="548"/>
      <c r="D376" s="548"/>
      <c r="E376" s="548"/>
      <c r="F376" s="548"/>
      <c r="G376" s="548"/>
    </row>
    <row r="377" spans="3:7">
      <c r="C377" s="548"/>
      <c r="D377" s="548"/>
      <c r="E377" s="548"/>
      <c r="F377" s="548"/>
      <c r="G377" s="548"/>
    </row>
    <row r="378" spans="3:7">
      <c r="C378" s="548"/>
      <c r="D378" s="548"/>
      <c r="E378" s="548"/>
      <c r="F378" s="548"/>
      <c r="G378" s="548"/>
    </row>
    <row r="379" spans="3:7">
      <c r="C379" s="548"/>
      <c r="D379" s="548"/>
      <c r="E379" s="548"/>
      <c r="F379" s="548"/>
      <c r="G379" s="548"/>
    </row>
    <row r="380" spans="3:7">
      <c r="C380" s="548"/>
      <c r="D380" s="548"/>
      <c r="E380" s="548"/>
      <c r="F380" s="548"/>
      <c r="G380" s="548"/>
    </row>
    <row r="381" spans="3:7">
      <c r="C381" s="548"/>
      <c r="D381" s="548"/>
      <c r="E381" s="548"/>
      <c r="F381" s="548"/>
      <c r="G381" s="548"/>
    </row>
    <row r="382" spans="3:7">
      <c r="C382" s="548"/>
      <c r="D382" s="548"/>
      <c r="E382" s="548"/>
      <c r="F382" s="548"/>
      <c r="G382" s="548"/>
    </row>
    <row r="383" spans="3:7">
      <c r="C383" s="548"/>
      <c r="D383" s="548"/>
      <c r="E383" s="548"/>
      <c r="F383" s="548"/>
      <c r="G383" s="548"/>
    </row>
    <row r="384" spans="3:7">
      <c r="C384" s="548"/>
      <c r="D384" s="548"/>
      <c r="E384" s="548"/>
      <c r="F384" s="548"/>
      <c r="G384" s="548"/>
    </row>
    <row r="385" spans="3:7">
      <c r="C385" s="548"/>
      <c r="D385" s="548"/>
      <c r="E385" s="548"/>
      <c r="F385" s="548"/>
      <c r="G385" s="548"/>
    </row>
    <row r="386" spans="3:7">
      <c r="C386" s="548"/>
      <c r="D386" s="548"/>
      <c r="E386" s="548"/>
      <c r="F386" s="548"/>
      <c r="G386" s="548"/>
    </row>
    <row r="387" spans="3:7">
      <c r="C387" s="548"/>
      <c r="D387" s="548"/>
      <c r="E387" s="548"/>
      <c r="F387" s="548"/>
      <c r="G387" s="548"/>
    </row>
    <row r="388" spans="3:7">
      <c r="C388" s="548"/>
      <c r="D388" s="548"/>
      <c r="E388" s="548"/>
      <c r="F388" s="548"/>
      <c r="G388" s="548"/>
    </row>
    <row r="389" spans="3:7">
      <c r="C389" s="548"/>
      <c r="D389" s="548"/>
      <c r="E389" s="548"/>
      <c r="F389" s="548"/>
      <c r="G389" s="548"/>
    </row>
    <row r="390" spans="3:7">
      <c r="C390" s="548"/>
      <c r="D390" s="548"/>
      <c r="E390" s="548"/>
      <c r="F390" s="548"/>
      <c r="G390" s="548"/>
    </row>
    <row r="391" spans="3:7">
      <c r="C391" s="548"/>
      <c r="D391" s="548"/>
      <c r="E391" s="548"/>
      <c r="F391" s="548"/>
      <c r="G391" s="548"/>
    </row>
    <row r="392" spans="3:7">
      <c r="C392" s="548"/>
      <c r="D392" s="548"/>
      <c r="E392" s="548"/>
      <c r="F392" s="548"/>
      <c r="G392" s="548"/>
    </row>
    <row r="393" spans="3:7">
      <c r="C393" s="548"/>
      <c r="D393" s="548"/>
      <c r="E393" s="548"/>
      <c r="F393" s="548"/>
      <c r="G393" s="548"/>
    </row>
    <row r="394" spans="3:7">
      <c r="C394" s="548"/>
      <c r="D394" s="548"/>
      <c r="E394" s="548"/>
      <c r="F394" s="548"/>
      <c r="G394" s="548"/>
    </row>
    <row r="395" spans="3:7">
      <c r="C395" s="548"/>
      <c r="D395" s="548"/>
      <c r="E395" s="548"/>
      <c r="F395" s="548"/>
      <c r="G395" s="548"/>
    </row>
    <row r="396" spans="3:7">
      <c r="C396" s="548"/>
      <c r="D396" s="548"/>
      <c r="E396" s="548"/>
      <c r="F396" s="548"/>
      <c r="G396" s="548"/>
    </row>
    <row r="397" spans="3:7">
      <c r="C397" s="548"/>
      <c r="D397" s="548"/>
      <c r="E397" s="548"/>
      <c r="F397" s="548"/>
      <c r="G397" s="548"/>
    </row>
    <row r="398" spans="3:7">
      <c r="C398" s="548"/>
      <c r="D398" s="548"/>
      <c r="E398" s="548"/>
      <c r="F398" s="548"/>
      <c r="G398" s="548"/>
    </row>
    <row r="399" spans="3:7">
      <c r="C399" s="548"/>
      <c r="D399" s="548"/>
      <c r="E399" s="548"/>
      <c r="F399" s="548"/>
      <c r="G399" s="548"/>
    </row>
    <row r="400" spans="3:7">
      <c r="C400" s="548"/>
      <c r="D400" s="548"/>
      <c r="E400" s="548"/>
      <c r="F400" s="548"/>
      <c r="G400" s="548"/>
    </row>
    <row r="401" spans="3:7">
      <c r="C401" s="548"/>
      <c r="D401" s="548"/>
      <c r="E401" s="548"/>
      <c r="F401" s="548"/>
      <c r="G401" s="548"/>
    </row>
    <row r="402" spans="3:7">
      <c r="C402" s="548"/>
      <c r="D402" s="548"/>
      <c r="E402" s="548"/>
      <c r="F402" s="548"/>
      <c r="G402" s="548"/>
    </row>
    <row r="403" spans="3:7">
      <c r="C403" s="548"/>
      <c r="D403" s="548"/>
      <c r="E403" s="548"/>
      <c r="F403" s="548"/>
      <c r="G403" s="548"/>
    </row>
    <row r="404" spans="3:7">
      <c r="C404" s="548"/>
      <c r="D404" s="548"/>
      <c r="E404" s="548"/>
      <c r="F404" s="548"/>
      <c r="G404" s="548"/>
    </row>
    <row r="405" spans="3:7">
      <c r="C405" s="548"/>
      <c r="D405" s="548"/>
      <c r="E405" s="548"/>
      <c r="F405" s="548"/>
      <c r="G405" s="548"/>
    </row>
    <row r="406" spans="3:7">
      <c r="C406" s="548"/>
      <c r="D406" s="548"/>
      <c r="E406" s="548"/>
      <c r="F406" s="548"/>
      <c r="G406" s="548"/>
    </row>
    <row r="407" spans="3:7">
      <c r="C407" s="548"/>
      <c r="D407" s="548"/>
      <c r="E407" s="548"/>
      <c r="F407" s="548"/>
      <c r="G407" s="548"/>
    </row>
    <row r="408" spans="3:7">
      <c r="C408" s="548"/>
      <c r="D408" s="548"/>
      <c r="E408" s="548"/>
      <c r="F408" s="548"/>
      <c r="G408" s="548"/>
    </row>
    <row r="409" spans="3:7">
      <c r="C409" s="548"/>
      <c r="D409" s="548"/>
      <c r="E409" s="548"/>
      <c r="F409" s="548"/>
      <c r="G409" s="548"/>
    </row>
    <row r="410" spans="3:7">
      <c r="C410" s="548"/>
      <c r="D410" s="548"/>
      <c r="E410" s="548"/>
      <c r="F410" s="548"/>
      <c r="G410" s="548"/>
    </row>
    <row r="411" spans="3:7">
      <c r="C411" s="548"/>
      <c r="D411" s="548"/>
      <c r="E411" s="548"/>
      <c r="F411" s="548"/>
      <c r="G411" s="548"/>
    </row>
    <row r="412" spans="3:7">
      <c r="C412" s="548"/>
      <c r="D412" s="548"/>
      <c r="E412" s="548"/>
      <c r="F412" s="548"/>
      <c r="G412" s="548"/>
    </row>
    <row r="413" spans="3:7">
      <c r="C413" s="548"/>
      <c r="D413" s="548"/>
      <c r="E413" s="548"/>
      <c r="F413" s="548"/>
      <c r="G413" s="548"/>
    </row>
    <row r="414" spans="3:7">
      <c r="C414" s="548"/>
      <c r="D414" s="548"/>
      <c r="E414" s="548"/>
      <c r="F414" s="548"/>
      <c r="G414" s="548"/>
    </row>
    <row r="415" spans="3:7">
      <c r="C415" s="548"/>
      <c r="D415" s="548"/>
      <c r="E415" s="548"/>
      <c r="F415" s="548"/>
      <c r="G415" s="548"/>
    </row>
    <row r="416" spans="3:7">
      <c r="C416" s="548"/>
      <c r="D416" s="548"/>
      <c r="E416" s="548"/>
      <c r="F416" s="548"/>
      <c r="G416" s="548"/>
    </row>
    <row r="417" spans="3:7">
      <c r="C417" s="548"/>
      <c r="D417" s="548"/>
      <c r="E417" s="548"/>
      <c r="F417" s="548"/>
      <c r="G417" s="548"/>
    </row>
    <row r="418" spans="3:7">
      <c r="C418" s="548"/>
      <c r="D418" s="548"/>
      <c r="E418" s="548"/>
      <c r="F418" s="548"/>
      <c r="G418" s="548"/>
    </row>
    <row r="419" spans="3:7">
      <c r="C419" s="548"/>
      <c r="D419" s="548"/>
      <c r="E419" s="548"/>
      <c r="F419" s="548"/>
      <c r="G419" s="548"/>
    </row>
    <row r="420" spans="3:7">
      <c r="C420" s="548"/>
      <c r="D420" s="548"/>
      <c r="E420" s="548"/>
      <c r="F420" s="548"/>
      <c r="G420" s="548"/>
    </row>
    <row r="421" spans="3:7">
      <c r="C421" s="548"/>
      <c r="D421" s="548"/>
      <c r="E421" s="548"/>
      <c r="F421" s="548"/>
      <c r="G421" s="548"/>
    </row>
    <row r="422" spans="3:7">
      <c r="C422" s="548"/>
      <c r="D422" s="548"/>
      <c r="E422" s="548"/>
      <c r="F422" s="548"/>
      <c r="G422" s="548"/>
    </row>
    <row r="423" spans="3:7">
      <c r="C423" s="548"/>
      <c r="D423" s="548"/>
      <c r="E423" s="548"/>
      <c r="F423" s="548"/>
      <c r="G423" s="548"/>
    </row>
    <row r="424" spans="3:7">
      <c r="C424" s="548"/>
      <c r="D424" s="548"/>
      <c r="E424" s="548"/>
      <c r="F424" s="548"/>
      <c r="G424" s="548"/>
    </row>
    <row r="425" spans="3:7">
      <c r="C425" s="548"/>
      <c r="D425" s="548"/>
      <c r="E425" s="548"/>
      <c r="F425" s="548"/>
      <c r="G425" s="548"/>
    </row>
    <row r="426" spans="3:7">
      <c r="C426" s="548"/>
      <c r="D426" s="548"/>
      <c r="E426" s="548"/>
      <c r="F426" s="548"/>
      <c r="G426" s="548"/>
    </row>
    <row r="427" spans="3:7">
      <c r="C427" s="548"/>
      <c r="D427" s="548"/>
      <c r="E427" s="548"/>
      <c r="F427" s="548"/>
      <c r="G427" s="548"/>
    </row>
    <row r="428" spans="3:7">
      <c r="C428" s="548"/>
      <c r="D428" s="548"/>
      <c r="E428" s="548"/>
      <c r="F428" s="548"/>
      <c r="G428" s="548"/>
    </row>
    <row r="429" spans="3:7">
      <c r="C429" s="548"/>
      <c r="D429" s="548"/>
      <c r="E429" s="548"/>
      <c r="F429" s="548"/>
      <c r="G429" s="548"/>
    </row>
    <row r="430" spans="3:7">
      <c r="C430" s="548"/>
      <c r="D430" s="548"/>
      <c r="E430" s="548"/>
      <c r="F430" s="548"/>
      <c r="G430" s="548"/>
    </row>
    <row r="431" spans="3:7">
      <c r="C431" s="548"/>
      <c r="D431" s="548"/>
      <c r="E431" s="548"/>
      <c r="F431" s="548"/>
      <c r="G431" s="548"/>
    </row>
    <row r="432" spans="3:7">
      <c r="C432" s="548"/>
      <c r="D432" s="548"/>
      <c r="E432" s="548"/>
      <c r="F432" s="548"/>
      <c r="G432" s="548"/>
    </row>
    <row r="433" spans="3:7">
      <c r="C433" s="548"/>
      <c r="D433" s="548"/>
      <c r="E433" s="548"/>
      <c r="F433" s="548"/>
      <c r="G433" s="548"/>
    </row>
    <row r="434" spans="3:7">
      <c r="C434" s="548"/>
      <c r="D434" s="548"/>
      <c r="E434" s="548"/>
      <c r="F434" s="548"/>
      <c r="G434" s="548"/>
    </row>
    <row r="435" spans="3:7">
      <c r="C435" s="548"/>
      <c r="D435" s="548"/>
      <c r="E435" s="548"/>
      <c r="F435" s="548"/>
      <c r="G435" s="548"/>
    </row>
    <row r="436" spans="3:7">
      <c r="C436" s="548"/>
      <c r="D436" s="548"/>
      <c r="E436" s="548"/>
      <c r="F436" s="548"/>
      <c r="G436" s="548"/>
    </row>
    <row r="437" spans="3:7">
      <c r="C437" s="548"/>
      <c r="D437" s="548"/>
      <c r="E437" s="548"/>
      <c r="F437" s="548"/>
      <c r="G437" s="548"/>
    </row>
    <row r="438" spans="3:7">
      <c r="C438" s="548"/>
      <c r="D438" s="548"/>
      <c r="E438" s="548"/>
      <c r="F438" s="548"/>
      <c r="G438" s="548"/>
    </row>
    <row r="439" spans="3:7">
      <c r="C439" s="548"/>
      <c r="D439" s="548"/>
      <c r="E439" s="548"/>
      <c r="F439" s="548"/>
      <c r="G439" s="548"/>
    </row>
    <row r="440" spans="3:7">
      <c r="C440" s="548"/>
      <c r="D440" s="548"/>
      <c r="E440" s="548"/>
      <c r="F440" s="548"/>
      <c r="G440" s="548"/>
    </row>
    <row r="441" spans="3:7">
      <c r="C441" s="548"/>
      <c r="D441" s="548"/>
      <c r="E441" s="548"/>
      <c r="F441" s="548"/>
      <c r="G441" s="548"/>
    </row>
    <row r="442" spans="3:7">
      <c r="C442" s="548"/>
      <c r="D442" s="548"/>
      <c r="E442" s="548"/>
      <c r="F442" s="548"/>
      <c r="G442" s="548"/>
    </row>
    <row r="443" spans="3:7">
      <c r="C443" s="548"/>
      <c r="D443" s="548"/>
      <c r="E443" s="548"/>
      <c r="F443" s="548"/>
      <c r="G443" s="548"/>
    </row>
    <row r="444" spans="3:7">
      <c r="C444" s="548"/>
      <c r="D444" s="548"/>
      <c r="E444" s="548"/>
      <c r="F444" s="548"/>
      <c r="G444" s="548"/>
    </row>
    <row r="445" spans="3:7">
      <c r="C445" s="548"/>
      <c r="D445" s="548"/>
      <c r="E445" s="548"/>
      <c r="F445" s="548"/>
      <c r="G445" s="548"/>
    </row>
    <row r="446" spans="3:7">
      <c r="C446" s="548"/>
      <c r="D446" s="548"/>
      <c r="E446" s="548"/>
      <c r="F446" s="548"/>
      <c r="G446" s="548"/>
    </row>
    <row r="447" spans="3:7">
      <c r="C447" s="548"/>
      <c r="D447" s="548"/>
      <c r="E447" s="548"/>
      <c r="F447" s="548"/>
      <c r="G447" s="548"/>
    </row>
    <row r="448" spans="3:7">
      <c r="C448" s="548"/>
      <c r="D448" s="548"/>
      <c r="E448" s="548"/>
      <c r="F448" s="548"/>
      <c r="G448" s="548"/>
    </row>
    <row r="449" spans="3:7">
      <c r="C449" s="548"/>
      <c r="D449" s="548"/>
      <c r="E449" s="548"/>
      <c r="F449" s="548"/>
      <c r="G449" s="548"/>
    </row>
    <row r="450" spans="3:7">
      <c r="C450" s="548"/>
      <c r="D450" s="548"/>
      <c r="E450" s="548"/>
      <c r="F450" s="548"/>
      <c r="G450" s="548"/>
    </row>
    <row r="451" spans="3:7">
      <c r="C451" s="548"/>
      <c r="D451" s="548"/>
      <c r="E451" s="548"/>
      <c r="F451" s="548"/>
      <c r="G451" s="548"/>
    </row>
    <row r="452" spans="3:7">
      <c r="C452" s="548"/>
      <c r="D452" s="548"/>
      <c r="E452" s="548"/>
      <c r="F452" s="548"/>
      <c r="G452" s="548"/>
    </row>
    <row r="453" spans="3:7">
      <c r="C453" s="548"/>
      <c r="D453" s="548"/>
      <c r="E453" s="548"/>
      <c r="F453" s="548"/>
      <c r="G453" s="548"/>
    </row>
    <row r="454" spans="3:7">
      <c r="C454" s="548"/>
      <c r="D454" s="548"/>
      <c r="E454" s="548"/>
      <c r="F454" s="548"/>
      <c r="G454" s="548"/>
    </row>
    <row r="455" spans="3:7">
      <c r="C455" s="548"/>
      <c r="D455" s="548"/>
      <c r="E455" s="548"/>
      <c r="F455" s="548"/>
      <c r="G455" s="548"/>
    </row>
    <row r="456" spans="3:7">
      <c r="C456" s="548"/>
      <c r="D456" s="548"/>
      <c r="E456" s="548"/>
      <c r="F456" s="548"/>
      <c r="G456" s="548"/>
    </row>
    <row r="457" spans="3:7">
      <c r="C457" s="548"/>
      <c r="D457" s="548"/>
      <c r="E457" s="548"/>
      <c r="F457" s="548"/>
      <c r="G457" s="548"/>
    </row>
    <row r="458" spans="3:7">
      <c r="C458" s="548"/>
      <c r="D458" s="548"/>
      <c r="E458" s="548"/>
      <c r="F458" s="548"/>
      <c r="G458" s="548"/>
    </row>
    <row r="459" spans="3:7">
      <c r="C459" s="548"/>
      <c r="D459" s="548"/>
      <c r="E459" s="548"/>
      <c r="F459" s="548"/>
      <c r="G459" s="548"/>
    </row>
    <row r="460" spans="3:7">
      <c r="C460" s="548"/>
      <c r="D460" s="548"/>
      <c r="E460" s="548"/>
      <c r="F460" s="548"/>
      <c r="G460" s="548"/>
    </row>
    <row r="461" spans="3:7">
      <c r="C461" s="548"/>
      <c r="D461" s="548"/>
      <c r="E461" s="548"/>
      <c r="F461" s="548"/>
      <c r="G461" s="548"/>
    </row>
    <row r="462" spans="3:7">
      <c r="C462" s="548"/>
      <c r="D462" s="548"/>
      <c r="E462" s="548"/>
      <c r="F462" s="548"/>
      <c r="G462" s="548"/>
    </row>
    <row r="463" spans="3:7">
      <c r="C463" s="548"/>
      <c r="D463" s="548"/>
      <c r="E463" s="548"/>
      <c r="F463" s="548"/>
      <c r="G463" s="548"/>
    </row>
    <row r="464" spans="3:7">
      <c r="C464" s="548"/>
      <c r="D464" s="548"/>
      <c r="E464" s="548"/>
      <c r="F464" s="548"/>
      <c r="G464" s="548"/>
    </row>
    <row r="465" spans="3:7">
      <c r="C465" s="548"/>
      <c r="D465" s="548"/>
      <c r="E465" s="548"/>
      <c r="F465" s="548"/>
      <c r="G465" s="548"/>
    </row>
    <row r="466" spans="3:7">
      <c r="C466" s="548"/>
      <c r="D466" s="548"/>
      <c r="E466" s="548"/>
      <c r="F466" s="548"/>
      <c r="G466" s="548"/>
    </row>
    <row r="467" spans="3:7">
      <c r="C467" s="548"/>
      <c r="D467" s="548"/>
      <c r="E467" s="548"/>
      <c r="F467" s="548"/>
      <c r="G467" s="548"/>
    </row>
    <row r="468" spans="3:7">
      <c r="C468" s="548"/>
      <c r="D468" s="548"/>
      <c r="E468" s="548"/>
      <c r="F468" s="548"/>
      <c r="G468" s="548"/>
    </row>
    <row r="469" spans="3:7">
      <c r="C469" s="548"/>
      <c r="D469" s="548"/>
      <c r="E469" s="548"/>
      <c r="F469" s="548"/>
      <c r="G469" s="548"/>
    </row>
    <row r="470" spans="3:7">
      <c r="C470" s="548"/>
      <c r="D470" s="548"/>
      <c r="E470" s="548"/>
      <c r="F470" s="548"/>
      <c r="G470" s="548"/>
    </row>
    <row r="471" spans="3:7">
      <c r="C471" s="548"/>
      <c r="D471" s="548"/>
      <c r="E471" s="548"/>
      <c r="F471" s="548"/>
      <c r="G471" s="548"/>
    </row>
    <row r="472" spans="3:7">
      <c r="C472" s="548"/>
      <c r="D472" s="548"/>
      <c r="E472" s="548"/>
      <c r="F472" s="548"/>
      <c r="G472" s="548"/>
    </row>
    <row r="473" spans="3:7">
      <c r="C473" s="548"/>
      <c r="D473" s="548"/>
      <c r="E473" s="548"/>
      <c r="F473" s="548"/>
      <c r="G473" s="548"/>
    </row>
    <row r="474" spans="3:7">
      <c r="C474" s="548"/>
      <c r="D474" s="548"/>
      <c r="E474" s="548"/>
      <c r="F474" s="548"/>
      <c r="G474" s="548"/>
    </row>
    <row r="475" spans="3:7">
      <c r="C475" s="548"/>
      <c r="D475" s="548"/>
      <c r="E475" s="548"/>
      <c r="F475" s="548"/>
      <c r="G475" s="548"/>
    </row>
    <row r="476" spans="3:7">
      <c r="C476" s="548"/>
      <c r="D476" s="548"/>
      <c r="E476" s="548"/>
      <c r="F476" s="548"/>
      <c r="G476" s="548"/>
    </row>
    <row r="477" spans="3:7">
      <c r="C477" s="548"/>
      <c r="D477" s="548"/>
      <c r="E477" s="548"/>
      <c r="F477" s="548"/>
      <c r="G477" s="548"/>
    </row>
    <row r="478" spans="3:7">
      <c r="C478" s="548"/>
      <c r="D478" s="548"/>
      <c r="E478" s="548"/>
      <c r="F478" s="548"/>
      <c r="G478" s="548"/>
    </row>
    <row r="479" spans="3:7">
      <c r="C479" s="548"/>
      <c r="D479" s="548"/>
      <c r="E479" s="548"/>
      <c r="F479" s="548"/>
      <c r="G479" s="548"/>
    </row>
    <row r="480" spans="3:7">
      <c r="C480" s="548"/>
      <c r="D480" s="548"/>
      <c r="E480" s="548"/>
      <c r="F480" s="548"/>
      <c r="G480" s="548"/>
    </row>
    <row r="481" spans="3:7">
      <c r="C481" s="548"/>
      <c r="D481" s="548"/>
      <c r="E481" s="548"/>
      <c r="F481" s="548"/>
      <c r="G481" s="548"/>
    </row>
    <row r="482" spans="3:7">
      <c r="C482" s="548"/>
      <c r="D482" s="548"/>
      <c r="E482" s="548"/>
      <c r="F482" s="548"/>
      <c r="G482" s="548"/>
    </row>
    <row r="483" spans="3:7">
      <c r="C483" s="548"/>
      <c r="D483" s="548"/>
      <c r="E483" s="548"/>
      <c r="F483" s="548"/>
      <c r="G483" s="548"/>
    </row>
    <row r="484" spans="3:7">
      <c r="C484" s="548"/>
      <c r="D484" s="548"/>
      <c r="E484" s="548"/>
      <c r="F484" s="548"/>
      <c r="G484" s="548"/>
    </row>
    <row r="485" spans="3:7">
      <c r="C485" s="548"/>
      <c r="D485" s="548"/>
      <c r="E485" s="548"/>
      <c r="F485" s="548"/>
      <c r="G485" s="548"/>
    </row>
    <row r="486" spans="3:7">
      <c r="C486" s="548"/>
      <c r="D486" s="548"/>
      <c r="E486" s="548"/>
      <c r="F486" s="548"/>
      <c r="G486" s="548"/>
    </row>
    <row r="487" spans="3:7">
      <c r="C487" s="548"/>
      <c r="D487" s="548"/>
      <c r="E487" s="548"/>
      <c r="F487" s="548"/>
      <c r="G487" s="548"/>
    </row>
    <row r="488" spans="3:7">
      <c r="C488" s="548"/>
      <c r="D488" s="548"/>
      <c r="E488" s="548"/>
      <c r="F488" s="548"/>
      <c r="G488" s="548"/>
    </row>
    <row r="489" spans="3:7">
      <c r="C489" s="548"/>
      <c r="D489" s="548"/>
      <c r="E489" s="548"/>
      <c r="F489" s="548"/>
      <c r="G489" s="548"/>
    </row>
    <row r="490" spans="3:7">
      <c r="C490" s="548"/>
      <c r="D490" s="548"/>
      <c r="E490" s="548"/>
      <c r="F490" s="548"/>
      <c r="G490" s="548"/>
    </row>
    <row r="491" spans="3:7">
      <c r="C491" s="548"/>
      <c r="D491" s="548"/>
      <c r="E491" s="548"/>
      <c r="F491" s="548"/>
      <c r="G491" s="548"/>
    </row>
    <row r="492" spans="3:7">
      <c r="C492" s="548"/>
      <c r="D492" s="548"/>
      <c r="E492" s="548"/>
      <c r="F492" s="548"/>
      <c r="G492" s="548"/>
    </row>
    <row r="493" spans="3:7">
      <c r="C493" s="548"/>
      <c r="D493" s="548"/>
      <c r="E493" s="548"/>
      <c r="F493" s="548"/>
      <c r="G493" s="548"/>
    </row>
    <row r="494" spans="3:7">
      <c r="C494" s="548"/>
      <c r="D494" s="548"/>
      <c r="E494" s="548"/>
      <c r="F494" s="548"/>
      <c r="G494" s="548"/>
    </row>
    <row r="495" spans="3:7">
      <c r="C495" s="548"/>
      <c r="D495" s="548"/>
      <c r="E495" s="548"/>
      <c r="F495" s="548"/>
      <c r="G495" s="548"/>
    </row>
    <row r="496" spans="3:7">
      <c r="C496" s="548"/>
      <c r="D496" s="548"/>
      <c r="E496" s="548"/>
      <c r="F496" s="548"/>
      <c r="G496" s="548"/>
    </row>
    <row r="497" spans="3:7">
      <c r="C497" s="548"/>
      <c r="D497" s="548"/>
      <c r="E497" s="548"/>
      <c r="F497" s="548"/>
      <c r="G497" s="548"/>
    </row>
    <row r="498" spans="3:7">
      <c r="C498" s="548"/>
      <c r="D498" s="548"/>
      <c r="E498" s="548"/>
      <c r="F498" s="548"/>
      <c r="G498" s="548"/>
    </row>
    <row r="499" spans="3:7">
      <c r="C499" s="548"/>
      <c r="D499" s="548"/>
      <c r="E499" s="548"/>
      <c r="F499" s="548"/>
      <c r="G499" s="548"/>
    </row>
    <row r="500" spans="3:7">
      <c r="C500" s="548"/>
      <c r="D500" s="548"/>
      <c r="E500" s="548"/>
      <c r="F500" s="548"/>
      <c r="G500" s="548"/>
    </row>
    <row r="501" spans="3:7">
      <c r="C501" s="548"/>
      <c r="D501" s="548"/>
      <c r="E501" s="548"/>
      <c r="F501" s="548"/>
      <c r="G501" s="548"/>
    </row>
    <row r="502" spans="3:7">
      <c r="C502" s="548"/>
      <c r="D502" s="548"/>
      <c r="E502" s="548"/>
      <c r="F502" s="548"/>
      <c r="G502" s="548"/>
    </row>
    <row r="503" spans="3:7">
      <c r="C503" s="548"/>
      <c r="D503" s="548"/>
      <c r="E503" s="548"/>
      <c r="F503" s="548"/>
      <c r="G503" s="548"/>
    </row>
    <row r="504" spans="3:7">
      <c r="C504" s="548"/>
      <c r="D504" s="548"/>
      <c r="E504" s="548"/>
      <c r="F504" s="548"/>
      <c r="G504" s="548"/>
    </row>
    <row r="505" spans="3:7">
      <c r="C505" s="548"/>
      <c r="D505" s="548"/>
      <c r="E505" s="548"/>
      <c r="F505" s="548"/>
      <c r="G505" s="548"/>
    </row>
    <row r="506" spans="3:7">
      <c r="C506" s="548"/>
      <c r="D506" s="548"/>
      <c r="E506" s="548"/>
      <c r="F506" s="548"/>
      <c r="G506" s="548"/>
    </row>
    <row r="507" spans="3:7">
      <c r="C507" s="548"/>
      <c r="D507" s="548"/>
      <c r="E507" s="548"/>
      <c r="F507" s="548"/>
      <c r="G507" s="548"/>
    </row>
    <row r="508" spans="3:7">
      <c r="C508" s="548"/>
      <c r="D508" s="548"/>
      <c r="E508" s="548"/>
      <c r="F508" s="548"/>
      <c r="G508" s="548"/>
    </row>
    <row r="509" spans="3:7">
      <c r="C509" s="548"/>
      <c r="D509" s="548"/>
      <c r="E509" s="548"/>
      <c r="F509" s="548"/>
      <c r="G509" s="548"/>
    </row>
    <row r="510" spans="3:7">
      <c r="C510" s="548"/>
      <c r="D510" s="548"/>
      <c r="E510" s="548"/>
      <c r="F510" s="548"/>
      <c r="G510" s="548"/>
    </row>
    <row r="511" spans="3:7">
      <c r="C511" s="548"/>
      <c r="D511" s="548"/>
      <c r="E511" s="548"/>
      <c r="F511" s="548"/>
      <c r="G511" s="548"/>
    </row>
    <row r="512" spans="3:7">
      <c r="C512" s="548"/>
      <c r="D512" s="548"/>
      <c r="E512" s="548"/>
      <c r="F512" s="548"/>
      <c r="G512" s="548"/>
    </row>
    <row r="513" spans="3:7">
      <c r="C513" s="548"/>
      <c r="D513" s="548"/>
      <c r="E513" s="548"/>
      <c r="F513" s="548"/>
      <c r="G513" s="548"/>
    </row>
    <row r="514" spans="3:7">
      <c r="C514" s="548"/>
      <c r="D514" s="548"/>
      <c r="E514" s="548"/>
      <c r="F514" s="548"/>
      <c r="G514" s="548"/>
    </row>
    <row r="515" spans="3:7">
      <c r="C515" s="548"/>
      <c r="D515" s="548"/>
      <c r="E515" s="548"/>
      <c r="F515" s="548"/>
      <c r="G515" s="548"/>
    </row>
    <row r="516" spans="3:7">
      <c r="C516" s="548"/>
      <c r="D516" s="548"/>
      <c r="E516" s="548"/>
      <c r="F516" s="548"/>
      <c r="G516" s="548"/>
    </row>
    <row r="517" spans="3:7">
      <c r="C517" s="548"/>
      <c r="D517" s="548"/>
      <c r="E517" s="548"/>
      <c r="F517" s="548"/>
      <c r="G517" s="548"/>
    </row>
    <row r="518" spans="3:7">
      <c r="C518" s="548"/>
      <c r="D518" s="548"/>
      <c r="E518" s="548"/>
      <c r="F518" s="548"/>
      <c r="G518" s="548"/>
    </row>
    <row r="519" spans="3:7">
      <c r="C519" s="548"/>
      <c r="D519" s="548"/>
      <c r="E519" s="548"/>
      <c r="F519" s="548"/>
      <c r="G519" s="548"/>
    </row>
    <row r="520" spans="3:7">
      <c r="C520" s="548"/>
      <c r="D520" s="548"/>
      <c r="E520" s="548"/>
      <c r="F520" s="548"/>
      <c r="G520" s="548"/>
    </row>
    <row r="521" spans="3:7">
      <c r="C521" s="548"/>
      <c r="D521" s="548"/>
      <c r="E521" s="548"/>
      <c r="F521" s="548"/>
      <c r="G521" s="548"/>
    </row>
    <row r="522" spans="3:7">
      <c r="C522" s="548"/>
      <c r="D522" s="548"/>
      <c r="E522" s="548"/>
      <c r="F522" s="548"/>
      <c r="G522" s="548"/>
    </row>
    <row r="523" spans="3:7">
      <c r="C523" s="548"/>
      <c r="D523" s="548"/>
      <c r="E523" s="548"/>
      <c r="F523" s="548"/>
      <c r="G523" s="548"/>
    </row>
    <row r="524" spans="3:7">
      <c r="C524" s="548"/>
      <c r="D524" s="548"/>
      <c r="E524" s="548"/>
      <c r="F524" s="548"/>
      <c r="G524" s="548"/>
    </row>
    <row r="525" spans="3:7">
      <c r="C525" s="548"/>
      <c r="D525" s="548"/>
      <c r="E525" s="548"/>
      <c r="F525" s="548"/>
      <c r="G525" s="548"/>
    </row>
    <row r="526" spans="3:7">
      <c r="C526" s="548"/>
      <c r="D526" s="548"/>
      <c r="E526" s="548"/>
      <c r="F526" s="548"/>
      <c r="G526" s="548"/>
    </row>
    <row r="527" spans="3:7">
      <c r="C527" s="548"/>
      <c r="D527" s="548"/>
      <c r="E527" s="548"/>
      <c r="F527" s="548"/>
      <c r="G527" s="548"/>
    </row>
    <row r="528" spans="3:7">
      <c r="C528" s="548"/>
      <c r="D528" s="548"/>
      <c r="E528" s="548"/>
      <c r="F528" s="548"/>
      <c r="G528" s="548"/>
    </row>
    <row r="529" spans="3:7">
      <c r="C529" s="548"/>
      <c r="D529" s="548"/>
      <c r="E529" s="548"/>
      <c r="F529" s="548"/>
      <c r="G529" s="548"/>
    </row>
    <row r="530" spans="3:7">
      <c r="C530" s="548"/>
      <c r="D530" s="548"/>
      <c r="E530" s="548"/>
      <c r="F530" s="548"/>
      <c r="G530" s="548"/>
    </row>
    <row r="531" spans="3:7">
      <c r="C531" s="548"/>
      <c r="D531" s="548"/>
      <c r="E531" s="548"/>
      <c r="F531" s="548"/>
      <c r="G531" s="548"/>
    </row>
    <row r="532" spans="3:7">
      <c r="C532" s="548"/>
      <c r="D532" s="548"/>
      <c r="E532" s="548"/>
      <c r="F532" s="548"/>
      <c r="G532" s="548"/>
    </row>
    <row r="533" spans="3:7">
      <c r="C533" s="548"/>
      <c r="D533" s="548"/>
      <c r="E533" s="548"/>
      <c r="F533" s="548"/>
      <c r="G533" s="548"/>
    </row>
    <row r="534" spans="3:7">
      <c r="C534" s="548"/>
      <c r="D534" s="548"/>
      <c r="E534" s="548"/>
      <c r="F534" s="548"/>
      <c r="G534" s="548"/>
    </row>
    <row r="535" spans="3:7">
      <c r="C535" s="548"/>
      <c r="D535" s="548"/>
      <c r="E535" s="548"/>
      <c r="F535" s="548"/>
      <c r="G535" s="548"/>
    </row>
    <row r="536" spans="3:7">
      <c r="C536" s="548"/>
      <c r="D536" s="548"/>
      <c r="E536" s="548"/>
      <c r="F536" s="548"/>
      <c r="G536" s="548"/>
    </row>
    <row r="537" spans="3:7">
      <c r="C537" s="548"/>
      <c r="D537" s="548"/>
      <c r="E537" s="548"/>
      <c r="F537" s="548"/>
      <c r="G537" s="548"/>
    </row>
    <row r="538" spans="3:7">
      <c r="C538" s="548"/>
      <c r="D538" s="548"/>
      <c r="E538" s="548"/>
      <c r="F538" s="548"/>
      <c r="G538" s="548"/>
    </row>
    <row r="539" spans="3:7">
      <c r="C539" s="548"/>
      <c r="D539" s="548"/>
      <c r="E539" s="548"/>
      <c r="F539" s="548"/>
      <c r="G539" s="548"/>
    </row>
    <row r="540" spans="3:7">
      <c r="C540" s="548"/>
      <c r="D540" s="548"/>
      <c r="E540" s="548"/>
      <c r="F540" s="548"/>
      <c r="G540" s="548"/>
    </row>
    <row r="541" spans="3:7">
      <c r="C541" s="548"/>
      <c r="D541" s="548"/>
      <c r="E541" s="548"/>
      <c r="F541" s="548"/>
      <c r="G541" s="548"/>
    </row>
    <row r="542" spans="3:7">
      <c r="C542" s="548"/>
      <c r="D542" s="548"/>
      <c r="E542" s="548"/>
      <c r="F542" s="548"/>
      <c r="G542" s="548"/>
    </row>
    <row r="543" spans="3:7">
      <c r="C543" s="548"/>
      <c r="D543" s="548"/>
      <c r="E543" s="548"/>
      <c r="F543" s="548"/>
      <c r="G543" s="548"/>
    </row>
    <row r="544" spans="3:7">
      <c r="C544" s="548"/>
      <c r="D544" s="548"/>
      <c r="E544" s="548"/>
      <c r="F544" s="548"/>
      <c r="G544" s="548"/>
    </row>
    <row r="545" spans="3:7">
      <c r="C545" s="548"/>
      <c r="D545" s="548"/>
      <c r="E545" s="548"/>
      <c r="F545" s="548"/>
      <c r="G545" s="548"/>
    </row>
    <row r="546" spans="3:7">
      <c r="C546" s="548"/>
      <c r="D546" s="548"/>
      <c r="E546" s="548"/>
      <c r="F546" s="548"/>
      <c r="G546" s="548"/>
    </row>
    <row r="547" spans="3:7">
      <c r="C547" s="548"/>
      <c r="D547" s="548"/>
      <c r="E547" s="548"/>
      <c r="F547" s="548"/>
      <c r="G547" s="548"/>
    </row>
    <row r="548" spans="3:7">
      <c r="C548" s="548"/>
      <c r="D548" s="548"/>
      <c r="E548" s="548"/>
      <c r="F548" s="548"/>
      <c r="G548" s="548"/>
    </row>
    <row r="549" spans="3:7">
      <c r="C549" s="548"/>
      <c r="D549" s="548"/>
      <c r="E549" s="548"/>
      <c r="F549" s="548"/>
      <c r="G549" s="548"/>
    </row>
    <row r="550" spans="3:7">
      <c r="C550" s="548"/>
      <c r="D550" s="548"/>
      <c r="E550" s="548"/>
      <c r="F550" s="548"/>
      <c r="G550" s="548"/>
    </row>
    <row r="551" spans="3:7">
      <c r="C551" s="548"/>
      <c r="D551" s="548"/>
      <c r="E551" s="548"/>
      <c r="F551" s="548"/>
      <c r="G551" s="548"/>
    </row>
    <row r="552" spans="3:7">
      <c r="C552" s="548"/>
      <c r="D552" s="548"/>
      <c r="E552" s="548"/>
      <c r="F552" s="548"/>
      <c r="G552" s="548"/>
    </row>
    <row r="553" spans="3:7">
      <c r="C553" s="548"/>
      <c r="D553" s="548"/>
      <c r="E553" s="548"/>
      <c r="F553" s="548"/>
      <c r="G553" s="548"/>
    </row>
    <row r="554" spans="3:7">
      <c r="C554" s="548"/>
      <c r="D554" s="548"/>
      <c r="E554" s="548"/>
      <c r="F554" s="548"/>
      <c r="G554" s="548"/>
    </row>
    <row r="555" spans="3:7">
      <c r="C555" s="548"/>
      <c r="D555" s="548"/>
      <c r="E555" s="548"/>
      <c r="F555" s="548"/>
      <c r="G555" s="548"/>
    </row>
    <row r="556" spans="3:7">
      <c r="C556" s="548"/>
      <c r="D556" s="548"/>
      <c r="E556" s="548"/>
      <c r="F556" s="548"/>
      <c r="G556" s="548"/>
    </row>
    <row r="557" spans="3:7">
      <c r="C557" s="548"/>
      <c r="D557" s="548"/>
      <c r="E557" s="548"/>
      <c r="F557" s="548"/>
      <c r="G557" s="548"/>
    </row>
    <row r="558" spans="3:7">
      <c r="C558" s="548"/>
      <c r="D558" s="548"/>
      <c r="E558" s="548"/>
      <c r="F558" s="548"/>
      <c r="G558" s="548"/>
    </row>
    <row r="559" spans="3:7">
      <c r="C559" s="548"/>
      <c r="D559" s="548"/>
      <c r="E559" s="548"/>
      <c r="F559" s="548"/>
      <c r="G559" s="548"/>
    </row>
    <row r="560" spans="3:7">
      <c r="C560" s="548"/>
      <c r="D560" s="548"/>
      <c r="E560" s="548"/>
      <c r="F560" s="548"/>
      <c r="G560" s="548"/>
    </row>
    <row r="561" spans="3:7">
      <c r="C561" s="548"/>
      <c r="D561" s="548"/>
      <c r="E561" s="548"/>
      <c r="F561" s="548"/>
      <c r="G561" s="548"/>
    </row>
    <row r="562" spans="3:7">
      <c r="C562" s="548"/>
      <c r="D562" s="548"/>
      <c r="E562" s="548"/>
      <c r="F562" s="548"/>
      <c r="G562" s="548"/>
    </row>
    <row r="563" spans="3:7">
      <c r="C563" s="548"/>
      <c r="D563" s="548"/>
      <c r="E563" s="548"/>
      <c r="F563" s="548"/>
      <c r="G563" s="548"/>
    </row>
    <row r="564" spans="3:7">
      <c r="C564" s="548"/>
      <c r="D564" s="548"/>
      <c r="E564" s="548"/>
      <c r="F564" s="548"/>
      <c r="G564" s="548"/>
    </row>
    <row r="565" spans="3:7">
      <c r="C565" s="548"/>
      <c r="D565" s="548"/>
      <c r="E565" s="548"/>
      <c r="F565" s="548"/>
      <c r="G565" s="548"/>
    </row>
    <row r="566" spans="3:7">
      <c r="C566" s="548"/>
      <c r="D566" s="548"/>
      <c r="E566" s="548"/>
      <c r="F566" s="548"/>
      <c r="G566" s="548"/>
    </row>
    <row r="567" spans="3:7">
      <c r="C567" s="548"/>
      <c r="D567" s="548"/>
      <c r="E567" s="548"/>
      <c r="F567" s="548"/>
      <c r="G567" s="548"/>
    </row>
    <row r="568" spans="3:7">
      <c r="C568" s="548"/>
      <c r="D568" s="548"/>
      <c r="E568" s="548"/>
      <c r="F568" s="548"/>
      <c r="G568" s="548"/>
    </row>
    <row r="569" spans="3:7">
      <c r="C569" s="548"/>
      <c r="D569" s="548"/>
      <c r="E569" s="548"/>
      <c r="F569" s="548"/>
      <c r="G569" s="548"/>
    </row>
    <row r="570" spans="3:7">
      <c r="C570" s="548"/>
      <c r="D570" s="548"/>
      <c r="E570" s="548"/>
      <c r="F570" s="548"/>
      <c r="G570" s="548"/>
    </row>
    <row r="571" spans="3:7">
      <c r="C571" s="548"/>
      <c r="D571" s="548"/>
      <c r="E571" s="548"/>
      <c r="F571" s="548"/>
      <c r="G571" s="548"/>
    </row>
    <row r="572" spans="3:7">
      <c r="C572" s="548"/>
      <c r="D572" s="548"/>
      <c r="E572" s="548"/>
      <c r="F572" s="548"/>
      <c r="G572" s="548"/>
    </row>
    <row r="573" spans="3:7">
      <c r="C573" s="548"/>
      <c r="D573" s="548"/>
      <c r="E573" s="548"/>
      <c r="F573" s="548"/>
      <c r="G573" s="548"/>
    </row>
    <row r="574" spans="3:7">
      <c r="C574" s="548"/>
      <c r="D574" s="548"/>
      <c r="E574" s="548"/>
      <c r="F574" s="548"/>
      <c r="G574" s="548"/>
    </row>
    <row r="575" spans="3:7">
      <c r="C575" s="548"/>
      <c r="D575" s="548"/>
      <c r="E575" s="548"/>
      <c r="F575" s="548"/>
      <c r="G575" s="548"/>
    </row>
    <row r="576" spans="3:7">
      <c r="C576" s="548"/>
      <c r="D576" s="548"/>
      <c r="E576" s="548"/>
      <c r="F576" s="548"/>
      <c r="G576" s="548"/>
    </row>
    <row r="577" spans="3:7">
      <c r="C577" s="548"/>
      <c r="D577" s="548"/>
      <c r="E577" s="548"/>
      <c r="F577" s="548"/>
      <c r="G577" s="548"/>
    </row>
    <row r="578" spans="3:7">
      <c r="C578" s="548"/>
      <c r="D578" s="548"/>
      <c r="E578" s="548"/>
      <c r="F578" s="548"/>
      <c r="G578" s="548"/>
    </row>
    <row r="579" spans="3:7">
      <c r="C579" s="548"/>
      <c r="D579" s="548"/>
      <c r="E579" s="548"/>
      <c r="F579" s="548"/>
      <c r="G579" s="548"/>
    </row>
    <row r="580" spans="3:7">
      <c r="C580" s="548"/>
      <c r="D580" s="548"/>
      <c r="E580" s="548"/>
      <c r="F580" s="548"/>
      <c r="G580" s="548"/>
    </row>
    <row r="581" spans="3:7">
      <c r="C581" s="548"/>
      <c r="D581" s="548"/>
      <c r="E581" s="548"/>
      <c r="F581" s="548"/>
      <c r="G581" s="548"/>
    </row>
    <row r="582" spans="3:7">
      <c r="C582" s="548"/>
      <c r="D582" s="548"/>
      <c r="E582" s="548"/>
      <c r="F582" s="548"/>
      <c r="G582" s="548"/>
    </row>
    <row r="583" spans="3:7">
      <c r="C583" s="548"/>
      <c r="D583" s="548"/>
      <c r="E583" s="548"/>
      <c r="F583" s="548"/>
      <c r="G583" s="548"/>
    </row>
    <row r="584" spans="3:7">
      <c r="C584" s="548"/>
      <c r="D584" s="548"/>
      <c r="E584" s="548"/>
      <c r="F584" s="548"/>
      <c r="G584" s="548"/>
    </row>
    <row r="585" spans="3:7">
      <c r="C585" s="548"/>
      <c r="D585" s="548"/>
      <c r="E585" s="548"/>
      <c r="F585" s="548"/>
      <c r="G585" s="548"/>
    </row>
    <row r="586" spans="3:7">
      <c r="C586" s="548"/>
      <c r="D586" s="548"/>
      <c r="E586" s="548"/>
      <c r="F586" s="548"/>
      <c r="G586" s="548"/>
    </row>
    <row r="587" spans="3:7">
      <c r="C587" s="548"/>
      <c r="D587" s="548"/>
      <c r="E587" s="548"/>
      <c r="F587" s="548"/>
      <c r="G587" s="548"/>
    </row>
    <row r="588" spans="3:7">
      <c r="C588" s="548"/>
      <c r="D588" s="548"/>
      <c r="E588" s="548"/>
      <c r="F588" s="548"/>
      <c r="G588" s="548"/>
    </row>
    <row r="589" spans="3:7">
      <c r="C589" s="548"/>
      <c r="D589" s="548"/>
      <c r="E589" s="548"/>
      <c r="F589" s="548"/>
      <c r="G589" s="548"/>
    </row>
    <row r="590" spans="3:7">
      <c r="C590" s="548"/>
      <c r="D590" s="548"/>
      <c r="E590" s="548"/>
      <c r="F590" s="548"/>
      <c r="G590" s="548"/>
    </row>
    <row r="591" spans="3:7">
      <c r="C591" s="548"/>
      <c r="D591" s="548"/>
      <c r="E591" s="548"/>
      <c r="F591" s="548"/>
      <c r="G591" s="548"/>
    </row>
    <row r="592" spans="3:7">
      <c r="C592" s="548"/>
      <c r="D592" s="548"/>
      <c r="E592" s="548"/>
      <c r="F592" s="548"/>
      <c r="G592" s="548"/>
    </row>
    <row r="593" spans="3:7">
      <c r="C593" s="548"/>
      <c r="D593" s="548"/>
      <c r="E593" s="548"/>
      <c r="F593" s="548"/>
      <c r="G593" s="548"/>
    </row>
    <row r="594" spans="3:7">
      <c r="C594" s="548"/>
      <c r="D594" s="548"/>
      <c r="E594" s="548"/>
      <c r="F594" s="548"/>
      <c r="G594" s="548"/>
    </row>
    <row r="595" spans="3:7">
      <c r="C595" s="548"/>
      <c r="D595" s="548"/>
      <c r="E595" s="548"/>
      <c r="F595" s="548"/>
      <c r="G595" s="548"/>
    </row>
    <row r="596" spans="3:7">
      <c r="C596" s="548"/>
      <c r="D596" s="548"/>
      <c r="E596" s="548"/>
      <c r="F596" s="548"/>
      <c r="G596" s="548"/>
    </row>
    <row r="597" spans="3:7">
      <c r="C597" s="548"/>
      <c r="D597" s="548"/>
      <c r="E597" s="548"/>
      <c r="F597" s="548"/>
      <c r="G597" s="548"/>
    </row>
    <row r="598" spans="3:7">
      <c r="C598" s="548"/>
      <c r="D598" s="548"/>
      <c r="E598" s="548"/>
      <c r="F598" s="548"/>
      <c r="G598" s="548"/>
    </row>
    <row r="599" spans="3:7">
      <c r="C599" s="548"/>
      <c r="D599" s="548"/>
      <c r="E599" s="548"/>
      <c r="F599" s="548"/>
      <c r="G599" s="548"/>
    </row>
    <row r="600" spans="3:7">
      <c r="C600" s="548"/>
      <c r="D600" s="548"/>
      <c r="E600" s="548"/>
      <c r="F600" s="548"/>
      <c r="G600" s="548"/>
    </row>
    <row r="601" spans="3:7">
      <c r="C601" s="548"/>
      <c r="D601" s="548"/>
      <c r="E601" s="548"/>
      <c r="F601" s="548"/>
      <c r="G601" s="548"/>
    </row>
    <row r="602" spans="3:7">
      <c r="C602" s="548"/>
      <c r="D602" s="548"/>
      <c r="E602" s="548"/>
      <c r="F602" s="548"/>
      <c r="G602" s="548"/>
    </row>
    <row r="603" spans="3:7">
      <c r="C603" s="548"/>
      <c r="D603" s="548"/>
      <c r="E603" s="548"/>
      <c r="F603" s="548"/>
      <c r="G603" s="548"/>
    </row>
    <row r="604" spans="3:7">
      <c r="C604" s="548"/>
      <c r="D604" s="548"/>
      <c r="E604" s="548"/>
      <c r="F604" s="548"/>
      <c r="G604" s="548"/>
    </row>
    <row r="605" spans="3:7">
      <c r="C605" s="548"/>
      <c r="D605" s="548"/>
      <c r="E605" s="548"/>
      <c r="F605" s="548"/>
      <c r="G605" s="548"/>
    </row>
    <row r="606" spans="3:7">
      <c r="C606" s="548"/>
      <c r="D606" s="548"/>
      <c r="E606" s="548"/>
      <c r="F606" s="548"/>
      <c r="G606" s="548"/>
    </row>
    <row r="607" spans="3:7">
      <c r="C607" s="548"/>
      <c r="D607" s="548"/>
      <c r="E607" s="548"/>
      <c r="F607" s="548"/>
      <c r="G607" s="548"/>
    </row>
    <row r="608" spans="3:7">
      <c r="C608" s="548"/>
      <c r="D608" s="548"/>
      <c r="E608" s="548"/>
      <c r="F608" s="548"/>
      <c r="G608" s="548"/>
    </row>
    <row r="609" spans="3:7">
      <c r="C609" s="548"/>
      <c r="D609" s="548"/>
      <c r="E609" s="548"/>
      <c r="F609" s="548"/>
      <c r="G609" s="548"/>
    </row>
    <row r="610" spans="3:7">
      <c r="C610" s="548"/>
      <c r="D610" s="548"/>
      <c r="E610" s="548"/>
      <c r="F610" s="548"/>
      <c r="G610" s="548"/>
    </row>
    <row r="611" spans="3:7">
      <c r="C611" s="548"/>
      <c r="D611" s="548"/>
      <c r="E611" s="548"/>
      <c r="F611" s="548"/>
      <c r="G611" s="548"/>
    </row>
    <row r="612" spans="3:7">
      <c r="C612" s="548"/>
      <c r="D612" s="548"/>
      <c r="E612" s="548"/>
      <c r="F612" s="548"/>
      <c r="G612" s="548"/>
    </row>
    <row r="613" spans="3:7">
      <c r="C613" s="548"/>
      <c r="D613" s="548"/>
      <c r="E613" s="548"/>
      <c r="F613" s="548"/>
      <c r="G613" s="548"/>
    </row>
    <row r="614" spans="3:7">
      <c r="C614" s="548"/>
      <c r="D614" s="548"/>
      <c r="E614" s="548"/>
      <c r="F614" s="548"/>
      <c r="G614" s="548"/>
    </row>
    <row r="615" spans="3:7">
      <c r="C615" s="548"/>
      <c r="D615" s="548"/>
      <c r="E615" s="548"/>
      <c r="F615" s="548"/>
      <c r="G615" s="548"/>
    </row>
    <row r="616" spans="3:7">
      <c r="C616" s="548"/>
      <c r="D616" s="548"/>
      <c r="E616" s="548"/>
      <c r="F616" s="548"/>
      <c r="G616" s="548"/>
    </row>
    <row r="617" spans="3:7">
      <c r="C617" s="548"/>
      <c r="D617" s="548"/>
      <c r="E617" s="548"/>
      <c r="F617" s="548"/>
      <c r="G617" s="548"/>
    </row>
    <row r="618" spans="3:7">
      <c r="C618" s="548"/>
      <c r="D618" s="548"/>
      <c r="E618" s="548"/>
      <c r="F618" s="548"/>
      <c r="G618" s="548"/>
    </row>
    <row r="619" spans="3:7">
      <c r="C619" s="548"/>
      <c r="D619" s="548"/>
      <c r="E619" s="548"/>
      <c r="F619" s="548"/>
      <c r="G619" s="548"/>
    </row>
    <row r="620" spans="3:7">
      <c r="C620" s="548"/>
      <c r="D620" s="548"/>
      <c r="E620" s="548"/>
      <c r="F620" s="548"/>
      <c r="G620" s="548"/>
    </row>
    <row r="621" spans="3:7">
      <c r="C621" s="548"/>
      <c r="D621" s="548"/>
      <c r="E621" s="548"/>
      <c r="F621" s="548"/>
      <c r="G621" s="548"/>
    </row>
    <row r="622" spans="3:7">
      <c r="C622" s="548"/>
      <c r="D622" s="548"/>
      <c r="E622" s="548"/>
      <c r="F622" s="548"/>
      <c r="G622" s="548"/>
    </row>
    <row r="623" spans="3:7">
      <c r="C623" s="548"/>
      <c r="D623" s="548"/>
      <c r="E623" s="548"/>
      <c r="F623" s="548"/>
      <c r="G623" s="548"/>
    </row>
    <row r="624" spans="3:7">
      <c r="C624" s="548"/>
      <c r="D624" s="548"/>
      <c r="E624" s="548"/>
      <c r="F624" s="548"/>
      <c r="G624" s="548"/>
    </row>
    <row r="625" spans="3:7">
      <c r="C625" s="548"/>
      <c r="D625" s="548"/>
      <c r="E625" s="548"/>
      <c r="F625" s="548"/>
      <c r="G625" s="548"/>
    </row>
    <row r="626" spans="3:7">
      <c r="C626" s="548"/>
      <c r="D626" s="548"/>
      <c r="E626" s="548"/>
      <c r="F626" s="548"/>
      <c r="G626" s="548"/>
    </row>
    <row r="627" spans="3:7">
      <c r="C627" s="548"/>
      <c r="D627" s="548"/>
      <c r="E627" s="548"/>
      <c r="F627" s="548"/>
      <c r="G627" s="548"/>
    </row>
    <row r="628" spans="3:7">
      <c r="C628" s="548"/>
      <c r="D628" s="548"/>
      <c r="E628" s="548"/>
      <c r="F628" s="548"/>
      <c r="G628" s="548"/>
    </row>
    <row r="629" spans="3:7">
      <c r="C629" s="548"/>
      <c r="D629" s="548"/>
      <c r="E629" s="548"/>
      <c r="F629" s="548"/>
      <c r="G629" s="548"/>
    </row>
    <row r="630" spans="3:7">
      <c r="C630" s="548"/>
      <c r="D630" s="548"/>
      <c r="E630" s="548"/>
      <c r="F630" s="548"/>
      <c r="G630" s="548"/>
    </row>
    <row r="631" spans="3:7">
      <c r="C631" s="548"/>
      <c r="D631" s="548"/>
      <c r="E631" s="548"/>
      <c r="F631" s="548"/>
      <c r="G631" s="548"/>
    </row>
    <row r="632" spans="3:7">
      <c r="C632" s="548"/>
      <c r="D632" s="548"/>
      <c r="E632" s="548"/>
      <c r="F632" s="548"/>
      <c r="G632" s="548"/>
    </row>
    <row r="633" spans="3:7">
      <c r="C633" s="548"/>
      <c r="D633" s="548"/>
      <c r="E633" s="548"/>
      <c r="F633" s="548"/>
      <c r="G633" s="548"/>
    </row>
    <row r="634" spans="3:7">
      <c r="C634" s="548"/>
      <c r="D634" s="548"/>
      <c r="E634" s="548"/>
      <c r="F634" s="548"/>
      <c r="G634" s="548"/>
    </row>
    <row r="635" spans="3:7">
      <c r="C635" s="548"/>
      <c r="D635" s="548"/>
      <c r="E635" s="548"/>
      <c r="F635" s="548"/>
      <c r="G635" s="548"/>
    </row>
    <row r="636" spans="3:7">
      <c r="C636" s="548"/>
      <c r="D636" s="548"/>
      <c r="E636" s="548"/>
      <c r="F636" s="548"/>
      <c r="G636" s="548"/>
    </row>
    <row r="637" spans="3:7">
      <c r="C637" s="548"/>
      <c r="D637" s="548"/>
      <c r="E637" s="548"/>
      <c r="F637" s="548"/>
      <c r="G637" s="548"/>
    </row>
    <row r="638" spans="3:7">
      <c r="C638" s="548"/>
      <c r="D638" s="548"/>
      <c r="E638" s="548"/>
      <c r="F638" s="548"/>
      <c r="G638" s="548"/>
    </row>
    <row r="639" spans="3:7">
      <c r="C639" s="548"/>
      <c r="D639" s="548"/>
      <c r="E639" s="548"/>
      <c r="F639" s="548"/>
      <c r="G639" s="548"/>
    </row>
    <row r="640" spans="3:7">
      <c r="C640" s="548"/>
      <c r="D640" s="548"/>
      <c r="E640" s="548"/>
      <c r="F640" s="548"/>
      <c r="G640" s="548"/>
    </row>
    <row r="641" spans="3:7">
      <c r="C641" s="548"/>
      <c r="D641" s="548"/>
      <c r="E641" s="548"/>
      <c r="F641" s="548"/>
      <c r="G641" s="548"/>
    </row>
    <row r="642" spans="3:7">
      <c r="C642" s="548"/>
      <c r="D642" s="548"/>
      <c r="E642" s="548"/>
      <c r="F642" s="548"/>
      <c r="G642" s="548"/>
    </row>
    <row r="643" spans="3:7">
      <c r="C643" s="548"/>
      <c r="D643" s="548"/>
      <c r="E643" s="548"/>
      <c r="F643" s="548"/>
      <c r="G643" s="548"/>
    </row>
    <row r="644" spans="3:7">
      <c r="C644" s="548"/>
      <c r="D644" s="548"/>
      <c r="E644" s="548"/>
      <c r="F644" s="548"/>
      <c r="G644" s="548"/>
    </row>
    <row r="645" spans="3:7">
      <c r="C645" s="548"/>
      <c r="D645" s="548"/>
      <c r="E645" s="548"/>
      <c r="F645" s="548"/>
      <c r="G645" s="548"/>
    </row>
    <row r="646" spans="3:7">
      <c r="C646" s="548"/>
      <c r="D646" s="548"/>
      <c r="E646" s="548"/>
      <c r="F646" s="548"/>
      <c r="G646" s="548"/>
    </row>
    <row r="647" spans="3:7">
      <c r="C647" s="548"/>
      <c r="D647" s="548"/>
      <c r="E647" s="548"/>
      <c r="F647" s="548"/>
      <c r="G647" s="548"/>
    </row>
    <row r="648" spans="3:7">
      <c r="C648" s="548"/>
      <c r="D648" s="548"/>
      <c r="E648" s="548"/>
      <c r="F648" s="548"/>
      <c r="G648" s="548"/>
    </row>
    <row r="649" spans="3:7">
      <c r="C649" s="548"/>
      <c r="D649" s="548"/>
      <c r="E649" s="548"/>
      <c r="F649" s="548"/>
      <c r="G649" s="548"/>
    </row>
    <row r="650" spans="3:7">
      <c r="C650" s="548"/>
      <c r="D650" s="548"/>
      <c r="E650" s="548"/>
      <c r="F650" s="548"/>
      <c r="G650" s="548"/>
    </row>
    <row r="651" spans="3:7">
      <c r="C651" s="548"/>
      <c r="D651" s="548"/>
      <c r="E651" s="548"/>
      <c r="F651" s="548"/>
      <c r="G651" s="548"/>
    </row>
    <row r="652" spans="3:7">
      <c r="C652" s="548"/>
      <c r="D652" s="548"/>
      <c r="E652" s="548"/>
      <c r="F652" s="548"/>
      <c r="G652" s="548"/>
    </row>
    <row r="653" spans="3:7">
      <c r="C653" s="548"/>
      <c r="D653" s="548"/>
      <c r="E653" s="548"/>
      <c r="F653" s="548"/>
      <c r="G653" s="548"/>
    </row>
    <row r="654" spans="3:7">
      <c r="C654" s="548"/>
      <c r="D654" s="548"/>
      <c r="E654" s="548"/>
      <c r="F654" s="548"/>
      <c r="G654" s="548"/>
    </row>
    <row r="655" spans="3:7">
      <c r="C655" s="548"/>
      <c r="D655" s="548"/>
      <c r="E655" s="548"/>
      <c r="F655" s="548"/>
      <c r="G655" s="548"/>
    </row>
    <row r="656" spans="3:7">
      <c r="C656" s="548"/>
      <c r="D656" s="548"/>
      <c r="E656" s="548"/>
      <c r="F656" s="548"/>
      <c r="G656" s="548"/>
    </row>
    <row r="657" spans="3:7">
      <c r="C657" s="548"/>
      <c r="D657" s="548"/>
      <c r="E657" s="548"/>
      <c r="F657" s="548"/>
      <c r="G657" s="548"/>
    </row>
    <row r="658" spans="3:7">
      <c r="C658" s="548"/>
      <c r="D658" s="548"/>
      <c r="E658" s="548"/>
      <c r="F658" s="548"/>
      <c r="G658" s="548"/>
    </row>
    <row r="659" spans="3:7">
      <c r="C659" s="548"/>
      <c r="D659" s="548"/>
      <c r="E659" s="548"/>
      <c r="F659" s="548"/>
      <c r="G659" s="548"/>
    </row>
    <row r="660" spans="3:7">
      <c r="C660" s="548"/>
      <c r="D660" s="548"/>
      <c r="E660" s="548"/>
      <c r="F660" s="548"/>
      <c r="G660" s="548"/>
    </row>
    <row r="661" spans="3:7">
      <c r="C661" s="548"/>
      <c r="D661" s="548"/>
      <c r="E661" s="548"/>
      <c r="F661" s="548"/>
      <c r="G661" s="548"/>
    </row>
    <row r="662" spans="3:7">
      <c r="C662" s="548"/>
      <c r="D662" s="548"/>
      <c r="E662" s="548"/>
      <c r="F662" s="548"/>
      <c r="G662" s="548"/>
    </row>
    <row r="663" spans="3:7">
      <c r="C663" s="548"/>
      <c r="D663" s="548"/>
      <c r="E663" s="548"/>
      <c r="F663" s="548"/>
      <c r="G663" s="548"/>
    </row>
    <row r="664" spans="3:7">
      <c r="C664" s="548"/>
      <c r="D664" s="548"/>
      <c r="E664" s="548"/>
      <c r="F664" s="548"/>
      <c r="G664" s="548"/>
    </row>
    <row r="665" spans="3:7">
      <c r="C665" s="548"/>
      <c r="D665" s="548"/>
      <c r="E665" s="548"/>
      <c r="F665" s="548"/>
      <c r="G665" s="548"/>
    </row>
    <row r="666" spans="3:7">
      <c r="C666" s="548"/>
      <c r="D666" s="548"/>
      <c r="E666" s="548"/>
      <c r="F666" s="548"/>
      <c r="G666" s="548"/>
    </row>
    <row r="667" spans="3:7">
      <c r="C667" s="548"/>
      <c r="D667" s="548"/>
      <c r="E667" s="548"/>
      <c r="F667" s="548"/>
      <c r="G667" s="548"/>
    </row>
    <row r="668" spans="3:7">
      <c r="C668" s="548"/>
      <c r="D668" s="548"/>
      <c r="E668" s="548"/>
      <c r="F668" s="548"/>
      <c r="G668" s="548"/>
    </row>
    <row r="669" spans="3:7">
      <c r="C669" s="548"/>
      <c r="D669" s="548"/>
      <c r="E669" s="548"/>
      <c r="F669" s="548"/>
      <c r="G669" s="548"/>
    </row>
    <row r="670" spans="3:7">
      <c r="C670" s="548"/>
      <c r="D670" s="548"/>
      <c r="E670" s="548"/>
      <c r="F670" s="548"/>
      <c r="G670" s="548"/>
    </row>
    <row r="671" spans="3:7">
      <c r="C671" s="548"/>
      <c r="D671" s="548"/>
      <c r="E671" s="548"/>
      <c r="F671" s="548"/>
      <c r="G671" s="548"/>
    </row>
    <row r="672" spans="3:7">
      <c r="C672" s="548"/>
      <c r="D672" s="548"/>
      <c r="E672" s="548"/>
      <c r="F672" s="548"/>
      <c r="G672" s="548"/>
    </row>
    <row r="673" spans="3:7">
      <c r="C673" s="548"/>
      <c r="D673" s="548"/>
      <c r="E673" s="548"/>
      <c r="F673" s="548"/>
      <c r="G673" s="548"/>
    </row>
    <row r="674" spans="3:7">
      <c r="C674" s="548"/>
      <c r="D674" s="548"/>
      <c r="E674" s="548"/>
      <c r="F674" s="548"/>
      <c r="G674" s="548"/>
    </row>
    <row r="675" spans="3:7">
      <c r="C675" s="548"/>
      <c r="D675" s="548"/>
      <c r="E675" s="548"/>
      <c r="F675" s="548"/>
      <c r="G675" s="548"/>
    </row>
    <row r="676" spans="3:7">
      <c r="C676" s="548"/>
      <c r="D676" s="548"/>
      <c r="E676" s="548"/>
      <c r="F676" s="548"/>
      <c r="G676" s="548"/>
    </row>
    <row r="677" spans="3:7">
      <c r="C677" s="548"/>
      <c r="D677" s="548"/>
      <c r="E677" s="548"/>
      <c r="F677" s="548"/>
      <c r="G677" s="548"/>
    </row>
    <row r="678" spans="3:7">
      <c r="C678" s="548"/>
      <c r="D678" s="548"/>
      <c r="E678" s="548"/>
      <c r="F678" s="548"/>
      <c r="G678" s="548"/>
    </row>
    <row r="679" spans="3:7">
      <c r="C679" s="548"/>
      <c r="D679" s="548"/>
      <c r="E679" s="548"/>
      <c r="F679" s="548"/>
      <c r="G679" s="548"/>
    </row>
    <row r="680" spans="3:7">
      <c r="C680" s="548"/>
      <c r="D680" s="548"/>
      <c r="E680" s="548"/>
      <c r="F680" s="548"/>
      <c r="G680" s="548"/>
    </row>
    <row r="681" spans="3:7">
      <c r="C681" s="548"/>
      <c r="D681" s="548"/>
      <c r="E681" s="548"/>
      <c r="F681" s="548"/>
      <c r="G681" s="548"/>
    </row>
    <row r="682" spans="3:7">
      <c r="C682" s="548"/>
      <c r="D682" s="548"/>
      <c r="E682" s="548"/>
      <c r="F682" s="548"/>
      <c r="G682" s="548"/>
    </row>
    <row r="683" spans="3:7">
      <c r="C683" s="548"/>
      <c r="D683" s="548"/>
      <c r="E683" s="548"/>
      <c r="F683" s="548"/>
      <c r="G683" s="548"/>
    </row>
    <row r="684" spans="3:7">
      <c r="C684" s="548"/>
      <c r="D684" s="548"/>
      <c r="E684" s="548"/>
      <c r="F684" s="548"/>
      <c r="G684" s="548"/>
    </row>
    <row r="685" spans="3:7">
      <c r="C685" s="548"/>
      <c r="D685" s="548"/>
      <c r="E685" s="548"/>
      <c r="F685" s="548"/>
      <c r="G685" s="548"/>
    </row>
    <row r="686" spans="3:7">
      <c r="C686" s="548"/>
      <c r="D686" s="548"/>
      <c r="E686" s="548"/>
      <c r="F686" s="548"/>
      <c r="G686" s="548"/>
    </row>
    <row r="687" spans="3:7">
      <c r="C687" s="548"/>
      <c r="D687" s="548"/>
      <c r="E687" s="548"/>
      <c r="F687" s="548"/>
      <c r="G687" s="548"/>
    </row>
    <row r="688" spans="3:7">
      <c r="C688" s="548"/>
      <c r="D688" s="548"/>
      <c r="E688" s="548"/>
      <c r="F688" s="548"/>
      <c r="G688" s="548"/>
    </row>
    <row r="689" spans="3:7">
      <c r="C689" s="548"/>
      <c r="D689" s="548"/>
      <c r="E689" s="548"/>
      <c r="F689" s="548"/>
      <c r="G689" s="548"/>
    </row>
    <row r="690" spans="3:7">
      <c r="C690" s="548"/>
      <c r="D690" s="548"/>
      <c r="E690" s="548"/>
      <c r="F690" s="548"/>
      <c r="G690" s="548"/>
    </row>
    <row r="691" spans="3:7">
      <c r="C691" s="548"/>
      <c r="D691" s="548"/>
      <c r="E691" s="548"/>
      <c r="F691" s="548"/>
      <c r="G691" s="548"/>
    </row>
    <row r="692" spans="3:7">
      <c r="C692" s="548"/>
      <c r="D692" s="548"/>
      <c r="E692" s="548"/>
      <c r="F692" s="548"/>
      <c r="G692" s="548"/>
    </row>
    <row r="693" spans="3:7">
      <c r="C693" s="548"/>
      <c r="D693" s="548"/>
      <c r="E693" s="548"/>
      <c r="F693" s="548"/>
      <c r="G693" s="548"/>
    </row>
    <row r="694" spans="3:7">
      <c r="C694" s="548"/>
      <c r="D694" s="548"/>
      <c r="E694" s="548"/>
      <c r="F694" s="548"/>
      <c r="G694" s="548"/>
    </row>
    <row r="695" spans="3:7">
      <c r="C695" s="548"/>
      <c r="D695" s="548"/>
      <c r="E695" s="548"/>
      <c r="F695" s="548"/>
      <c r="G695" s="548"/>
    </row>
    <row r="696" spans="3:7">
      <c r="C696" s="548"/>
      <c r="D696" s="548"/>
      <c r="E696" s="548"/>
      <c r="F696" s="548"/>
      <c r="G696" s="548"/>
    </row>
    <row r="697" spans="3:7">
      <c r="C697" s="548"/>
      <c r="D697" s="548"/>
      <c r="E697" s="548"/>
      <c r="F697" s="548"/>
      <c r="G697" s="548"/>
    </row>
    <row r="698" spans="3:7">
      <c r="C698" s="548"/>
      <c r="D698" s="548"/>
      <c r="E698" s="548"/>
      <c r="F698" s="548"/>
      <c r="G698" s="548"/>
    </row>
    <row r="699" spans="3:7">
      <c r="C699" s="548"/>
      <c r="D699" s="548"/>
      <c r="E699" s="548"/>
      <c r="F699" s="548"/>
      <c r="G699" s="548"/>
    </row>
    <row r="700" spans="3:7">
      <c r="C700" s="548"/>
      <c r="D700" s="548"/>
      <c r="E700" s="548"/>
      <c r="F700" s="548"/>
      <c r="G700" s="548"/>
    </row>
    <row r="701" spans="3:7">
      <c r="C701" s="548"/>
      <c r="D701" s="548"/>
      <c r="E701" s="548"/>
      <c r="F701" s="548"/>
      <c r="G701" s="548"/>
    </row>
    <row r="702" spans="3:7">
      <c r="C702" s="548"/>
      <c r="D702" s="548"/>
      <c r="E702" s="548"/>
      <c r="F702" s="548"/>
      <c r="G702" s="548"/>
    </row>
    <row r="703" spans="3:7">
      <c r="C703" s="548"/>
      <c r="D703" s="548"/>
      <c r="E703" s="548"/>
      <c r="F703" s="548"/>
      <c r="G703" s="548"/>
    </row>
    <row r="704" spans="3:7">
      <c r="C704" s="548"/>
      <c r="D704" s="548"/>
      <c r="E704" s="548"/>
      <c r="F704" s="548"/>
      <c r="G704" s="548"/>
    </row>
    <row r="705" spans="3:7">
      <c r="C705" s="548"/>
      <c r="D705" s="548"/>
      <c r="E705" s="548"/>
      <c r="F705" s="548"/>
      <c r="G705" s="548"/>
    </row>
    <row r="706" spans="3:7">
      <c r="C706" s="548"/>
      <c r="D706" s="548"/>
      <c r="E706" s="548"/>
      <c r="F706" s="548"/>
      <c r="G706" s="548"/>
    </row>
    <row r="707" spans="3:7">
      <c r="C707" s="548"/>
      <c r="D707" s="548"/>
      <c r="E707" s="548"/>
      <c r="F707" s="548"/>
      <c r="G707" s="548"/>
    </row>
    <row r="708" spans="3:7">
      <c r="C708" s="548"/>
      <c r="D708" s="548"/>
      <c r="E708" s="548"/>
      <c r="F708" s="548"/>
      <c r="G708" s="548"/>
    </row>
    <row r="709" spans="3:7">
      <c r="C709" s="548"/>
      <c r="D709" s="548"/>
      <c r="E709" s="548"/>
      <c r="F709" s="548"/>
      <c r="G709" s="548"/>
    </row>
    <row r="710" spans="3:7">
      <c r="C710" s="548"/>
      <c r="D710" s="548"/>
      <c r="E710" s="548"/>
      <c r="F710" s="548"/>
      <c r="G710" s="548"/>
    </row>
    <row r="711" spans="3:7">
      <c r="C711" s="548"/>
      <c r="D711" s="548"/>
      <c r="E711" s="548"/>
      <c r="F711" s="548"/>
      <c r="G711" s="548"/>
    </row>
    <row r="712" spans="3:7">
      <c r="C712" s="548"/>
      <c r="D712" s="548"/>
      <c r="E712" s="548"/>
      <c r="F712" s="548"/>
      <c r="G712" s="548"/>
    </row>
    <row r="713" spans="3:7">
      <c r="C713" s="548"/>
      <c r="D713" s="548"/>
      <c r="E713" s="548"/>
      <c r="F713" s="548"/>
      <c r="G713" s="548"/>
    </row>
    <row r="714" spans="3:7">
      <c r="C714" s="548"/>
      <c r="D714" s="548"/>
      <c r="E714" s="548"/>
      <c r="F714" s="548"/>
      <c r="G714" s="548"/>
    </row>
    <row r="715" spans="3:7">
      <c r="C715" s="548"/>
      <c r="D715" s="548"/>
      <c r="E715" s="548"/>
      <c r="F715" s="548"/>
      <c r="G715" s="548"/>
    </row>
    <row r="716" spans="3:7">
      <c r="C716" s="548"/>
      <c r="D716" s="548"/>
      <c r="E716" s="548"/>
      <c r="F716" s="548"/>
      <c r="G716" s="548"/>
    </row>
    <row r="717" spans="3:7">
      <c r="C717" s="548"/>
      <c r="D717" s="548"/>
      <c r="E717" s="548"/>
      <c r="F717" s="548"/>
      <c r="G717" s="548"/>
    </row>
    <row r="718" spans="3:7">
      <c r="C718" s="548"/>
      <c r="D718" s="548"/>
      <c r="E718" s="548"/>
      <c r="F718" s="548"/>
      <c r="G718" s="548"/>
    </row>
    <row r="719" spans="3:7">
      <c r="C719" s="548"/>
      <c r="D719" s="548"/>
      <c r="E719" s="548"/>
      <c r="F719" s="548"/>
      <c r="G719" s="548"/>
    </row>
    <row r="720" spans="3:7">
      <c r="C720" s="548"/>
      <c r="D720" s="548"/>
      <c r="E720" s="548"/>
      <c r="F720" s="548"/>
      <c r="G720" s="548"/>
    </row>
    <row r="721" spans="3:7">
      <c r="C721" s="548"/>
      <c r="D721" s="548"/>
      <c r="E721" s="548"/>
      <c r="F721" s="548"/>
      <c r="G721" s="548"/>
    </row>
    <row r="722" spans="3:7">
      <c r="C722" s="548"/>
      <c r="D722" s="548"/>
      <c r="E722" s="548"/>
      <c r="F722" s="548"/>
      <c r="G722" s="548"/>
    </row>
    <row r="723" spans="3:7">
      <c r="C723" s="548"/>
      <c r="D723" s="548"/>
      <c r="E723" s="548"/>
      <c r="F723" s="548"/>
      <c r="G723" s="548"/>
    </row>
    <row r="724" spans="3:7">
      <c r="C724" s="548"/>
      <c r="D724" s="548"/>
      <c r="E724" s="548"/>
      <c r="F724" s="548"/>
      <c r="G724" s="548"/>
    </row>
    <row r="725" spans="3:7">
      <c r="C725" s="548"/>
      <c r="D725" s="548"/>
      <c r="E725" s="548"/>
      <c r="F725" s="548"/>
      <c r="G725" s="548"/>
    </row>
    <row r="726" spans="3:7">
      <c r="C726" s="548"/>
      <c r="D726" s="548"/>
      <c r="E726" s="548"/>
      <c r="F726" s="548"/>
      <c r="G726" s="548"/>
    </row>
    <row r="727" spans="3:7">
      <c r="C727" s="548"/>
      <c r="D727" s="548"/>
      <c r="E727" s="548"/>
      <c r="F727" s="548"/>
      <c r="G727" s="548"/>
    </row>
    <row r="728" spans="3:7">
      <c r="C728" s="548"/>
      <c r="D728" s="548"/>
      <c r="E728" s="548"/>
      <c r="F728" s="548"/>
      <c r="G728" s="548"/>
    </row>
    <row r="729" spans="3:7">
      <c r="C729" s="548"/>
      <c r="D729" s="548"/>
      <c r="E729" s="548"/>
      <c r="F729" s="548"/>
      <c r="G729" s="548"/>
    </row>
    <row r="730" spans="3:7">
      <c r="C730" s="548"/>
      <c r="D730" s="548"/>
      <c r="E730" s="548"/>
      <c r="F730" s="548"/>
      <c r="G730" s="548"/>
    </row>
    <row r="731" spans="3:7">
      <c r="C731" s="548"/>
      <c r="D731" s="548"/>
      <c r="E731" s="548"/>
      <c r="F731" s="548"/>
      <c r="G731" s="548"/>
    </row>
    <row r="732" spans="3:7">
      <c r="C732" s="548"/>
      <c r="D732" s="548"/>
      <c r="E732" s="548"/>
      <c r="F732" s="548"/>
      <c r="G732" s="548"/>
    </row>
    <row r="733" spans="3:7">
      <c r="C733" s="548"/>
      <c r="D733" s="548"/>
      <c r="E733" s="548"/>
      <c r="F733" s="548"/>
      <c r="G733" s="548"/>
    </row>
    <row r="734" spans="3:7">
      <c r="C734" s="548"/>
      <c r="D734" s="548"/>
      <c r="E734" s="548"/>
      <c r="F734" s="548"/>
      <c r="G734" s="548"/>
    </row>
    <row r="735" spans="3:7">
      <c r="C735" s="548"/>
      <c r="D735" s="548"/>
      <c r="E735" s="548"/>
      <c r="F735" s="548"/>
      <c r="G735" s="548"/>
    </row>
    <row r="736" spans="3:7">
      <c r="C736" s="548"/>
      <c r="D736" s="548"/>
      <c r="E736" s="548"/>
      <c r="F736" s="548"/>
      <c r="G736" s="548"/>
    </row>
    <row r="737" spans="3:7">
      <c r="C737" s="548"/>
      <c r="D737" s="548"/>
      <c r="E737" s="548"/>
      <c r="F737" s="548"/>
      <c r="G737" s="548"/>
    </row>
    <row r="738" spans="3:7">
      <c r="C738" s="548"/>
      <c r="D738" s="548"/>
      <c r="E738" s="548"/>
      <c r="F738" s="548"/>
      <c r="G738" s="548"/>
    </row>
    <row r="739" spans="3:7">
      <c r="C739" s="548"/>
      <c r="D739" s="548"/>
      <c r="E739" s="548"/>
      <c r="F739" s="548"/>
      <c r="G739" s="548"/>
    </row>
    <row r="740" spans="3:7">
      <c r="C740" s="548"/>
      <c r="D740" s="548"/>
      <c r="E740" s="548"/>
      <c r="F740" s="548"/>
      <c r="G740" s="548"/>
    </row>
    <row r="741" spans="3:7">
      <c r="C741" s="548"/>
      <c r="D741" s="548"/>
      <c r="E741" s="548"/>
      <c r="F741" s="548"/>
      <c r="G741" s="548"/>
    </row>
    <row r="742" spans="3:7">
      <c r="C742" s="548"/>
      <c r="D742" s="548"/>
      <c r="E742" s="548"/>
      <c r="F742" s="548"/>
      <c r="G742" s="548"/>
    </row>
    <row r="743" spans="3:7">
      <c r="C743" s="548"/>
      <c r="D743" s="548"/>
      <c r="E743" s="548"/>
      <c r="F743" s="548"/>
      <c r="G743" s="548"/>
    </row>
    <row r="744" spans="3:7">
      <c r="C744" s="548"/>
      <c r="D744" s="548"/>
      <c r="E744" s="548"/>
      <c r="F744" s="548"/>
      <c r="G744" s="548"/>
    </row>
    <row r="745" spans="3:7">
      <c r="C745" s="548"/>
      <c r="D745" s="548"/>
      <c r="E745" s="548"/>
      <c r="F745" s="548"/>
      <c r="G745" s="548"/>
    </row>
    <row r="746" spans="3:7">
      <c r="C746" s="548"/>
      <c r="D746" s="548"/>
      <c r="E746" s="548"/>
      <c r="F746" s="548"/>
      <c r="G746" s="548"/>
    </row>
    <row r="747" spans="3:7">
      <c r="C747" s="548"/>
      <c r="D747" s="548"/>
      <c r="E747" s="548"/>
      <c r="F747" s="548"/>
      <c r="G747" s="548"/>
    </row>
    <row r="748" spans="3:7">
      <c r="C748" s="548"/>
      <c r="D748" s="548"/>
      <c r="E748" s="548"/>
      <c r="F748" s="548"/>
      <c r="G748" s="548"/>
    </row>
    <row r="749" spans="3:7">
      <c r="C749" s="548"/>
      <c r="D749" s="548"/>
      <c r="E749" s="548"/>
      <c r="F749" s="548"/>
      <c r="G749" s="548"/>
    </row>
    <row r="750" spans="3:7">
      <c r="C750" s="548"/>
      <c r="D750" s="548"/>
      <c r="E750" s="548"/>
      <c r="F750" s="548"/>
      <c r="G750" s="548"/>
    </row>
    <row r="751" spans="3:7">
      <c r="C751" s="548"/>
      <c r="D751" s="548"/>
      <c r="E751" s="548"/>
      <c r="F751" s="548"/>
      <c r="G751" s="548"/>
    </row>
    <row r="752" spans="3:7">
      <c r="C752" s="548"/>
      <c r="D752" s="548"/>
      <c r="E752" s="548"/>
      <c r="F752" s="548"/>
      <c r="G752" s="548"/>
    </row>
    <row r="753" spans="3:7">
      <c r="C753" s="548"/>
      <c r="D753" s="548"/>
      <c r="E753" s="548"/>
      <c r="F753" s="548"/>
      <c r="G753" s="548"/>
    </row>
    <row r="754" spans="3:7">
      <c r="C754" s="548"/>
      <c r="D754" s="548"/>
      <c r="E754" s="548"/>
      <c r="F754" s="548"/>
      <c r="G754" s="548"/>
    </row>
    <row r="755" spans="3:7">
      <c r="C755" s="548"/>
      <c r="D755" s="548"/>
      <c r="E755" s="548"/>
      <c r="F755" s="548"/>
      <c r="G755" s="548"/>
    </row>
    <row r="756" spans="3:7">
      <c r="C756" s="548"/>
      <c r="D756" s="548"/>
      <c r="E756" s="548"/>
      <c r="F756" s="548"/>
      <c r="G756" s="548"/>
    </row>
    <row r="757" spans="3:7">
      <c r="C757" s="548"/>
      <c r="D757" s="548"/>
      <c r="E757" s="548"/>
      <c r="F757" s="548"/>
      <c r="G757" s="548"/>
    </row>
    <row r="758" spans="3:7">
      <c r="C758" s="548"/>
      <c r="D758" s="548"/>
      <c r="E758" s="548"/>
      <c r="F758" s="548"/>
      <c r="G758" s="548"/>
    </row>
    <row r="759" spans="3:7">
      <c r="C759" s="548"/>
      <c r="D759" s="548"/>
      <c r="E759" s="548"/>
      <c r="F759" s="548"/>
      <c r="G759" s="548"/>
    </row>
    <row r="760" spans="3:7">
      <c r="C760" s="548"/>
      <c r="D760" s="548"/>
      <c r="E760" s="548"/>
      <c r="F760" s="548"/>
      <c r="G760" s="548"/>
    </row>
    <row r="761" spans="3:7">
      <c r="C761" s="548"/>
      <c r="D761" s="548"/>
      <c r="E761" s="548"/>
      <c r="F761" s="548"/>
      <c r="G761" s="548"/>
    </row>
    <row r="762" spans="3:7">
      <c r="C762" s="548"/>
      <c r="D762" s="548"/>
      <c r="E762" s="548"/>
      <c r="F762" s="548"/>
      <c r="G762" s="548"/>
    </row>
    <row r="763" spans="3:7">
      <c r="C763" s="548"/>
      <c r="D763" s="548"/>
      <c r="E763" s="548"/>
      <c r="F763" s="548"/>
      <c r="G763" s="548"/>
    </row>
    <row r="764" spans="3:7">
      <c r="C764" s="548"/>
      <c r="D764" s="548"/>
      <c r="E764" s="548"/>
      <c r="F764" s="548"/>
      <c r="G764" s="548"/>
    </row>
    <row r="765" spans="3:7">
      <c r="C765" s="548"/>
      <c r="D765" s="548"/>
      <c r="E765" s="548"/>
      <c r="F765" s="548"/>
      <c r="G765" s="548"/>
    </row>
    <row r="766" spans="3:7">
      <c r="C766" s="548"/>
      <c r="D766" s="548"/>
      <c r="E766" s="548"/>
      <c r="F766" s="548"/>
      <c r="G766" s="548"/>
    </row>
    <row r="767" spans="3:7">
      <c r="C767" s="548"/>
      <c r="D767" s="548"/>
      <c r="E767" s="548"/>
      <c r="F767" s="548"/>
      <c r="G767" s="548"/>
    </row>
    <row r="768" spans="3:7">
      <c r="C768" s="548"/>
      <c r="D768" s="548"/>
      <c r="E768" s="548"/>
      <c r="F768" s="548"/>
      <c r="G768" s="548"/>
    </row>
    <row r="769" spans="3:7">
      <c r="C769" s="548"/>
      <c r="D769" s="548"/>
      <c r="E769" s="548"/>
      <c r="F769" s="548"/>
      <c r="G769" s="548"/>
    </row>
    <row r="770" spans="3:7">
      <c r="C770" s="548"/>
      <c r="D770" s="548"/>
      <c r="E770" s="548"/>
      <c r="F770" s="548"/>
      <c r="G770" s="548"/>
    </row>
    <row r="771" spans="3:7">
      <c r="C771" s="548"/>
      <c r="D771" s="548"/>
      <c r="E771" s="548"/>
      <c r="F771" s="548"/>
      <c r="G771" s="548"/>
    </row>
    <row r="772" spans="3:7">
      <c r="C772" s="548"/>
      <c r="D772" s="548"/>
      <c r="E772" s="548"/>
      <c r="F772" s="548"/>
      <c r="G772" s="548"/>
    </row>
    <row r="773" spans="3:7">
      <c r="C773" s="548"/>
      <c r="D773" s="548"/>
      <c r="E773" s="548"/>
      <c r="F773" s="548"/>
      <c r="G773" s="548"/>
    </row>
    <row r="774" spans="3:7">
      <c r="C774" s="548"/>
      <c r="D774" s="548"/>
      <c r="E774" s="548"/>
      <c r="F774" s="548"/>
      <c r="G774" s="548"/>
    </row>
    <row r="775" spans="3:7">
      <c r="C775" s="548"/>
      <c r="D775" s="548"/>
      <c r="E775" s="548"/>
      <c r="F775" s="548"/>
      <c r="G775" s="548"/>
    </row>
    <row r="776" spans="3:7">
      <c r="C776" s="548"/>
      <c r="D776" s="548"/>
      <c r="E776" s="548"/>
      <c r="F776" s="548"/>
      <c r="G776" s="548"/>
    </row>
    <row r="777" spans="3:7">
      <c r="C777" s="548"/>
      <c r="D777" s="548"/>
      <c r="E777" s="548"/>
      <c r="F777" s="548"/>
      <c r="G777" s="548"/>
    </row>
    <row r="778" spans="3:7">
      <c r="C778" s="548"/>
      <c r="D778" s="548"/>
      <c r="E778" s="548"/>
      <c r="F778" s="548"/>
      <c r="G778" s="548"/>
    </row>
    <row r="779" spans="3:7">
      <c r="C779" s="548"/>
      <c r="D779" s="548"/>
      <c r="E779" s="548"/>
      <c r="F779" s="548"/>
      <c r="G779" s="548"/>
    </row>
    <row r="780" spans="3:7">
      <c r="C780" s="548"/>
      <c r="D780" s="548"/>
      <c r="E780" s="548"/>
      <c r="F780" s="548"/>
      <c r="G780" s="548"/>
    </row>
    <row r="781" spans="3:7">
      <c r="C781" s="548"/>
      <c r="D781" s="548"/>
      <c r="E781" s="548"/>
      <c r="F781" s="548"/>
      <c r="G781" s="548"/>
    </row>
    <row r="782" spans="3:7">
      <c r="C782" s="548"/>
      <c r="D782" s="548"/>
      <c r="E782" s="548"/>
      <c r="F782" s="548"/>
      <c r="G782" s="548"/>
    </row>
    <row r="783" spans="3:7">
      <c r="C783" s="548"/>
      <c r="D783" s="548"/>
      <c r="E783" s="548"/>
      <c r="F783" s="548"/>
      <c r="G783" s="548"/>
    </row>
    <row r="784" spans="3:7">
      <c r="C784" s="548"/>
      <c r="D784" s="548"/>
      <c r="E784" s="548"/>
      <c r="F784" s="548"/>
      <c r="G784" s="548"/>
    </row>
    <row r="785" spans="3:7">
      <c r="C785" s="548"/>
      <c r="D785" s="548"/>
      <c r="E785" s="548"/>
      <c r="F785" s="548"/>
      <c r="G785" s="548"/>
    </row>
    <row r="786" spans="3:7">
      <c r="C786" s="548"/>
      <c r="D786" s="548"/>
      <c r="E786" s="548"/>
      <c r="F786" s="548"/>
      <c r="G786" s="548"/>
    </row>
    <row r="787" spans="3:7">
      <c r="C787" s="548"/>
      <c r="D787" s="548"/>
      <c r="E787" s="548"/>
      <c r="F787" s="548"/>
      <c r="G787" s="548"/>
    </row>
    <row r="788" spans="3:7">
      <c r="C788" s="548"/>
      <c r="D788" s="548"/>
      <c r="E788" s="548"/>
      <c r="F788" s="548"/>
      <c r="G788" s="548"/>
    </row>
    <row r="789" spans="3:7">
      <c r="C789" s="548"/>
      <c r="D789" s="548"/>
      <c r="E789" s="548"/>
      <c r="F789" s="548"/>
      <c r="G789" s="548"/>
    </row>
    <row r="790" spans="3:7">
      <c r="C790" s="548"/>
      <c r="D790" s="548"/>
      <c r="E790" s="548"/>
      <c r="F790" s="548"/>
      <c r="G790" s="548"/>
    </row>
    <row r="791" spans="3:7">
      <c r="C791" s="548"/>
      <c r="D791" s="548"/>
      <c r="E791" s="548"/>
      <c r="F791" s="548"/>
      <c r="G791" s="548"/>
    </row>
    <row r="792" spans="3:7">
      <c r="C792" s="548"/>
      <c r="D792" s="548"/>
      <c r="E792" s="548"/>
      <c r="F792" s="548"/>
      <c r="G792" s="548"/>
    </row>
    <row r="793" spans="3:7">
      <c r="C793" s="548"/>
      <c r="D793" s="548"/>
      <c r="E793" s="548"/>
      <c r="F793" s="548"/>
      <c r="G793" s="548"/>
    </row>
    <row r="794" spans="3:7">
      <c r="C794" s="548"/>
      <c r="D794" s="548"/>
      <c r="E794" s="548"/>
      <c r="F794" s="548"/>
      <c r="G794" s="548"/>
    </row>
    <row r="795" spans="3:7">
      <c r="C795" s="548"/>
      <c r="D795" s="548"/>
      <c r="E795" s="548"/>
      <c r="F795" s="548"/>
      <c r="G795" s="548"/>
    </row>
    <row r="796" spans="3:7">
      <c r="C796" s="548"/>
      <c r="D796" s="548"/>
      <c r="E796" s="548"/>
      <c r="F796" s="548"/>
      <c r="G796" s="548"/>
    </row>
    <row r="797" spans="3:7">
      <c r="C797" s="548"/>
      <c r="D797" s="548"/>
      <c r="E797" s="548"/>
      <c r="F797" s="548"/>
      <c r="G797" s="548"/>
    </row>
    <row r="798" spans="3:7">
      <c r="C798" s="548"/>
      <c r="D798" s="548"/>
      <c r="E798" s="548"/>
      <c r="F798" s="548"/>
      <c r="G798" s="548"/>
    </row>
    <row r="799" spans="3:7">
      <c r="C799" s="548"/>
      <c r="D799" s="548"/>
      <c r="E799" s="548"/>
      <c r="F799" s="548"/>
      <c r="G799" s="548"/>
    </row>
    <row r="800" spans="3:7">
      <c r="C800" s="548"/>
      <c r="D800" s="548"/>
      <c r="E800" s="548"/>
      <c r="F800" s="548"/>
      <c r="G800" s="548"/>
    </row>
    <row r="801" spans="3:7">
      <c r="C801" s="548"/>
      <c r="D801" s="548"/>
      <c r="E801" s="548"/>
      <c r="F801" s="548"/>
      <c r="G801" s="548"/>
    </row>
    <row r="802" spans="3:7">
      <c r="C802" s="548"/>
      <c r="D802" s="548"/>
      <c r="E802" s="548"/>
      <c r="F802" s="548"/>
      <c r="G802" s="548"/>
    </row>
    <row r="803" spans="3:7">
      <c r="C803" s="548"/>
      <c r="D803" s="548"/>
      <c r="E803" s="548"/>
      <c r="F803" s="548"/>
      <c r="G803" s="548"/>
    </row>
    <row r="804" spans="3:7">
      <c r="C804" s="548"/>
      <c r="D804" s="548"/>
      <c r="E804" s="548"/>
      <c r="F804" s="548"/>
      <c r="G804" s="548"/>
    </row>
    <row r="805" spans="3:7">
      <c r="C805" s="548"/>
      <c r="D805" s="548"/>
      <c r="E805" s="548"/>
      <c r="F805" s="548"/>
      <c r="G805" s="548"/>
    </row>
    <row r="806" spans="3:7">
      <c r="C806" s="548"/>
      <c r="D806" s="548"/>
      <c r="E806" s="548"/>
      <c r="F806" s="548"/>
      <c r="G806" s="548"/>
    </row>
    <row r="807" spans="3:7">
      <c r="C807" s="548"/>
      <c r="D807" s="548"/>
      <c r="E807" s="548"/>
      <c r="F807" s="548"/>
      <c r="G807" s="548"/>
    </row>
    <row r="808" spans="3:7">
      <c r="C808" s="548"/>
      <c r="D808" s="548"/>
      <c r="E808" s="548"/>
      <c r="F808" s="548"/>
      <c r="G808" s="548"/>
    </row>
    <row r="809" spans="3:7">
      <c r="C809" s="548"/>
      <c r="D809" s="548"/>
      <c r="E809" s="548"/>
      <c r="F809" s="548"/>
      <c r="G809" s="548"/>
    </row>
    <row r="810" spans="3:7">
      <c r="C810" s="548"/>
      <c r="D810" s="548"/>
      <c r="E810" s="548"/>
      <c r="F810" s="548"/>
      <c r="G810" s="548"/>
    </row>
    <row r="811" spans="3:7">
      <c r="C811" s="548"/>
      <c r="D811" s="548"/>
      <c r="E811" s="548"/>
      <c r="F811" s="548"/>
      <c r="G811" s="548"/>
    </row>
    <row r="812" spans="3:7">
      <c r="C812" s="548"/>
      <c r="D812" s="548"/>
      <c r="E812" s="548"/>
      <c r="F812" s="548"/>
      <c r="G812" s="548"/>
    </row>
    <row r="813" spans="3:7">
      <c r="C813" s="548"/>
      <c r="D813" s="548"/>
      <c r="E813" s="548"/>
      <c r="F813" s="548"/>
      <c r="G813" s="548"/>
    </row>
    <row r="814" spans="3:7">
      <c r="C814" s="548"/>
      <c r="D814" s="548"/>
      <c r="E814" s="548"/>
      <c r="F814" s="548"/>
      <c r="G814" s="548"/>
    </row>
    <row r="815" spans="3:7">
      <c r="C815" s="548"/>
      <c r="D815" s="548"/>
      <c r="E815" s="548"/>
      <c r="F815" s="548"/>
      <c r="G815" s="548"/>
    </row>
    <row r="816" spans="3:7">
      <c r="C816" s="548"/>
      <c r="D816" s="548"/>
      <c r="E816" s="548"/>
      <c r="F816" s="548"/>
      <c r="G816" s="548"/>
    </row>
    <row r="817" spans="3:7">
      <c r="C817" s="548"/>
      <c r="D817" s="548"/>
      <c r="E817" s="548"/>
      <c r="F817" s="548"/>
      <c r="G817" s="548"/>
    </row>
    <row r="818" spans="3:7">
      <c r="C818" s="548"/>
      <c r="D818" s="548"/>
      <c r="E818" s="548"/>
      <c r="F818" s="548"/>
      <c r="G818" s="548"/>
    </row>
    <row r="819" spans="3:7">
      <c r="C819" s="548"/>
      <c r="D819" s="548"/>
      <c r="E819" s="548"/>
      <c r="F819" s="548"/>
      <c r="G819" s="548"/>
    </row>
    <row r="820" spans="3:7">
      <c r="C820" s="548"/>
      <c r="D820" s="548"/>
      <c r="E820" s="548"/>
      <c r="F820" s="548"/>
      <c r="G820" s="548"/>
    </row>
    <row r="821" spans="3:7">
      <c r="C821" s="548"/>
      <c r="D821" s="548"/>
      <c r="E821" s="548"/>
      <c r="F821" s="548"/>
      <c r="G821" s="548"/>
    </row>
    <row r="822" spans="3:7">
      <c r="C822" s="548"/>
      <c r="D822" s="548"/>
      <c r="E822" s="548"/>
      <c r="F822" s="548"/>
      <c r="G822" s="548"/>
    </row>
    <row r="823" spans="3:7">
      <c r="C823" s="548"/>
      <c r="D823" s="548"/>
      <c r="E823" s="548"/>
      <c r="F823" s="548"/>
      <c r="G823" s="548"/>
    </row>
    <row r="824" spans="3:7">
      <c r="C824" s="548"/>
      <c r="D824" s="548"/>
      <c r="E824" s="548"/>
      <c r="F824" s="548"/>
      <c r="G824" s="548"/>
    </row>
    <row r="825" spans="3:7">
      <c r="C825" s="548"/>
      <c r="D825" s="548"/>
      <c r="E825" s="548"/>
      <c r="F825" s="548"/>
      <c r="G825" s="548"/>
    </row>
    <row r="826" spans="3:7">
      <c r="C826" s="548"/>
      <c r="D826" s="548"/>
      <c r="E826" s="548"/>
      <c r="F826" s="548"/>
      <c r="G826" s="548"/>
    </row>
    <row r="827" spans="3:7">
      <c r="C827" s="548"/>
      <c r="D827" s="548"/>
      <c r="E827" s="548"/>
      <c r="F827" s="548"/>
      <c r="G827" s="548"/>
    </row>
    <row r="828" spans="3:7">
      <c r="C828" s="548"/>
      <c r="D828" s="548"/>
      <c r="E828" s="548"/>
      <c r="F828" s="548"/>
      <c r="G828" s="548"/>
    </row>
    <row r="829" spans="3:7">
      <c r="C829" s="548"/>
      <c r="D829" s="548"/>
      <c r="E829" s="548"/>
      <c r="F829" s="548"/>
      <c r="G829" s="548"/>
    </row>
    <row r="830" spans="3:7">
      <c r="C830" s="548"/>
      <c r="D830" s="548"/>
      <c r="E830" s="548"/>
      <c r="F830" s="548"/>
      <c r="G830" s="548"/>
    </row>
    <row r="831" spans="3:7">
      <c r="C831" s="548"/>
      <c r="D831" s="548"/>
      <c r="E831" s="548"/>
      <c r="F831" s="548"/>
      <c r="G831" s="548"/>
    </row>
    <row r="832" spans="3:7">
      <c r="C832" s="548"/>
      <c r="D832" s="548"/>
      <c r="E832" s="548"/>
      <c r="F832" s="548"/>
      <c r="G832" s="548"/>
    </row>
    <row r="833" spans="3:7">
      <c r="C833" s="548"/>
      <c r="D833" s="548"/>
      <c r="E833" s="548"/>
      <c r="F833" s="548"/>
      <c r="G833" s="548"/>
    </row>
    <row r="834" spans="3:7">
      <c r="C834" s="548"/>
      <c r="D834" s="548"/>
      <c r="E834" s="548"/>
      <c r="F834" s="548"/>
      <c r="G834" s="548"/>
    </row>
    <row r="835" spans="3:7">
      <c r="C835" s="548"/>
      <c r="D835" s="548"/>
      <c r="E835" s="548"/>
      <c r="F835" s="548"/>
      <c r="G835" s="548"/>
    </row>
    <row r="836" spans="3:7">
      <c r="C836" s="548"/>
      <c r="D836" s="548"/>
      <c r="E836" s="548"/>
      <c r="F836" s="548"/>
      <c r="G836" s="548"/>
    </row>
    <row r="837" spans="3:7">
      <c r="C837" s="548"/>
      <c r="D837" s="548"/>
      <c r="E837" s="548"/>
      <c r="F837" s="548"/>
      <c r="G837" s="548"/>
    </row>
    <row r="838" spans="3:7">
      <c r="C838" s="548"/>
      <c r="D838" s="548"/>
      <c r="E838" s="548"/>
      <c r="F838" s="548"/>
      <c r="G838" s="548"/>
    </row>
    <row r="839" spans="3:7">
      <c r="C839" s="548"/>
      <c r="D839" s="548"/>
      <c r="E839" s="548"/>
      <c r="F839" s="548"/>
      <c r="G839" s="548"/>
    </row>
    <row r="840" spans="3:7">
      <c r="C840" s="548"/>
      <c r="D840" s="548"/>
      <c r="E840" s="548"/>
      <c r="F840" s="548"/>
      <c r="G840" s="548"/>
    </row>
    <row r="841" spans="3:7">
      <c r="C841" s="548"/>
      <c r="D841" s="548"/>
      <c r="E841" s="548"/>
      <c r="F841" s="548"/>
      <c r="G841" s="548"/>
    </row>
    <row r="842" spans="3:7">
      <c r="C842" s="548"/>
      <c r="D842" s="548"/>
      <c r="E842" s="548"/>
      <c r="F842" s="548"/>
      <c r="G842" s="548"/>
    </row>
    <row r="843" spans="3:7">
      <c r="C843" s="548"/>
      <c r="D843" s="548"/>
      <c r="E843" s="548"/>
      <c r="F843" s="548"/>
      <c r="G843" s="548"/>
    </row>
    <row r="844" spans="3:7">
      <c r="C844" s="548"/>
      <c r="D844" s="548"/>
      <c r="E844" s="548"/>
      <c r="F844" s="548"/>
      <c r="G844" s="548"/>
    </row>
    <row r="845" spans="3:7">
      <c r="C845" s="548"/>
      <c r="D845" s="548"/>
      <c r="E845" s="548"/>
      <c r="F845" s="548"/>
      <c r="G845" s="548"/>
    </row>
    <row r="846" spans="3:7">
      <c r="C846" s="548"/>
      <c r="D846" s="548"/>
      <c r="E846" s="548"/>
      <c r="F846" s="548"/>
      <c r="G846" s="548"/>
    </row>
    <row r="847" spans="3:7">
      <c r="C847" s="548"/>
      <c r="D847" s="548"/>
      <c r="E847" s="548"/>
      <c r="F847" s="548"/>
      <c r="G847" s="548"/>
    </row>
    <row r="848" spans="3:7">
      <c r="C848" s="548"/>
      <c r="D848" s="548"/>
      <c r="E848" s="548"/>
      <c r="F848" s="548"/>
      <c r="G848" s="548"/>
    </row>
    <row r="849" spans="3:7">
      <c r="C849" s="548"/>
      <c r="D849" s="548"/>
      <c r="E849" s="548"/>
      <c r="F849" s="548"/>
      <c r="G849" s="548"/>
    </row>
    <row r="850" spans="3:7">
      <c r="C850" s="548"/>
      <c r="D850" s="548"/>
      <c r="E850" s="548"/>
      <c r="F850" s="548"/>
      <c r="G850" s="548"/>
    </row>
    <row r="851" spans="3:7">
      <c r="C851" s="548"/>
      <c r="D851" s="548"/>
      <c r="E851" s="548"/>
      <c r="F851" s="548"/>
      <c r="G851" s="548"/>
    </row>
    <row r="852" spans="3:7">
      <c r="C852" s="548"/>
      <c r="D852" s="548"/>
      <c r="E852" s="548"/>
      <c r="F852" s="548"/>
      <c r="G852" s="548"/>
    </row>
    <row r="853" spans="3:7">
      <c r="C853" s="548"/>
      <c r="D853" s="548"/>
      <c r="E853" s="548"/>
      <c r="F853" s="548"/>
      <c r="G853" s="548"/>
    </row>
    <row r="854" spans="3:7">
      <c r="C854" s="548"/>
      <c r="D854" s="548"/>
      <c r="E854" s="548"/>
      <c r="F854" s="548"/>
      <c r="G854" s="548"/>
    </row>
    <row r="855" spans="3:7">
      <c r="C855" s="548"/>
      <c r="D855" s="548"/>
      <c r="E855" s="548"/>
      <c r="F855" s="548"/>
      <c r="G855" s="548"/>
    </row>
    <row r="856" spans="3:7">
      <c r="C856" s="548"/>
      <c r="D856" s="548"/>
      <c r="E856" s="548"/>
      <c r="F856" s="548"/>
      <c r="G856" s="548"/>
    </row>
    <row r="857" spans="3:7">
      <c r="C857" s="548"/>
      <c r="D857" s="548"/>
      <c r="E857" s="548"/>
      <c r="F857" s="548"/>
      <c r="G857" s="548"/>
    </row>
    <row r="858" spans="3:7">
      <c r="C858" s="548"/>
      <c r="D858" s="548"/>
      <c r="E858" s="548"/>
      <c r="F858" s="548"/>
      <c r="G858" s="548"/>
    </row>
    <row r="859" spans="3:7">
      <c r="C859" s="548"/>
      <c r="D859" s="548"/>
      <c r="E859" s="548"/>
      <c r="F859" s="548"/>
      <c r="G859" s="548"/>
    </row>
    <row r="860" spans="3:7">
      <c r="C860" s="548"/>
      <c r="D860" s="548"/>
      <c r="E860" s="548"/>
      <c r="F860" s="548"/>
      <c r="G860" s="548"/>
    </row>
    <row r="861" spans="3:7">
      <c r="C861" s="548"/>
      <c r="D861" s="548"/>
      <c r="E861" s="548"/>
      <c r="F861" s="548"/>
      <c r="G861" s="548"/>
    </row>
    <row r="862" spans="3:7">
      <c r="C862" s="548"/>
      <c r="D862" s="548"/>
      <c r="E862" s="548"/>
      <c r="F862" s="548"/>
      <c r="G862" s="548"/>
    </row>
    <row r="863" spans="3:7">
      <c r="C863" s="548"/>
      <c r="D863" s="548"/>
      <c r="E863" s="548"/>
      <c r="F863" s="548"/>
      <c r="G863" s="548"/>
    </row>
    <row r="864" spans="3:7">
      <c r="C864" s="548"/>
      <c r="D864" s="548"/>
      <c r="E864" s="548"/>
      <c r="F864" s="548"/>
      <c r="G864" s="548"/>
    </row>
    <row r="865" spans="3:7">
      <c r="C865" s="548"/>
      <c r="D865" s="548"/>
      <c r="E865" s="548"/>
      <c r="F865" s="548"/>
      <c r="G865" s="548"/>
    </row>
    <row r="866" spans="3:7">
      <c r="C866" s="548"/>
      <c r="D866" s="548"/>
      <c r="E866" s="548"/>
      <c r="F866" s="548"/>
      <c r="G866" s="548"/>
    </row>
    <row r="867" spans="3:7">
      <c r="C867" s="548"/>
      <c r="D867" s="548"/>
      <c r="E867" s="548"/>
      <c r="F867" s="548"/>
      <c r="G867" s="548"/>
    </row>
    <row r="868" spans="3:7">
      <c r="C868" s="548"/>
      <c r="D868" s="548"/>
      <c r="E868" s="548"/>
      <c r="F868" s="548"/>
      <c r="G868" s="548"/>
    </row>
    <row r="869" spans="3:7">
      <c r="C869" s="548"/>
      <c r="D869" s="548"/>
      <c r="E869" s="548"/>
      <c r="F869" s="548"/>
      <c r="G869" s="548"/>
    </row>
    <row r="870" spans="3:7">
      <c r="C870" s="548"/>
      <c r="D870" s="548"/>
      <c r="E870" s="548"/>
      <c r="F870" s="548"/>
      <c r="G870" s="548"/>
    </row>
    <row r="871" spans="3:7">
      <c r="C871" s="548"/>
      <c r="D871" s="548"/>
      <c r="E871" s="548"/>
      <c r="F871" s="548"/>
      <c r="G871" s="548"/>
    </row>
    <row r="872" spans="3:7">
      <c r="C872" s="548"/>
      <c r="D872" s="548"/>
      <c r="E872" s="548"/>
      <c r="F872" s="548"/>
      <c r="G872" s="548"/>
    </row>
    <row r="873" spans="3:7">
      <c r="C873" s="548"/>
      <c r="D873" s="548"/>
      <c r="E873" s="548"/>
      <c r="F873" s="548"/>
      <c r="G873" s="548"/>
    </row>
    <row r="874" spans="3:7">
      <c r="C874" s="548"/>
      <c r="D874" s="548"/>
      <c r="E874" s="548"/>
      <c r="F874" s="548"/>
      <c r="G874" s="548"/>
    </row>
    <row r="875" spans="3:7">
      <c r="C875" s="548"/>
      <c r="D875" s="548"/>
      <c r="E875" s="548"/>
      <c r="F875" s="548"/>
      <c r="G875" s="548"/>
    </row>
    <row r="876" spans="3:7">
      <c r="C876" s="548"/>
      <c r="D876" s="548"/>
      <c r="E876" s="548"/>
      <c r="F876" s="548"/>
      <c r="G876" s="548"/>
    </row>
    <row r="877" spans="3:7">
      <c r="C877" s="548"/>
      <c r="D877" s="548"/>
      <c r="E877" s="548"/>
      <c r="F877" s="548"/>
      <c r="G877" s="548"/>
    </row>
    <row r="878" spans="3:7">
      <c r="C878" s="548"/>
      <c r="D878" s="548"/>
      <c r="E878" s="548"/>
      <c r="F878" s="548"/>
      <c r="G878" s="548"/>
    </row>
    <row r="879" spans="3:7">
      <c r="C879" s="548"/>
      <c r="D879" s="548"/>
      <c r="E879" s="548"/>
      <c r="F879" s="548"/>
      <c r="G879" s="548"/>
    </row>
    <row r="880" spans="3:7">
      <c r="C880" s="548"/>
      <c r="D880" s="548"/>
      <c r="E880" s="548"/>
      <c r="F880" s="548"/>
      <c r="G880" s="548"/>
    </row>
    <row r="881" spans="3:7">
      <c r="C881" s="548"/>
      <c r="D881" s="548"/>
      <c r="E881" s="548"/>
      <c r="F881" s="548"/>
      <c r="G881" s="548"/>
    </row>
    <row r="882" spans="3:7">
      <c r="C882" s="548"/>
      <c r="D882" s="548"/>
      <c r="E882" s="548"/>
      <c r="F882" s="548"/>
      <c r="G882" s="548"/>
    </row>
    <row r="883" spans="3:7">
      <c r="C883" s="548"/>
      <c r="D883" s="548"/>
      <c r="E883" s="548"/>
      <c r="F883" s="548"/>
      <c r="G883" s="548"/>
    </row>
    <row r="884" spans="3:7">
      <c r="C884" s="548"/>
      <c r="D884" s="548"/>
      <c r="E884" s="548"/>
      <c r="F884" s="548"/>
      <c r="G884" s="548"/>
    </row>
    <row r="885" spans="3:7">
      <c r="C885" s="548"/>
      <c r="D885" s="548"/>
      <c r="E885" s="548"/>
      <c r="F885" s="548"/>
      <c r="G885" s="548"/>
    </row>
    <row r="886" spans="3:7">
      <c r="C886" s="548"/>
      <c r="D886" s="548"/>
      <c r="E886" s="548"/>
      <c r="F886" s="548"/>
      <c r="G886" s="548"/>
    </row>
    <row r="887" spans="3:7">
      <c r="C887" s="548"/>
      <c r="D887" s="548"/>
      <c r="E887" s="548"/>
      <c r="F887" s="548"/>
      <c r="G887" s="548"/>
    </row>
    <row r="888" spans="3:7">
      <c r="C888" s="548"/>
      <c r="D888" s="548"/>
      <c r="E888" s="548"/>
      <c r="F888" s="548"/>
      <c r="G888" s="548"/>
    </row>
    <row r="889" spans="3:7">
      <c r="C889" s="548"/>
      <c r="D889" s="548"/>
      <c r="E889" s="548"/>
      <c r="F889" s="548"/>
      <c r="G889" s="548"/>
    </row>
    <row r="890" spans="3:7">
      <c r="C890" s="548"/>
      <c r="D890" s="548"/>
      <c r="E890" s="548"/>
      <c r="F890" s="548"/>
      <c r="G890" s="548"/>
    </row>
    <row r="891" spans="3:7">
      <c r="C891" s="548"/>
      <c r="D891" s="548"/>
      <c r="E891" s="548"/>
      <c r="F891" s="548"/>
      <c r="G891" s="548"/>
    </row>
    <row r="892" spans="3:7">
      <c r="C892" s="548"/>
      <c r="D892" s="548"/>
      <c r="E892" s="548"/>
      <c r="F892" s="548"/>
      <c r="G892" s="548"/>
    </row>
    <row r="893" spans="3:7">
      <c r="C893" s="548"/>
      <c r="D893" s="548"/>
      <c r="E893" s="548"/>
      <c r="F893" s="548"/>
      <c r="G893" s="548"/>
    </row>
    <row r="894" spans="3:7">
      <c r="C894" s="548"/>
      <c r="D894" s="548"/>
      <c r="E894" s="548"/>
      <c r="F894" s="548"/>
      <c r="G894" s="548"/>
    </row>
    <row r="895" spans="3:7">
      <c r="C895" s="548"/>
      <c r="D895" s="548"/>
      <c r="E895" s="548"/>
      <c r="F895" s="548"/>
      <c r="G895" s="548"/>
    </row>
    <row r="896" spans="3:7">
      <c r="C896" s="548"/>
      <c r="D896" s="548"/>
      <c r="E896" s="548"/>
      <c r="F896" s="548"/>
      <c r="G896" s="548"/>
    </row>
    <row r="897" spans="3:7">
      <c r="C897" s="548"/>
      <c r="D897" s="548"/>
      <c r="E897" s="548"/>
      <c r="F897" s="548"/>
      <c r="G897" s="548"/>
    </row>
    <row r="898" spans="3:7">
      <c r="C898" s="548"/>
      <c r="D898" s="548"/>
      <c r="E898" s="548"/>
      <c r="F898" s="548"/>
      <c r="G898" s="548"/>
    </row>
    <row r="899" spans="3:7">
      <c r="C899" s="548"/>
      <c r="D899" s="548"/>
      <c r="E899" s="548"/>
      <c r="F899" s="548"/>
      <c r="G899" s="548"/>
    </row>
    <row r="900" spans="3:7">
      <c r="C900" s="548"/>
      <c r="D900" s="548"/>
      <c r="E900" s="548"/>
      <c r="F900" s="548"/>
      <c r="G900" s="548"/>
    </row>
    <row r="901" spans="3:7">
      <c r="C901" s="548"/>
      <c r="D901" s="548"/>
      <c r="E901" s="548"/>
      <c r="F901" s="548"/>
      <c r="G901" s="548"/>
    </row>
    <row r="902" spans="3:7">
      <c r="C902" s="548"/>
      <c r="D902" s="548"/>
      <c r="E902" s="548"/>
      <c r="F902" s="548"/>
      <c r="G902" s="548"/>
    </row>
    <row r="903" spans="3:7">
      <c r="C903" s="548"/>
      <c r="D903" s="548"/>
      <c r="E903" s="548"/>
      <c r="F903" s="548"/>
      <c r="G903" s="548"/>
    </row>
    <row r="904" spans="3:7">
      <c r="C904" s="548"/>
      <c r="D904" s="548"/>
      <c r="E904" s="548"/>
      <c r="F904" s="548"/>
      <c r="G904" s="548"/>
    </row>
    <row r="905" spans="3:7">
      <c r="C905" s="548"/>
      <c r="D905" s="548"/>
      <c r="E905" s="548"/>
      <c r="F905" s="548"/>
      <c r="G905" s="548"/>
    </row>
    <row r="906" spans="3:7">
      <c r="C906" s="548"/>
      <c r="D906" s="548"/>
      <c r="E906" s="548"/>
      <c r="F906" s="548"/>
      <c r="G906" s="548"/>
    </row>
    <row r="907" spans="3:7">
      <c r="C907" s="548"/>
      <c r="D907" s="548"/>
      <c r="E907" s="548"/>
      <c r="F907" s="548"/>
      <c r="G907" s="548"/>
    </row>
    <row r="908" spans="3:7">
      <c r="C908" s="548"/>
      <c r="D908" s="548"/>
      <c r="E908" s="548"/>
      <c r="F908" s="548"/>
      <c r="G908" s="548"/>
    </row>
    <row r="909" spans="3:7">
      <c r="C909" s="548"/>
      <c r="D909" s="548"/>
      <c r="E909" s="548"/>
      <c r="F909" s="548"/>
      <c r="G909" s="548"/>
    </row>
    <row r="910" spans="3:7">
      <c r="C910" s="548"/>
      <c r="D910" s="548"/>
      <c r="E910" s="548"/>
      <c r="F910" s="548"/>
      <c r="G910" s="548"/>
    </row>
    <row r="911" spans="3:7">
      <c r="C911" s="548"/>
      <c r="D911" s="548"/>
      <c r="E911" s="548"/>
      <c r="F911" s="548"/>
      <c r="G911" s="548"/>
    </row>
    <row r="912" spans="3:7">
      <c r="C912" s="548"/>
      <c r="D912" s="548"/>
      <c r="E912" s="548"/>
      <c r="F912" s="548"/>
      <c r="G912" s="548"/>
    </row>
    <row r="913" spans="3:7">
      <c r="C913" s="548"/>
      <c r="D913" s="548"/>
      <c r="E913" s="548"/>
      <c r="F913" s="548"/>
      <c r="G913" s="548"/>
    </row>
    <row r="914" spans="3:7">
      <c r="C914" s="548"/>
      <c r="D914" s="548"/>
      <c r="E914" s="548"/>
      <c r="F914" s="548"/>
      <c r="G914" s="548"/>
    </row>
    <row r="915" spans="3:7">
      <c r="C915" s="548"/>
      <c r="D915" s="548"/>
      <c r="E915" s="548"/>
      <c r="F915" s="548"/>
      <c r="G915" s="548"/>
    </row>
    <row r="916" spans="3:7">
      <c r="C916" s="548"/>
      <c r="D916" s="548"/>
      <c r="E916" s="548"/>
      <c r="F916" s="548"/>
      <c r="G916" s="548"/>
    </row>
    <row r="917" spans="3:7">
      <c r="C917" s="548"/>
      <c r="D917" s="548"/>
      <c r="E917" s="548"/>
      <c r="F917" s="548"/>
      <c r="G917" s="548"/>
    </row>
    <row r="918" spans="3:7">
      <c r="C918" s="548"/>
      <c r="D918" s="548"/>
      <c r="E918" s="548"/>
      <c r="F918" s="548"/>
      <c r="G918" s="548"/>
    </row>
    <row r="919" spans="3:7">
      <c r="C919" s="548"/>
      <c r="D919" s="548"/>
      <c r="E919" s="548"/>
      <c r="F919" s="548"/>
      <c r="G919" s="548"/>
    </row>
    <row r="920" spans="3:7">
      <c r="C920" s="548"/>
      <c r="D920" s="548"/>
      <c r="E920" s="548"/>
      <c r="F920" s="548"/>
      <c r="G920" s="548"/>
    </row>
    <row r="921" spans="3:7">
      <c r="C921" s="548"/>
      <c r="D921" s="548"/>
      <c r="E921" s="548"/>
      <c r="F921" s="548"/>
      <c r="G921" s="548"/>
    </row>
    <row r="922" spans="3:7">
      <c r="C922" s="548"/>
      <c r="D922" s="548"/>
      <c r="E922" s="548"/>
      <c r="F922" s="548"/>
      <c r="G922" s="548"/>
    </row>
    <row r="923" spans="3:7">
      <c r="C923" s="548"/>
      <c r="D923" s="548"/>
      <c r="E923" s="548"/>
      <c r="F923" s="548"/>
      <c r="G923" s="548"/>
    </row>
    <row r="924" spans="3:7">
      <c r="C924" s="548"/>
      <c r="D924" s="548"/>
      <c r="E924" s="548"/>
      <c r="F924" s="548"/>
      <c r="G924" s="548"/>
    </row>
    <row r="925" spans="3:7">
      <c r="C925" s="548"/>
      <c r="D925" s="548"/>
      <c r="E925" s="548"/>
      <c r="F925" s="548"/>
      <c r="G925" s="548"/>
    </row>
    <row r="926" spans="3:7">
      <c r="C926" s="548"/>
      <c r="D926" s="548"/>
      <c r="E926" s="548"/>
      <c r="F926" s="548"/>
      <c r="G926" s="548"/>
    </row>
    <row r="927" spans="3:7">
      <c r="C927" s="548"/>
      <c r="D927" s="548"/>
      <c r="E927" s="548"/>
      <c r="F927" s="548"/>
      <c r="G927" s="548"/>
    </row>
    <row r="928" spans="3:7">
      <c r="C928" s="548"/>
      <c r="D928" s="548"/>
      <c r="E928" s="548"/>
      <c r="F928" s="548"/>
      <c r="G928" s="548"/>
    </row>
    <row r="929" spans="3:7">
      <c r="C929" s="548"/>
      <c r="D929" s="548"/>
      <c r="E929" s="548"/>
      <c r="F929" s="548"/>
      <c r="G929" s="548"/>
    </row>
    <row r="930" spans="3:7">
      <c r="C930" s="548"/>
      <c r="D930" s="548"/>
      <c r="E930" s="548"/>
      <c r="F930" s="548"/>
      <c r="G930" s="548"/>
    </row>
    <row r="931" spans="3:7">
      <c r="C931" s="548"/>
      <c r="D931" s="548"/>
      <c r="E931" s="548"/>
      <c r="F931" s="548"/>
      <c r="G931" s="548"/>
    </row>
    <row r="932" spans="3:7">
      <c r="C932" s="548"/>
      <c r="D932" s="548"/>
      <c r="E932" s="548"/>
      <c r="F932" s="548"/>
      <c r="G932" s="548"/>
    </row>
    <row r="933" spans="3:7">
      <c r="C933" s="548"/>
      <c r="D933" s="548"/>
      <c r="E933" s="548"/>
      <c r="F933" s="548"/>
      <c r="G933" s="548"/>
    </row>
    <row r="934" spans="3:7">
      <c r="C934" s="548"/>
      <c r="D934" s="548"/>
      <c r="E934" s="548"/>
      <c r="F934" s="548"/>
      <c r="G934" s="548"/>
    </row>
    <row r="935" spans="3:7">
      <c r="C935" s="548"/>
      <c r="D935" s="548"/>
      <c r="E935" s="548"/>
      <c r="F935" s="548"/>
      <c r="G935" s="548"/>
    </row>
    <row r="936" spans="3:7">
      <c r="C936" s="548"/>
      <c r="D936" s="548"/>
      <c r="E936" s="548"/>
      <c r="F936" s="548"/>
      <c r="G936" s="548"/>
    </row>
    <row r="937" spans="3:7">
      <c r="C937" s="548"/>
      <c r="D937" s="548"/>
      <c r="E937" s="548"/>
      <c r="F937" s="548"/>
      <c r="G937" s="548"/>
    </row>
    <row r="938" spans="3:7">
      <c r="C938" s="548"/>
      <c r="D938" s="548"/>
      <c r="E938" s="548"/>
      <c r="F938" s="548"/>
      <c r="G938" s="548"/>
    </row>
    <row r="939" spans="3:7">
      <c r="C939" s="548"/>
      <c r="D939" s="548"/>
      <c r="E939" s="548"/>
      <c r="F939" s="548"/>
      <c r="G939" s="548"/>
    </row>
    <row r="940" spans="3:7">
      <c r="C940" s="548"/>
      <c r="D940" s="548"/>
      <c r="E940" s="548"/>
      <c r="F940" s="548"/>
      <c r="G940" s="548"/>
    </row>
    <row r="941" spans="3:7">
      <c r="C941" s="548"/>
      <c r="D941" s="548"/>
      <c r="E941" s="548"/>
      <c r="F941" s="548"/>
      <c r="G941" s="548"/>
    </row>
    <row r="942" spans="3:7">
      <c r="C942" s="548"/>
      <c r="D942" s="548"/>
      <c r="E942" s="548"/>
      <c r="F942" s="548"/>
      <c r="G942" s="548"/>
    </row>
    <row r="943" spans="3:7">
      <c r="C943" s="548"/>
      <c r="D943" s="548"/>
      <c r="E943" s="548"/>
      <c r="F943" s="548"/>
      <c r="G943" s="548"/>
    </row>
    <row r="944" spans="3:7">
      <c r="C944" s="548"/>
      <c r="D944" s="548"/>
      <c r="E944" s="548"/>
      <c r="F944" s="548"/>
      <c r="G944" s="548"/>
    </row>
    <row r="945" spans="3:7">
      <c r="C945" s="548"/>
      <c r="D945" s="548"/>
      <c r="E945" s="548"/>
      <c r="F945" s="548"/>
      <c r="G945" s="548"/>
    </row>
    <row r="946" spans="3:7">
      <c r="C946" s="548"/>
      <c r="D946" s="548"/>
      <c r="E946" s="548"/>
      <c r="F946" s="548"/>
      <c r="G946" s="548"/>
    </row>
    <row r="947" spans="3:7">
      <c r="C947" s="548"/>
      <c r="D947" s="548"/>
      <c r="E947" s="548"/>
      <c r="F947" s="548"/>
      <c r="G947" s="548"/>
    </row>
    <row r="948" spans="3:7">
      <c r="C948" s="548"/>
      <c r="D948" s="548"/>
      <c r="E948" s="548"/>
      <c r="F948" s="548"/>
      <c r="G948" s="548"/>
    </row>
    <row r="949" spans="3:7">
      <c r="C949" s="548"/>
      <c r="D949" s="548"/>
      <c r="E949" s="548"/>
      <c r="F949" s="548"/>
      <c r="G949" s="548"/>
    </row>
    <row r="950" spans="3:7">
      <c r="C950" s="548"/>
      <c r="D950" s="548"/>
      <c r="E950" s="548"/>
      <c r="F950" s="548"/>
      <c r="G950" s="548"/>
    </row>
    <row r="951" spans="3:7">
      <c r="C951" s="548"/>
      <c r="D951" s="548"/>
      <c r="E951" s="548"/>
      <c r="F951" s="548"/>
      <c r="G951" s="548"/>
    </row>
    <row r="952" spans="3:7">
      <c r="C952" s="548"/>
      <c r="D952" s="548"/>
      <c r="E952" s="548"/>
      <c r="F952" s="548"/>
      <c r="G952" s="548"/>
    </row>
    <row r="953" spans="3:7">
      <c r="C953" s="548"/>
      <c r="D953" s="548"/>
      <c r="E953" s="548"/>
      <c r="F953" s="548"/>
      <c r="G953" s="548"/>
    </row>
    <row r="954" spans="3:7">
      <c r="C954" s="548"/>
      <c r="D954" s="548"/>
      <c r="E954" s="548"/>
      <c r="F954" s="548"/>
      <c r="G954" s="548"/>
    </row>
    <row r="955" spans="3:7">
      <c r="C955" s="548"/>
      <c r="D955" s="548"/>
      <c r="E955" s="548"/>
      <c r="F955" s="548"/>
      <c r="G955" s="548"/>
    </row>
    <row r="956" spans="3:7">
      <c r="C956" s="548"/>
      <c r="D956" s="548"/>
      <c r="E956" s="548"/>
      <c r="F956" s="548"/>
      <c r="G956" s="548"/>
    </row>
    <row r="957" spans="3:7">
      <c r="C957" s="548"/>
      <c r="D957" s="548"/>
      <c r="E957" s="548"/>
      <c r="F957" s="548"/>
      <c r="G957" s="548"/>
    </row>
    <row r="958" spans="3:7">
      <c r="C958" s="548"/>
      <c r="D958" s="548"/>
      <c r="E958" s="548"/>
      <c r="F958" s="548"/>
      <c r="G958" s="548"/>
    </row>
    <row r="959" spans="3:7">
      <c r="C959" s="548"/>
      <c r="D959" s="548"/>
      <c r="E959" s="548"/>
      <c r="F959" s="548"/>
      <c r="G959" s="548"/>
    </row>
    <row r="960" spans="3:7">
      <c r="C960" s="548"/>
      <c r="D960" s="548"/>
      <c r="E960" s="548"/>
      <c r="F960" s="548"/>
      <c r="G960" s="548"/>
    </row>
    <row r="961" spans="3:7">
      <c r="C961" s="548"/>
      <c r="D961" s="548"/>
      <c r="E961" s="548"/>
      <c r="F961" s="548"/>
      <c r="G961" s="548"/>
    </row>
    <row r="962" spans="3:7">
      <c r="C962" s="548"/>
      <c r="D962" s="548"/>
      <c r="E962" s="548"/>
      <c r="F962" s="548"/>
      <c r="G962" s="548"/>
    </row>
    <row r="963" spans="3:7">
      <c r="C963" s="548"/>
      <c r="D963" s="548"/>
      <c r="E963" s="548"/>
      <c r="F963" s="548"/>
      <c r="G963" s="548"/>
    </row>
    <row r="964" spans="3:7">
      <c r="C964" s="548"/>
      <c r="D964" s="548"/>
      <c r="E964" s="548"/>
      <c r="F964" s="548"/>
      <c r="G964" s="548"/>
    </row>
    <row r="965" spans="3:7">
      <c r="C965" s="548"/>
      <c r="D965" s="548"/>
      <c r="E965" s="548"/>
      <c r="F965" s="548"/>
      <c r="G965" s="548"/>
    </row>
    <row r="966" spans="3:7">
      <c r="C966" s="548"/>
      <c r="D966" s="548"/>
      <c r="E966" s="548"/>
      <c r="F966" s="548"/>
      <c r="G966" s="548"/>
    </row>
    <row r="967" spans="3:7">
      <c r="C967" s="548"/>
      <c r="D967" s="548"/>
      <c r="E967" s="548"/>
      <c r="F967" s="548"/>
      <c r="G967" s="548"/>
    </row>
    <row r="968" spans="3:7">
      <c r="C968" s="548"/>
      <c r="D968" s="548"/>
      <c r="E968" s="548"/>
      <c r="F968" s="548"/>
      <c r="G968" s="548"/>
    </row>
    <row r="969" spans="3:7">
      <c r="C969" s="548"/>
      <c r="D969" s="548"/>
      <c r="E969" s="548"/>
      <c r="F969" s="548"/>
      <c r="G969" s="548"/>
    </row>
    <row r="970" spans="3:7">
      <c r="C970" s="548"/>
      <c r="D970" s="548"/>
      <c r="E970" s="548"/>
      <c r="F970" s="548"/>
      <c r="G970" s="548"/>
    </row>
    <row r="971" spans="3:7">
      <c r="C971" s="548"/>
      <c r="D971" s="548"/>
      <c r="E971" s="548"/>
      <c r="F971" s="548"/>
      <c r="G971" s="548"/>
    </row>
    <row r="972" spans="3:7">
      <c r="C972" s="548"/>
      <c r="D972" s="548"/>
      <c r="E972" s="548"/>
      <c r="F972" s="548"/>
      <c r="G972" s="548"/>
    </row>
    <row r="973" spans="3:7">
      <c r="C973" s="548"/>
      <c r="D973" s="548"/>
      <c r="E973" s="548"/>
      <c r="F973" s="548"/>
      <c r="G973" s="548"/>
    </row>
    <row r="974" spans="3:7">
      <c r="C974" s="548"/>
      <c r="D974" s="548"/>
      <c r="E974" s="548"/>
      <c r="F974" s="548"/>
      <c r="G974" s="548"/>
    </row>
    <row r="975" spans="3:7">
      <c r="C975" s="548"/>
      <c r="D975" s="548"/>
      <c r="E975" s="548"/>
      <c r="F975" s="548"/>
      <c r="G975" s="548"/>
    </row>
    <row r="976" spans="3:7">
      <c r="C976" s="548"/>
      <c r="D976" s="548"/>
      <c r="E976" s="548"/>
      <c r="F976" s="548"/>
      <c r="G976" s="548"/>
    </row>
    <row r="977" spans="3:7">
      <c r="C977" s="548"/>
      <c r="D977" s="548"/>
      <c r="E977" s="548"/>
      <c r="F977" s="548"/>
      <c r="G977" s="548"/>
    </row>
    <row r="978" spans="3:7">
      <c r="C978" s="548"/>
      <c r="D978" s="548"/>
      <c r="E978" s="548"/>
      <c r="F978" s="548"/>
      <c r="G978" s="548"/>
    </row>
    <row r="979" spans="3:7">
      <c r="C979" s="548"/>
      <c r="D979" s="548"/>
      <c r="E979" s="548"/>
      <c r="F979" s="548"/>
      <c r="G979" s="548"/>
    </row>
    <row r="980" spans="3:7">
      <c r="C980" s="548"/>
      <c r="D980" s="548"/>
      <c r="E980" s="548"/>
      <c r="F980" s="548"/>
      <c r="G980" s="548"/>
    </row>
    <row r="981" spans="3:7">
      <c r="C981" s="548"/>
      <c r="D981" s="548"/>
      <c r="E981" s="548"/>
      <c r="F981" s="548"/>
      <c r="G981" s="548"/>
    </row>
    <row r="982" spans="3:7">
      <c r="C982" s="548"/>
      <c r="D982" s="548"/>
      <c r="E982" s="548"/>
      <c r="F982" s="548"/>
      <c r="G982" s="548"/>
    </row>
    <row r="983" spans="3:7">
      <c r="C983" s="548"/>
      <c r="D983" s="548"/>
      <c r="E983" s="548"/>
      <c r="F983" s="548"/>
      <c r="G983" s="548"/>
    </row>
    <row r="984" spans="3:7">
      <c r="C984" s="548"/>
      <c r="D984" s="548"/>
      <c r="E984" s="548"/>
      <c r="F984" s="548"/>
      <c r="G984" s="548"/>
    </row>
    <row r="985" spans="3:7">
      <c r="C985" s="548"/>
      <c r="D985" s="548"/>
      <c r="E985" s="548"/>
      <c r="F985" s="548"/>
      <c r="G985" s="548"/>
    </row>
    <row r="986" spans="3:7">
      <c r="C986" s="548"/>
      <c r="D986" s="548"/>
      <c r="E986" s="548"/>
      <c r="F986" s="548"/>
      <c r="G986" s="548"/>
    </row>
    <row r="987" spans="3:7">
      <c r="C987" s="548"/>
      <c r="D987" s="548"/>
      <c r="E987" s="548"/>
      <c r="F987" s="548"/>
      <c r="G987" s="548"/>
    </row>
    <row r="988" spans="3:7">
      <c r="C988" s="548"/>
      <c r="D988" s="548"/>
      <c r="E988" s="548"/>
      <c r="F988" s="548"/>
      <c r="G988" s="548"/>
    </row>
    <row r="989" spans="3:7">
      <c r="C989" s="548"/>
      <c r="D989" s="548"/>
      <c r="E989" s="548"/>
      <c r="F989" s="548"/>
      <c r="G989" s="548"/>
    </row>
    <row r="990" spans="3:7">
      <c r="C990" s="548"/>
      <c r="D990" s="548"/>
      <c r="E990" s="548"/>
      <c r="F990" s="548"/>
      <c r="G990" s="548"/>
    </row>
    <row r="991" spans="3:7">
      <c r="C991" s="548"/>
      <c r="D991" s="548"/>
      <c r="E991" s="548"/>
      <c r="F991" s="548"/>
      <c r="G991" s="548"/>
    </row>
    <row r="992" spans="3:7">
      <c r="C992" s="548"/>
      <c r="D992" s="548"/>
      <c r="E992" s="548"/>
      <c r="F992" s="548"/>
      <c r="G992" s="548"/>
    </row>
    <row r="993" spans="3:7">
      <c r="C993" s="548"/>
      <c r="D993" s="548"/>
      <c r="E993" s="548"/>
      <c r="F993" s="548"/>
      <c r="G993" s="548"/>
    </row>
    <row r="994" spans="3:7">
      <c r="C994" s="548"/>
      <c r="D994" s="548"/>
      <c r="E994" s="548"/>
      <c r="F994" s="548"/>
      <c r="G994" s="548"/>
    </row>
    <row r="995" spans="3:7">
      <c r="C995" s="548"/>
      <c r="D995" s="548"/>
      <c r="E995" s="548"/>
      <c r="F995" s="548"/>
      <c r="G995" s="548"/>
    </row>
    <row r="996" spans="3:7">
      <c r="C996" s="548"/>
      <c r="D996" s="548"/>
      <c r="E996" s="548"/>
      <c r="F996" s="548"/>
      <c r="G996" s="548"/>
    </row>
    <row r="997" spans="3:7">
      <c r="C997" s="548"/>
      <c r="D997" s="548"/>
      <c r="E997" s="548"/>
      <c r="F997" s="548"/>
      <c r="G997" s="548"/>
    </row>
    <row r="998" spans="3:7">
      <c r="C998" s="548"/>
      <c r="D998" s="548"/>
      <c r="E998" s="548"/>
      <c r="F998" s="548"/>
      <c r="G998" s="548"/>
    </row>
    <row r="999" spans="3:7">
      <c r="C999" s="548"/>
      <c r="D999" s="548"/>
      <c r="E999" s="548"/>
      <c r="F999" s="548"/>
      <c r="G999" s="548"/>
    </row>
    <row r="1000" spans="3:7">
      <c r="C1000" s="548"/>
      <c r="D1000" s="548"/>
      <c r="E1000" s="548"/>
      <c r="F1000" s="548"/>
      <c r="G1000" s="548"/>
    </row>
    <row r="1001" spans="3:7">
      <c r="C1001" s="548"/>
      <c r="D1001" s="548"/>
      <c r="E1001" s="548"/>
      <c r="F1001" s="548"/>
      <c r="G1001" s="548"/>
    </row>
    <row r="1002" spans="3:7">
      <c r="C1002" s="548"/>
      <c r="D1002" s="548"/>
      <c r="E1002" s="548"/>
      <c r="F1002" s="548"/>
      <c r="G1002" s="548"/>
    </row>
    <row r="1003" spans="3:7">
      <c r="C1003" s="548"/>
      <c r="D1003" s="548"/>
      <c r="E1003" s="548"/>
      <c r="F1003" s="548"/>
      <c r="G1003" s="548"/>
    </row>
    <row r="1004" spans="3:7">
      <c r="C1004" s="548"/>
      <c r="D1004" s="548"/>
      <c r="E1004" s="548"/>
      <c r="F1004" s="548"/>
      <c r="G1004" s="548"/>
    </row>
    <row r="1005" spans="3:7">
      <c r="C1005" s="548"/>
      <c r="D1005" s="548"/>
      <c r="E1005" s="548"/>
      <c r="F1005" s="548"/>
      <c r="G1005" s="548"/>
    </row>
    <row r="1006" spans="3:7">
      <c r="C1006" s="548"/>
      <c r="D1006" s="548"/>
      <c r="E1006" s="548"/>
      <c r="F1006" s="548"/>
      <c r="G1006" s="548"/>
    </row>
    <row r="1007" spans="3:7">
      <c r="C1007" s="548"/>
      <c r="D1007" s="548"/>
      <c r="E1007" s="548"/>
      <c r="F1007" s="548"/>
      <c r="G1007" s="548"/>
    </row>
    <row r="1008" spans="3:7">
      <c r="C1008" s="548"/>
      <c r="D1008" s="548"/>
      <c r="E1008" s="548"/>
      <c r="F1008" s="548"/>
      <c r="G1008" s="548"/>
    </row>
    <row r="1009" spans="3:7">
      <c r="C1009" s="548"/>
      <c r="D1009" s="548"/>
      <c r="E1009" s="548"/>
      <c r="F1009" s="548"/>
      <c r="G1009" s="548"/>
    </row>
    <row r="1010" spans="3:7">
      <c r="C1010" s="548"/>
      <c r="D1010" s="548"/>
      <c r="E1010" s="548"/>
      <c r="F1010" s="548"/>
      <c r="G1010" s="548"/>
    </row>
    <row r="1011" spans="3:7">
      <c r="C1011" s="548"/>
      <c r="D1011" s="548"/>
      <c r="E1011" s="548"/>
      <c r="F1011" s="548"/>
      <c r="G1011" s="548"/>
    </row>
    <row r="1012" spans="3:7">
      <c r="C1012" s="548"/>
      <c r="D1012" s="548"/>
      <c r="E1012" s="548"/>
      <c r="F1012" s="548"/>
      <c r="G1012" s="548"/>
    </row>
    <row r="1013" spans="3:7">
      <c r="C1013" s="548"/>
      <c r="D1013" s="548"/>
      <c r="E1013" s="548"/>
      <c r="F1013" s="548"/>
      <c r="G1013" s="548"/>
    </row>
    <row r="1014" spans="3:7">
      <c r="C1014" s="548"/>
      <c r="D1014" s="548"/>
      <c r="E1014" s="548"/>
      <c r="F1014" s="548"/>
      <c r="G1014" s="548"/>
    </row>
    <row r="1015" spans="3:7">
      <c r="C1015" s="548"/>
      <c r="D1015" s="548"/>
      <c r="E1015" s="548"/>
      <c r="F1015" s="548"/>
      <c r="G1015" s="548"/>
    </row>
    <row r="1016" spans="3:7">
      <c r="C1016" s="548"/>
      <c r="D1016" s="548"/>
      <c r="E1016" s="548"/>
      <c r="F1016" s="548"/>
      <c r="G1016" s="548"/>
    </row>
    <row r="1017" spans="3:7">
      <c r="C1017" s="548"/>
      <c r="D1017" s="548"/>
      <c r="E1017" s="548"/>
      <c r="F1017" s="548"/>
      <c r="G1017" s="548"/>
    </row>
    <row r="1018" spans="3:7">
      <c r="C1018" s="548"/>
      <c r="D1018" s="548"/>
      <c r="E1018" s="548"/>
      <c r="F1018" s="548"/>
      <c r="G1018" s="548"/>
    </row>
    <row r="1019" spans="3:7">
      <c r="C1019" s="548"/>
      <c r="D1019" s="548"/>
      <c r="E1019" s="548"/>
      <c r="F1019" s="548"/>
      <c r="G1019" s="548"/>
    </row>
    <row r="1020" spans="3:7">
      <c r="C1020" s="548"/>
      <c r="D1020" s="548"/>
      <c r="E1020" s="548"/>
      <c r="F1020" s="548"/>
      <c r="G1020" s="548"/>
    </row>
    <row r="1021" spans="3:7">
      <c r="C1021" s="548"/>
      <c r="D1021" s="548"/>
      <c r="E1021" s="548"/>
      <c r="F1021" s="548"/>
      <c r="G1021" s="548"/>
    </row>
    <row r="1022" spans="3:7">
      <c r="C1022" s="548"/>
      <c r="D1022" s="548"/>
      <c r="E1022" s="548"/>
      <c r="F1022" s="548"/>
      <c r="G1022" s="548"/>
    </row>
    <row r="1023" spans="3:7">
      <c r="C1023" s="548"/>
      <c r="D1023" s="548"/>
      <c r="E1023" s="548"/>
      <c r="F1023" s="548"/>
      <c r="G1023" s="548"/>
    </row>
    <row r="1024" spans="3:7">
      <c r="C1024" s="548"/>
      <c r="D1024" s="548"/>
      <c r="E1024" s="548"/>
      <c r="F1024" s="548"/>
      <c r="G1024" s="548"/>
    </row>
    <row r="1025" spans="3:7">
      <c r="C1025" s="548"/>
      <c r="D1025" s="548"/>
      <c r="E1025" s="548"/>
      <c r="F1025" s="548"/>
      <c r="G1025" s="548"/>
    </row>
    <row r="1026" spans="3:7">
      <c r="C1026" s="548"/>
      <c r="D1026" s="548"/>
      <c r="E1026" s="548"/>
      <c r="F1026" s="548"/>
      <c r="G1026" s="548"/>
    </row>
    <row r="1027" spans="3:7">
      <c r="C1027" s="548"/>
      <c r="D1027" s="548"/>
      <c r="E1027" s="548"/>
      <c r="F1027" s="548"/>
      <c r="G1027" s="548"/>
    </row>
    <row r="1028" spans="3:7">
      <c r="C1028" s="548"/>
      <c r="D1028" s="548"/>
      <c r="E1028" s="548"/>
      <c r="F1028" s="548"/>
      <c r="G1028" s="548"/>
    </row>
    <row r="1029" spans="3:7">
      <c r="C1029" s="548"/>
      <c r="D1029" s="548"/>
      <c r="E1029" s="548"/>
      <c r="F1029" s="548"/>
      <c r="G1029" s="548"/>
    </row>
    <row r="1030" spans="3:7">
      <c r="C1030" s="548"/>
      <c r="D1030" s="548"/>
      <c r="E1030" s="548"/>
      <c r="F1030" s="548"/>
      <c r="G1030" s="548"/>
    </row>
    <row r="1031" spans="3:7">
      <c r="C1031" s="548"/>
      <c r="D1031" s="548"/>
      <c r="E1031" s="548"/>
      <c r="F1031" s="548"/>
      <c r="G1031" s="548"/>
    </row>
    <row r="1032" spans="3:7">
      <c r="C1032" s="548"/>
      <c r="D1032" s="548"/>
      <c r="E1032" s="548"/>
      <c r="F1032" s="548"/>
      <c r="G1032" s="548"/>
    </row>
    <row r="1033" spans="3:7">
      <c r="C1033" s="548"/>
      <c r="D1033" s="548"/>
      <c r="E1033" s="548"/>
      <c r="F1033" s="548"/>
      <c r="G1033" s="548"/>
    </row>
    <row r="1034" spans="3:7">
      <c r="C1034" s="548"/>
      <c r="D1034" s="548"/>
      <c r="E1034" s="548"/>
      <c r="F1034" s="548"/>
      <c r="G1034" s="548"/>
    </row>
    <row r="1035" spans="3:7">
      <c r="C1035" s="548"/>
      <c r="D1035" s="548"/>
      <c r="E1035" s="548"/>
      <c r="F1035" s="548"/>
      <c r="G1035" s="548"/>
    </row>
    <row r="1036" spans="3:7">
      <c r="C1036" s="548"/>
      <c r="D1036" s="548"/>
      <c r="E1036" s="548"/>
      <c r="F1036" s="548"/>
      <c r="G1036" s="548"/>
    </row>
    <row r="1037" spans="3:7">
      <c r="C1037" s="548"/>
      <c r="D1037" s="548"/>
      <c r="E1037" s="548"/>
      <c r="F1037" s="548"/>
      <c r="G1037" s="548"/>
    </row>
    <row r="1038" spans="3:7">
      <c r="C1038" s="548"/>
      <c r="D1038" s="548"/>
      <c r="E1038" s="548"/>
      <c r="F1038" s="548"/>
      <c r="G1038" s="548"/>
    </row>
    <row r="1039" spans="3:7">
      <c r="C1039" s="548"/>
      <c r="D1039" s="548"/>
      <c r="E1039" s="548"/>
      <c r="F1039" s="548"/>
      <c r="G1039" s="548"/>
    </row>
    <row r="1040" spans="3:7">
      <c r="C1040" s="548"/>
      <c r="D1040" s="548"/>
      <c r="E1040" s="548"/>
      <c r="F1040" s="548"/>
      <c r="G1040" s="548"/>
    </row>
    <row r="1041" spans="3:7">
      <c r="C1041" s="548"/>
      <c r="D1041" s="548"/>
      <c r="E1041" s="548"/>
      <c r="F1041" s="548"/>
      <c r="G1041" s="548"/>
    </row>
    <row r="1042" spans="3:7">
      <c r="C1042" s="548"/>
      <c r="D1042" s="548"/>
      <c r="E1042" s="548"/>
      <c r="F1042" s="548"/>
      <c r="G1042" s="548"/>
    </row>
    <row r="1043" spans="3:7">
      <c r="C1043" s="548"/>
      <c r="D1043" s="548"/>
      <c r="E1043" s="548"/>
      <c r="F1043" s="548"/>
      <c r="G1043" s="548"/>
    </row>
    <row r="1044" spans="3:7">
      <c r="C1044" s="548"/>
      <c r="D1044" s="548"/>
      <c r="E1044" s="548"/>
      <c r="F1044" s="548"/>
      <c r="G1044" s="548"/>
    </row>
    <row r="1045" spans="3:7">
      <c r="C1045" s="548"/>
      <c r="D1045" s="548"/>
      <c r="E1045" s="548"/>
      <c r="F1045" s="548"/>
      <c r="G1045" s="548"/>
    </row>
    <row r="1046" spans="3:7">
      <c r="C1046" s="548"/>
      <c r="D1046" s="548"/>
      <c r="E1046" s="548"/>
      <c r="F1046" s="548"/>
      <c r="G1046" s="548"/>
    </row>
    <row r="1047" spans="3:7">
      <c r="C1047" s="548"/>
      <c r="D1047" s="548"/>
      <c r="E1047" s="548"/>
      <c r="F1047" s="548"/>
      <c r="G1047" s="548"/>
    </row>
    <row r="1048" spans="3:7">
      <c r="C1048" s="548"/>
      <c r="D1048" s="548"/>
      <c r="E1048" s="548"/>
      <c r="F1048" s="548"/>
      <c r="G1048" s="548"/>
    </row>
    <row r="1049" spans="3:7">
      <c r="C1049" s="548"/>
      <c r="D1049" s="548"/>
      <c r="E1049" s="548"/>
      <c r="F1049" s="548"/>
      <c r="G1049" s="548"/>
    </row>
    <row r="1050" spans="3:7">
      <c r="C1050" s="548"/>
      <c r="D1050" s="548"/>
      <c r="E1050" s="548"/>
      <c r="F1050" s="548"/>
      <c r="G1050" s="548"/>
    </row>
    <row r="1051" spans="3:7">
      <c r="C1051" s="548"/>
      <c r="D1051" s="548"/>
      <c r="E1051" s="548"/>
      <c r="F1051" s="548"/>
      <c r="G1051" s="548"/>
    </row>
    <row r="1052" spans="3:7">
      <c r="C1052" s="548"/>
      <c r="D1052" s="548"/>
      <c r="E1052" s="548"/>
      <c r="F1052" s="548"/>
      <c r="G1052" s="548"/>
    </row>
    <row r="1053" spans="3:7">
      <c r="C1053" s="548"/>
      <c r="D1053" s="548"/>
      <c r="E1053" s="548"/>
      <c r="F1053" s="548"/>
      <c r="G1053" s="548"/>
    </row>
    <row r="1054" spans="3:7">
      <c r="C1054" s="548"/>
      <c r="D1054" s="548"/>
      <c r="E1054" s="548"/>
      <c r="F1054" s="548"/>
      <c r="G1054" s="548"/>
    </row>
    <row r="1055" spans="3:7">
      <c r="C1055" s="548"/>
      <c r="D1055" s="548"/>
      <c r="E1055" s="548"/>
      <c r="F1055" s="548"/>
      <c r="G1055" s="548"/>
    </row>
    <row r="1056" spans="3:7">
      <c r="C1056" s="548"/>
      <c r="D1056" s="548"/>
      <c r="E1056" s="548"/>
      <c r="F1056" s="548"/>
      <c r="G1056" s="548"/>
    </row>
    <row r="1057" spans="3:7">
      <c r="C1057" s="548"/>
      <c r="D1057" s="548"/>
      <c r="E1057" s="548"/>
      <c r="F1057" s="548"/>
      <c r="G1057" s="548"/>
    </row>
    <row r="1058" spans="3:7">
      <c r="C1058" s="548"/>
      <c r="D1058" s="548"/>
      <c r="E1058" s="548"/>
      <c r="F1058" s="548"/>
      <c r="G1058" s="548"/>
    </row>
    <row r="1059" spans="3:7">
      <c r="C1059" s="548"/>
      <c r="D1059" s="548"/>
      <c r="E1059" s="548"/>
      <c r="F1059" s="548"/>
      <c r="G1059" s="548"/>
    </row>
    <row r="1060" spans="3:7">
      <c r="C1060" s="548"/>
      <c r="D1060" s="548"/>
      <c r="E1060" s="548"/>
      <c r="F1060" s="548"/>
      <c r="G1060" s="548"/>
    </row>
    <row r="1061" spans="3:7">
      <c r="C1061" s="548"/>
      <c r="D1061" s="548"/>
      <c r="E1061" s="548"/>
      <c r="F1061" s="548"/>
      <c r="G1061" s="548"/>
    </row>
    <row r="1062" spans="3:7">
      <c r="C1062" s="548"/>
      <c r="D1062" s="548"/>
      <c r="E1062" s="548"/>
      <c r="F1062" s="548"/>
      <c r="G1062" s="548"/>
    </row>
    <row r="1063" spans="3:7">
      <c r="C1063" s="548"/>
      <c r="D1063" s="548"/>
      <c r="E1063" s="548"/>
      <c r="F1063" s="548"/>
      <c r="G1063" s="548"/>
    </row>
    <row r="1064" spans="3:7">
      <c r="C1064" s="548"/>
      <c r="D1064" s="548"/>
      <c r="E1064" s="548"/>
      <c r="F1064" s="548"/>
      <c r="G1064" s="548"/>
    </row>
    <row r="1065" spans="3:7">
      <c r="C1065" s="548"/>
      <c r="D1065" s="548"/>
      <c r="E1065" s="548"/>
      <c r="F1065" s="548"/>
      <c r="G1065" s="548"/>
    </row>
    <row r="1066" spans="3:7">
      <c r="C1066" s="548"/>
      <c r="D1066" s="548"/>
      <c r="E1066" s="548"/>
      <c r="F1066" s="548"/>
      <c r="G1066" s="548"/>
    </row>
    <row r="1067" spans="3:7">
      <c r="C1067" s="548"/>
      <c r="D1067" s="548"/>
      <c r="E1067" s="548"/>
      <c r="F1067" s="548"/>
      <c r="G1067" s="548"/>
    </row>
    <row r="1068" spans="3:7">
      <c r="C1068" s="548"/>
      <c r="D1068" s="548"/>
      <c r="E1068" s="548"/>
      <c r="F1068" s="548"/>
      <c r="G1068" s="548"/>
    </row>
    <row r="1069" spans="3:7">
      <c r="C1069" s="548"/>
      <c r="D1069" s="548"/>
      <c r="E1069" s="548"/>
      <c r="F1069" s="548"/>
      <c r="G1069" s="548"/>
    </row>
    <row r="1070" spans="3:7">
      <c r="C1070" s="548"/>
      <c r="D1070" s="548"/>
      <c r="E1070" s="548"/>
      <c r="F1070" s="548"/>
      <c r="G1070" s="548"/>
    </row>
    <row r="1071" spans="3:7">
      <c r="C1071" s="548"/>
      <c r="D1071" s="548"/>
      <c r="E1071" s="548"/>
      <c r="F1071" s="548"/>
      <c r="G1071" s="548"/>
    </row>
    <row r="1072" spans="3:7">
      <c r="C1072" s="548"/>
      <c r="D1072" s="548"/>
      <c r="E1072" s="548"/>
      <c r="F1072" s="548"/>
      <c r="G1072" s="548"/>
    </row>
    <row r="1073" spans="3:7">
      <c r="C1073" s="548"/>
      <c r="D1073" s="548"/>
      <c r="E1073" s="548"/>
      <c r="F1073" s="548"/>
      <c r="G1073" s="548"/>
    </row>
    <row r="1074" spans="3:7">
      <c r="C1074" s="548"/>
      <c r="D1074" s="548"/>
      <c r="E1074" s="548"/>
      <c r="F1074" s="548"/>
      <c r="G1074" s="548"/>
    </row>
    <row r="1075" spans="3:7">
      <c r="C1075" s="548"/>
      <c r="D1075" s="548"/>
      <c r="E1075" s="548"/>
      <c r="F1075" s="548"/>
      <c r="G1075" s="548"/>
    </row>
    <row r="1076" spans="3:7">
      <c r="C1076" s="548"/>
      <c r="D1076" s="548"/>
      <c r="E1076" s="548"/>
      <c r="F1076" s="548"/>
      <c r="G1076" s="548"/>
    </row>
    <row r="1077" spans="3:7">
      <c r="C1077" s="548"/>
      <c r="D1077" s="548"/>
      <c r="E1077" s="548"/>
      <c r="F1077" s="548"/>
      <c r="G1077" s="548"/>
    </row>
    <row r="1078" spans="3:7">
      <c r="C1078" s="548"/>
      <c r="D1078" s="548"/>
      <c r="E1078" s="548"/>
      <c r="F1078" s="548"/>
      <c r="G1078" s="548"/>
    </row>
    <row r="1079" spans="3:7">
      <c r="C1079" s="548"/>
      <c r="D1079" s="548"/>
      <c r="E1079" s="548"/>
      <c r="F1079" s="548"/>
      <c r="G1079" s="548"/>
    </row>
    <row r="1080" spans="3:7">
      <c r="C1080" s="548"/>
      <c r="D1080" s="548"/>
      <c r="E1080" s="548"/>
      <c r="F1080" s="548"/>
      <c r="G1080" s="548"/>
    </row>
    <row r="1081" spans="3:7">
      <c r="C1081" s="548"/>
      <c r="D1081" s="548"/>
      <c r="E1081" s="548"/>
      <c r="F1081" s="548"/>
      <c r="G1081" s="548"/>
    </row>
    <row r="1082" spans="3:7">
      <c r="C1082" s="548"/>
      <c r="D1082" s="548"/>
      <c r="E1082" s="548"/>
      <c r="F1082" s="548"/>
      <c r="G1082" s="548"/>
    </row>
    <row r="1083" spans="3:7">
      <c r="C1083" s="548"/>
      <c r="D1083" s="548"/>
      <c r="E1083" s="548"/>
      <c r="F1083" s="548"/>
      <c r="G1083" s="548"/>
    </row>
    <row r="1084" spans="3:7">
      <c r="C1084" s="548"/>
      <c r="D1084" s="548"/>
      <c r="E1084" s="548"/>
      <c r="F1084" s="548"/>
      <c r="G1084" s="548"/>
    </row>
    <row r="1085" spans="3:7">
      <c r="C1085" s="548"/>
      <c r="D1085" s="548"/>
      <c r="E1085" s="548"/>
      <c r="F1085" s="548"/>
      <c r="G1085" s="548"/>
    </row>
    <row r="1086" spans="3:7">
      <c r="C1086" s="548"/>
      <c r="D1086" s="548"/>
      <c r="E1086" s="548"/>
      <c r="F1086" s="548"/>
      <c r="G1086" s="548"/>
    </row>
    <row r="1087" spans="3:7">
      <c r="C1087" s="548"/>
      <c r="D1087" s="548"/>
      <c r="E1087" s="548"/>
      <c r="F1087" s="548"/>
      <c r="G1087" s="548"/>
    </row>
    <row r="1088" spans="3:7">
      <c r="C1088" s="548"/>
      <c r="D1088" s="548"/>
      <c r="E1088" s="548"/>
      <c r="F1088" s="548"/>
      <c r="G1088" s="548"/>
    </row>
    <row r="1089" spans="3:7">
      <c r="C1089" s="548"/>
      <c r="D1089" s="548"/>
      <c r="E1089" s="548"/>
      <c r="F1089" s="548"/>
      <c r="G1089" s="548"/>
    </row>
    <row r="1090" spans="3:7">
      <c r="C1090" s="548"/>
      <c r="D1090" s="548"/>
      <c r="E1090" s="548"/>
      <c r="F1090" s="548"/>
      <c r="G1090" s="548"/>
    </row>
    <row r="1091" spans="3:7">
      <c r="C1091" s="548"/>
      <c r="D1091" s="548"/>
      <c r="E1091" s="548"/>
      <c r="F1091" s="548"/>
      <c r="G1091" s="548"/>
    </row>
    <row r="1092" spans="3:7">
      <c r="C1092" s="548"/>
      <c r="D1092" s="548"/>
      <c r="E1092" s="548"/>
      <c r="F1092" s="548"/>
      <c r="G1092" s="548"/>
    </row>
    <row r="1093" spans="3:7">
      <c r="C1093" s="548"/>
      <c r="D1093" s="548"/>
      <c r="E1093" s="548"/>
      <c r="F1093" s="548"/>
      <c r="G1093" s="548"/>
    </row>
    <row r="1094" spans="3:7">
      <c r="C1094" s="548"/>
      <c r="D1094" s="548"/>
      <c r="E1094" s="548"/>
      <c r="F1094" s="548"/>
      <c r="G1094" s="548"/>
    </row>
    <row r="1095" spans="3:7">
      <c r="C1095" s="548"/>
      <c r="D1095" s="548"/>
      <c r="E1095" s="548"/>
      <c r="F1095" s="548"/>
      <c r="G1095" s="548"/>
    </row>
    <row r="1096" spans="3:7">
      <c r="C1096" s="548"/>
      <c r="D1096" s="548"/>
      <c r="E1096" s="548"/>
      <c r="F1096" s="548"/>
      <c r="G1096" s="548"/>
    </row>
    <row r="1097" spans="3:7">
      <c r="C1097" s="548"/>
      <c r="D1097" s="548"/>
      <c r="E1097" s="548"/>
      <c r="F1097" s="548"/>
      <c r="G1097" s="548"/>
    </row>
    <row r="1098" spans="3:7">
      <c r="C1098" s="548"/>
      <c r="D1098" s="548"/>
      <c r="E1098" s="548"/>
      <c r="F1098" s="548"/>
      <c r="G1098" s="548"/>
    </row>
    <row r="1099" spans="3:7">
      <c r="C1099" s="548"/>
      <c r="D1099" s="548"/>
      <c r="E1099" s="548"/>
      <c r="F1099" s="548"/>
      <c r="G1099" s="548"/>
    </row>
    <row r="1100" spans="3:7">
      <c r="C1100" s="548"/>
      <c r="D1100" s="548"/>
      <c r="E1100" s="548"/>
      <c r="F1100" s="548"/>
      <c r="G1100" s="548"/>
    </row>
    <row r="1101" spans="3:7">
      <c r="C1101" s="548"/>
      <c r="D1101" s="548"/>
      <c r="E1101" s="548"/>
      <c r="F1101" s="548"/>
      <c r="G1101" s="548"/>
    </row>
    <row r="1102" spans="3:7">
      <c r="C1102" s="548"/>
      <c r="D1102" s="548"/>
      <c r="E1102" s="548"/>
      <c r="F1102" s="548"/>
      <c r="G1102" s="548"/>
    </row>
    <row r="1103" spans="3:7">
      <c r="C1103" s="548"/>
      <c r="D1103" s="548"/>
      <c r="E1103" s="548"/>
      <c r="F1103" s="548"/>
      <c r="G1103" s="548"/>
    </row>
    <row r="1104" spans="3:7">
      <c r="C1104" s="548"/>
      <c r="D1104" s="548"/>
      <c r="E1104" s="548"/>
      <c r="F1104" s="548"/>
      <c r="G1104" s="548"/>
    </row>
    <row r="1105" spans="3:7">
      <c r="C1105" s="548"/>
      <c r="D1105" s="548"/>
      <c r="E1105" s="548"/>
      <c r="F1105" s="548"/>
      <c r="G1105" s="548"/>
    </row>
    <row r="1106" spans="3:7">
      <c r="C1106" s="548"/>
      <c r="D1106" s="548"/>
      <c r="E1106" s="548"/>
      <c r="F1106" s="548"/>
      <c r="G1106" s="548"/>
    </row>
    <row r="1107" spans="3:7">
      <c r="C1107" s="548"/>
      <c r="D1107" s="548"/>
      <c r="E1107" s="548"/>
      <c r="F1107" s="548"/>
      <c r="G1107" s="548"/>
    </row>
    <row r="1108" spans="3:7">
      <c r="C1108" s="548"/>
      <c r="D1108" s="548"/>
      <c r="E1108" s="548"/>
      <c r="F1108" s="548"/>
      <c r="G1108" s="548"/>
    </row>
    <row r="1109" spans="3:7">
      <c r="C1109" s="548"/>
      <c r="D1109" s="548"/>
      <c r="E1109" s="548"/>
      <c r="F1109" s="548"/>
      <c r="G1109" s="548"/>
    </row>
    <row r="1110" spans="3:7">
      <c r="C1110" s="548"/>
      <c r="D1110" s="548"/>
      <c r="E1110" s="548"/>
      <c r="F1110" s="548"/>
      <c r="G1110" s="548"/>
    </row>
    <row r="1111" spans="3:7">
      <c r="C1111" s="548"/>
      <c r="D1111" s="548"/>
      <c r="E1111" s="548"/>
      <c r="F1111" s="548"/>
      <c r="G1111" s="548"/>
    </row>
    <row r="1112" spans="3:7">
      <c r="C1112" s="548"/>
      <c r="D1112" s="548"/>
      <c r="E1112" s="548"/>
      <c r="F1112" s="548"/>
      <c r="G1112" s="548"/>
    </row>
    <row r="1113" spans="3:7">
      <c r="C1113" s="548"/>
      <c r="D1113" s="548"/>
      <c r="E1113" s="548"/>
      <c r="F1113" s="548"/>
      <c r="G1113" s="548"/>
    </row>
    <row r="1114" spans="3:7">
      <c r="C1114" s="548"/>
      <c r="D1114" s="548"/>
      <c r="E1114" s="548"/>
      <c r="F1114" s="548"/>
      <c r="G1114" s="548"/>
    </row>
    <row r="1115" spans="3:7">
      <c r="C1115" s="548"/>
      <c r="D1115" s="548"/>
      <c r="E1115" s="548"/>
      <c r="F1115" s="548"/>
      <c r="G1115" s="548"/>
    </row>
    <row r="1116" spans="3:7">
      <c r="C1116" s="548"/>
      <c r="D1116" s="548"/>
      <c r="E1116" s="548"/>
      <c r="F1116" s="548"/>
      <c r="G1116" s="548"/>
    </row>
    <row r="1117" spans="3:7">
      <c r="C1117" s="548"/>
      <c r="D1117" s="548"/>
      <c r="E1117" s="548"/>
      <c r="F1117" s="548"/>
      <c r="G1117" s="548"/>
    </row>
    <row r="1118" spans="3:7">
      <c r="C1118" s="548"/>
      <c r="D1118" s="548"/>
      <c r="E1118" s="548"/>
      <c r="F1118" s="548"/>
      <c r="G1118" s="548"/>
    </row>
    <row r="1119" spans="3:7">
      <c r="C1119" s="548"/>
      <c r="D1119" s="548"/>
      <c r="E1119" s="548"/>
      <c r="F1119" s="548"/>
      <c r="G1119" s="548"/>
    </row>
    <row r="1120" spans="3:7">
      <c r="C1120" s="548"/>
      <c r="D1120" s="548"/>
      <c r="E1120" s="548"/>
      <c r="F1120" s="548"/>
      <c r="G1120" s="548"/>
    </row>
    <row r="1121" spans="3:7">
      <c r="C1121" s="548"/>
      <c r="D1121" s="548"/>
      <c r="E1121" s="548"/>
      <c r="F1121" s="548"/>
      <c r="G1121" s="548"/>
    </row>
    <row r="1122" spans="3:7">
      <c r="C1122" s="548"/>
      <c r="D1122" s="548"/>
      <c r="E1122" s="548"/>
      <c r="F1122" s="548"/>
      <c r="G1122" s="548"/>
    </row>
    <row r="1123" spans="3:7">
      <c r="C1123" s="548"/>
      <c r="D1123" s="548"/>
      <c r="E1123" s="548"/>
      <c r="F1123" s="548"/>
      <c r="G1123" s="548"/>
    </row>
    <row r="1124" spans="3:7">
      <c r="C1124" s="548"/>
      <c r="D1124" s="548"/>
      <c r="E1124" s="548"/>
      <c r="F1124" s="548"/>
      <c r="G1124" s="548"/>
    </row>
    <row r="1125" spans="3:7">
      <c r="C1125" s="548"/>
      <c r="D1125" s="548"/>
      <c r="E1125" s="548"/>
      <c r="F1125" s="548"/>
      <c r="G1125" s="548"/>
    </row>
    <row r="1126" spans="3:7">
      <c r="C1126" s="548"/>
      <c r="D1126" s="548"/>
      <c r="E1126" s="548"/>
      <c r="F1126" s="548"/>
      <c r="G1126" s="548"/>
    </row>
    <row r="1127" spans="3:7">
      <c r="C1127" s="548"/>
      <c r="D1127" s="548"/>
      <c r="E1127" s="548"/>
      <c r="F1127" s="548"/>
      <c r="G1127" s="548"/>
    </row>
    <row r="1128" spans="3:7">
      <c r="C1128" s="548"/>
      <c r="D1128" s="548"/>
      <c r="E1128" s="548"/>
      <c r="F1128" s="548"/>
      <c r="G1128" s="548"/>
    </row>
    <row r="1129" spans="3:7">
      <c r="C1129" s="548"/>
      <c r="D1129" s="548"/>
      <c r="E1129" s="548"/>
      <c r="F1129" s="548"/>
      <c r="G1129" s="548"/>
    </row>
    <row r="1130" spans="3:7">
      <c r="C1130" s="548"/>
      <c r="D1130" s="548"/>
      <c r="E1130" s="548"/>
      <c r="F1130" s="548"/>
      <c r="G1130" s="548"/>
    </row>
    <row r="1131" spans="3:7">
      <c r="C1131" s="548"/>
      <c r="D1131" s="548"/>
      <c r="E1131" s="548"/>
      <c r="F1131" s="548"/>
      <c r="G1131" s="548"/>
    </row>
    <row r="1132" spans="3:7">
      <c r="C1132" s="548"/>
      <c r="D1132" s="548"/>
      <c r="E1132" s="548"/>
      <c r="F1132" s="548"/>
      <c r="G1132" s="548"/>
    </row>
    <row r="1133" spans="3:7">
      <c r="C1133" s="548"/>
      <c r="D1133" s="548"/>
      <c r="E1133" s="548"/>
      <c r="F1133" s="548"/>
      <c r="G1133" s="548"/>
    </row>
    <row r="1134" spans="3:7">
      <c r="C1134" s="548"/>
      <c r="D1134" s="548"/>
      <c r="E1134" s="548"/>
      <c r="F1134" s="548"/>
      <c r="G1134" s="548"/>
    </row>
    <row r="1135" spans="3:7">
      <c r="C1135" s="548"/>
      <c r="D1135" s="548"/>
      <c r="E1135" s="548"/>
      <c r="F1135" s="548"/>
      <c r="G1135" s="548"/>
    </row>
    <row r="1136" spans="3:7">
      <c r="C1136" s="548"/>
      <c r="D1136" s="548"/>
      <c r="E1136" s="548"/>
      <c r="F1136" s="548"/>
      <c r="G1136" s="548"/>
    </row>
    <row r="1137" spans="3:7">
      <c r="C1137" s="548"/>
      <c r="D1137" s="548"/>
      <c r="E1137" s="548"/>
      <c r="F1137" s="548"/>
      <c r="G1137" s="548"/>
    </row>
    <row r="1138" spans="3:7">
      <c r="C1138" s="548"/>
      <c r="D1138" s="548"/>
      <c r="E1138" s="548"/>
      <c r="F1138" s="548"/>
      <c r="G1138" s="548"/>
    </row>
    <row r="1139" spans="3:7">
      <c r="C1139" s="548"/>
      <c r="D1139" s="548"/>
      <c r="E1139" s="548"/>
      <c r="F1139" s="548"/>
      <c r="G1139" s="548"/>
    </row>
    <row r="1140" spans="3:7">
      <c r="C1140" s="548"/>
      <c r="D1140" s="548"/>
      <c r="E1140" s="548"/>
      <c r="F1140" s="548"/>
      <c r="G1140" s="548"/>
    </row>
    <row r="1141" spans="3:7">
      <c r="C1141" s="548"/>
      <c r="D1141" s="548"/>
      <c r="E1141" s="548"/>
      <c r="F1141" s="548"/>
      <c r="G1141" s="548"/>
    </row>
    <row r="1142" spans="3:7">
      <c r="C1142" s="548"/>
      <c r="D1142" s="548"/>
      <c r="E1142" s="548"/>
      <c r="F1142" s="548"/>
      <c r="G1142" s="548"/>
    </row>
    <row r="1143" spans="3:7">
      <c r="C1143" s="548"/>
      <c r="D1143" s="548"/>
      <c r="E1143" s="548"/>
      <c r="F1143" s="548"/>
      <c r="G1143" s="548"/>
    </row>
    <row r="1144" spans="3:7">
      <c r="C1144" s="548"/>
      <c r="D1144" s="548"/>
      <c r="E1144" s="548"/>
      <c r="F1144" s="548"/>
      <c r="G1144" s="548"/>
    </row>
    <row r="1145" spans="3:7">
      <c r="C1145" s="548"/>
      <c r="D1145" s="548"/>
      <c r="E1145" s="548"/>
      <c r="F1145" s="548"/>
      <c r="G1145" s="548"/>
    </row>
    <row r="1146" spans="3:7">
      <c r="C1146" s="548"/>
      <c r="D1146" s="548"/>
      <c r="E1146" s="548"/>
      <c r="F1146" s="548"/>
      <c r="G1146" s="548"/>
    </row>
    <row r="1147" spans="3:7">
      <c r="C1147" s="548"/>
      <c r="D1147" s="548"/>
      <c r="E1147" s="548"/>
      <c r="F1147" s="548"/>
      <c r="G1147" s="548"/>
    </row>
    <row r="1148" spans="3:7">
      <c r="C1148" s="548"/>
      <c r="D1148" s="548"/>
      <c r="E1148" s="548"/>
      <c r="F1148" s="548"/>
      <c r="G1148" s="548"/>
    </row>
    <row r="1149" spans="3:7">
      <c r="C1149" s="548"/>
      <c r="D1149" s="548"/>
      <c r="E1149" s="548"/>
      <c r="F1149" s="548"/>
      <c r="G1149" s="548"/>
    </row>
    <row r="1150" spans="3:7">
      <c r="C1150" s="548"/>
      <c r="D1150" s="548"/>
      <c r="E1150" s="548"/>
      <c r="F1150" s="548"/>
      <c r="G1150" s="548"/>
    </row>
    <row r="1151" spans="3:7">
      <c r="C1151" s="548"/>
      <c r="D1151" s="548"/>
      <c r="E1151" s="548"/>
      <c r="F1151" s="548"/>
      <c r="G1151" s="548"/>
    </row>
    <row r="1152" spans="3:7">
      <c r="C1152" s="548"/>
      <c r="D1152" s="548"/>
      <c r="E1152" s="548"/>
      <c r="F1152" s="548"/>
      <c r="G1152" s="548"/>
    </row>
    <row r="1153" spans="3:7">
      <c r="C1153" s="548"/>
      <c r="D1153" s="548"/>
      <c r="E1153" s="548"/>
      <c r="F1153" s="548"/>
      <c r="G1153" s="548"/>
    </row>
    <row r="1154" spans="3:7">
      <c r="C1154" s="548"/>
      <c r="D1154" s="548"/>
      <c r="E1154" s="548"/>
      <c r="F1154" s="548"/>
      <c r="G1154" s="548"/>
    </row>
    <row r="1155" spans="3:7">
      <c r="C1155" s="548"/>
      <c r="D1155" s="548"/>
      <c r="E1155" s="548"/>
      <c r="F1155" s="548"/>
      <c r="G1155" s="548"/>
    </row>
    <row r="1156" spans="3:7">
      <c r="C1156" s="548"/>
      <c r="D1156" s="548"/>
      <c r="E1156" s="548"/>
      <c r="F1156" s="548"/>
      <c r="G1156" s="548"/>
    </row>
    <row r="1157" spans="3:7">
      <c r="C1157" s="548"/>
      <c r="D1157" s="548"/>
      <c r="E1157" s="548"/>
      <c r="F1157" s="548"/>
      <c r="G1157" s="548"/>
    </row>
    <row r="1158" spans="3:7">
      <c r="C1158" s="548"/>
      <c r="D1158" s="548"/>
      <c r="E1158" s="548"/>
      <c r="F1158" s="548"/>
      <c r="G1158" s="548"/>
    </row>
    <row r="1159" spans="3:7">
      <c r="C1159" s="548"/>
      <c r="D1159" s="548"/>
      <c r="E1159" s="548"/>
      <c r="F1159" s="548"/>
      <c r="G1159" s="548"/>
    </row>
    <row r="1160" spans="3:7">
      <c r="C1160" s="548"/>
      <c r="D1160" s="548"/>
      <c r="E1160" s="548"/>
      <c r="F1160" s="548"/>
      <c r="G1160" s="548"/>
    </row>
    <row r="1161" spans="3:7">
      <c r="C1161" s="548"/>
      <c r="D1161" s="548"/>
      <c r="E1161" s="548"/>
      <c r="F1161" s="548"/>
      <c r="G1161" s="548"/>
    </row>
    <row r="1162" spans="3:7">
      <c r="C1162" s="548"/>
      <c r="D1162" s="548"/>
      <c r="E1162" s="548"/>
      <c r="F1162" s="548"/>
      <c r="G1162" s="548"/>
    </row>
    <row r="1163" spans="3:7">
      <c r="C1163" s="548"/>
      <c r="D1163" s="548"/>
      <c r="E1163" s="548"/>
      <c r="F1163" s="548"/>
      <c r="G1163" s="548"/>
    </row>
    <row r="1164" spans="3:7">
      <c r="C1164" s="548"/>
      <c r="D1164" s="548"/>
      <c r="E1164" s="548"/>
      <c r="F1164" s="548"/>
      <c r="G1164" s="548"/>
    </row>
    <row r="1165" spans="3:7">
      <c r="C1165" s="548"/>
      <c r="D1165" s="548"/>
      <c r="E1165" s="548"/>
      <c r="F1165" s="548"/>
      <c r="G1165" s="548"/>
    </row>
    <row r="1166" spans="3:7">
      <c r="C1166" s="548"/>
      <c r="D1166" s="548"/>
      <c r="E1166" s="548"/>
      <c r="F1166" s="548"/>
      <c r="G1166" s="548"/>
    </row>
    <row r="1167" spans="3:7">
      <c r="C1167" s="548"/>
      <c r="D1167" s="548"/>
      <c r="E1167" s="548"/>
      <c r="F1167" s="548"/>
      <c r="G1167" s="548"/>
    </row>
    <row r="1168" spans="3:7">
      <c r="C1168" s="548"/>
      <c r="D1168" s="548"/>
      <c r="E1168" s="548"/>
      <c r="F1168" s="548"/>
      <c r="G1168" s="548"/>
    </row>
    <row r="1169" spans="3:7">
      <c r="C1169" s="548"/>
      <c r="D1169" s="548"/>
      <c r="E1169" s="548"/>
      <c r="F1169" s="548"/>
      <c r="G1169" s="548"/>
    </row>
    <row r="1170" spans="3:7">
      <c r="C1170" s="548"/>
      <c r="D1170" s="548"/>
      <c r="E1170" s="548"/>
      <c r="F1170" s="548"/>
      <c r="G1170" s="548"/>
    </row>
    <row r="1171" spans="3:7">
      <c r="C1171" s="548"/>
      <c r="D1171" s="548"/>
      <c r="E1171" s="548"/>
      <c r="F1171" s="548"/>
      <c r="G1171" s="548"/>
    </row>
    <row r="1172" spans="3:7">
      <c r="C1172" s="548"/>
      <c r="D1172" s="548"/>
      <c r="E1172" s="548"/>
      <c r="F1172" s="548"/>
      <c r="G1172" s="548"/>
    </row>
    <row r="1173" spans="3:7">
      <c r="C1173" s="548"/>
      <c r="D1173" s="548"/>
      <c r="E1173" s="548"/>
      <c r="F1173" s="548"/>
      <c r="G1173" s="548"/>
    </row>
    <row r="1174" spans="3:7">
      <c r="C1174" s="548"/>
      <c r="D1174" s="548"/>
      <c r="E1174" s="548"/>
      <c r="F1174" s="548"/>
      <c r="G1174" s="548"/>
    </row>
    <row r="1175" spans="3:7">
      <c r="C1175" s="548"/>
      <c r="D1175" s="548"/>
      <c r="E1175" s="548"/>
      <c r="F1175" s="548"/>
      <c r="G1175" s="548"/>
    </row>
    <row r="1176" spans="3:7">
      <c r="C1176" s="548"/>
      <c r="D1176" s="548"/>
      <c r="E1176" s="548"/>
      <c r="F1176" s="548"/>
      <c r="G1176" s="548"/>
    </row>
    <row r="1177" spans="3:7">
      <c r="C1177" s="548"/>
      <c r="D1177" s="548"/>
      <c r="E1177" s="548"/>
      <c r="F1177" s="548"/>
      <c r="G1177" s="548"/>
    </row>
    <row r="1178" spans="3:7">
      <c r="C1178" s="548"/>
      <c r="D1178" s="548"/>
      <c r="E1178" s="548"/>
      <c r="F1178" s="548"/>
      <c r="G1178" s="548"/>
    </row>
    <row r="1179" spans="3:7">
      <c r="C1179" s="548"/>
      <c r="D1179" s="548"/>
      <c r="E1179" s="548"/>
      <c r="F1179" s="548"/>
      <c r="G1179" s="548"/>
    </row>
    <row r="1180" spans="3:7">
      <c r="C1180" s="548"/>
      <c r="D1180" s="548"/>
      <c r="E1180" s="548"/>
      <c r="F1180" s="548"/>
      <c r="G1180" s="548"/>
    </row>
    <row r="1181" spans="3:7">
      <c r="C1181" s="548"/>
      <c r="D1181" s="548"/>
      <c r="E1181" s="548"/>
      <c r="F1181" s="548"/>
      <c r="G1181" s="548"/>
    </row>
    <row r="1182" spans="3:7">
      <c r="C1182" s="548"/>
      <c r="D1182" s="548"/>
      <c r="E1182" s="548"/>
      <c r="F1182" s="548"/>
      <c r="G1182" s="548"/>
    </row>
    <row r="1183" spans="3:7">
      <c r="C1183" s="548"/>
      <c r="D1183" s="548"/>
      <c r="E1183" s="548"/>
      <c r="F1183" s="548"/>
      <c r="G1183" s="548"/>
    </row>
    <row r="1184" spans="3:7">
      <c r="C1184" s="548"/>
      <c r="D1184" s="548"/>
      <c r="E1184" s="548"/>
      <c r="F1184" s="548"/>
      <c r="G1184" s="548"/>
    </row>
    <row r="1185" spans="3:7">
      <c r="C1185" s="548"/>
      <c r="D1185" s="548"/>
      <c r="E1185" s="548"/>
      <c r="F1185" s="548"/>
      <c r="G1185" s="548"/>
    </row>
    <row r="1186" spans="3:7">
      <c r="C1186" s="548"/>
      <c r="D1186" s="548"/>
      <c r="E1186" s="548"/>
      <c r="F1186" s="548"/>
      <c r="G1186" s="548"/>
    </row>
    <row r="1187" spans="3:7">
      <c r="C1187" s="548"/>
      <c r="D1187" s="548"/>
      <c r="E1187" s="548"/>
      <c r="F1187" s="548"/>
      <c r="G1187" s="548"/>
    </row>
    <row r="1188" spans="3:7">
      <c r="C1188" s="548"/>
      <c r="D1188" s="548"/>
      <c r="E1188" s="548"/>
      <c r="F1188" s="548"/>
      <c r="G1188" s="548"/>
    </row>
    <row r="1189" spans="3:7">
      <c r="C1189" s="548"/>
      <c r="D1189" s="548"/>
      <c r="E1189" s="548"/>
      <c r="F1189" s="548"/>
      <c r="G1189" s="548"/>
    </row>
    <row r="1190" spans="3:7">
      <c r="C1190" s="548"/>
      <c r="D1190" s="548"/>
      <c r="E1190" s="548"/>
      <c r="F1190" s="548"/>
      <c r="G1190" s="548"/>
    </row>
    <row r="1191" spans="3:7">
      <c r="C1191" s="548"/>
      <c r="D1191" s="548"/>
      <c r="E1191" s="548"/>
      <c r="F1191" s="548"/>
      <c r="G1191" s="548"/>
    </row>
    <row r="1192" spans="3:7">
      <c r="C1192" s="548"/>
      <c r="D1192" s="548"/>
      <c r="E1192" s="548"/>
      <c r="F1192" s="548"/>
      <c r="G1192" s="548"/>
    </row>
    <row r="1193" spans="3:7">
      <c r="C1193" s="548"/>
      <c r="D1193" s="548"/>
      <c r="E1193" s="548"/>
      <c r="F1193" s="548"/>
      <c r="G1193" s="548"/>
    </row>
    <row r="1194" spans="3:7">
      <c r="C1194" s="548"/>
      <c r="D1194" s="548"/>
      <c r="E1194" s="548"/>
      <c r="F1194" s="548"/>
      <c r="G1194" s="548"/>
    </row>
    <row r="1195" spans="3:7">
      <c r="C1195" s="548"/>
      <c r="D1195" s="548"/>
      <c r="E1195" s="548"/>
      <c r="F1195" s="548"/>
      <c r="G1195" s="548"/>
    </row>
    <row r="1196" spans="3:7">
      <c r="C1196" s="548"/>
      <c r="D1196" s="548"/>
      <c r="E1196" s="548"/>
      <c r="F1196" s="548"/>
      <c r="G1196" s="548"/>
    </row>
    <row r="1197" spans="3:7">
      <c r="C1197" s="548"/>
      <c r="D1197" s="548"/>
      <c r="E1197" s="548"/>
      <c r="F1197" s="548"/>
      <c r="G1197" s="548"/>
    </row>
    <row r="1198" spans="3:7">
      <c r="C1198" s="548"/>
      <c r="D1198" s="548"/>
      <c r="E1198" s="548"/>
      <c r="F1198" s="548"/>
      <c r="G1198" s="548"/>
    </row>
    <row r="1199" spans="3:7">
      <c r="C1199" s="548"/>
      <c r="D1199" s="548"/>
      <c r="E1199" s="548"/>
      <c r="F1199" s="548"/>
      <c r="G1199" s="548"/>
    </row>
    <row r="1200" spans="3:7">
      <c r="C1200" s="548"/>
      <c r="D1200" s="548"/>
      <c r="E1200" s="548"/>
      <c r="F1200" s="548"/>
      <c r="G1200" s="548"/>
    </row>
    <row r="1201" spans="3:7">
      <c r="C1201" s="548"/>
      <c r="D1201" s="548"/>
      <c r="E1201" s="548"/>
      <c r="F1201" s="548"/>
      <c r="G1201" s="548"/>
    </row>
    <row r="1202" spans="3:7">
      <c r="C1202" s="548"/>
      <c r="D1202" s="548"/>
      <c r="E1202" s="548"/>
      <c r="F1202" s="548"/>
      <c r="G1202" s="548"/>
    </row>
    <row r="1203" spans="3:7">
      <c r="C1203" s="548"/>
      <c r="D1203" s="548"/>
      <c r="E1203" s="548"/>
      <c r="F1203" s="548"/>
      <c r="G1203" s="548"/>
    </row>
    <row r="1204" spans="3:7">
      <c r="C1204" s="548"/>
      <c r="D1204" s="548"/>
      <c r="E1204" s="548"/>
      <c r="F1204" s="548"/>
      <c r="G1204" s="548"/>
    </row>
    <row r="1205" spans="3:7">
      <c r="C1205" s="548"/>
      <c r="D1205" s="548"/>
      <c r="E1205" s="548"/>
      <c r="F1205" s="548"/>
      <c r="G1205" s="548"/>
    </row>
    <row r="1206" spans="3:7">
      <c r="C1206" s="548"/>
      <c r="D1206" s="548"/>
      <c r="E1206" s="548"/>
      <c r="F1206" s="548"/>
      <c r="G1206" s="548"/>
    </row>
    <row r="1207" spans="3:7">
      <c r="C1207" s="548"/>
      <c r="D1207" s="548"/>
      <c r="E1207" s="548"/>
      <c r="F1207" s="548"/>
      <c r="G1207" s="548"/>
    </row>
    <row r="1208" spans="3:7">
      <c r="C1208" s="548"/>
      <c r="D1208" s="548"/>
      <c r="E1208" s="548"/>
      <c r="F1208" s="548"/>
      <c r="G1208" s="548"/>
    </row>
    <row r="1209" spans="3:7">
      <c r="C1209" s="548"/>
      <c r="D1209" s="548"/>
      <c r="E1209" s="548"/>
      <c r="F1209" s="548"/>
      <c r="G1209" s="548"/>
    </row>
    <row r="1210" spans="3:7">
      <c r="C1210" s="548"/>
      <c r="D1210" s="548"/>
      <c r="E1210" s="548"/>
      <c r="F1210" s="548"/>
      <c r="G1210" s="548"/>
    </row>
    <row r="1211" spans="3:7">
      <c r="C1211" s="548"/>
      <c r="D1211" s="548"/>
      <c r="E1211" s="548"/>
      <c r="F1211" s="548"/>
      <c r="G1211" s="548"/>
    </row>
    <row r="1212" spans="3:7">
      <c r="C1212" s="548"/>
      <c r="D1212" s="548"/>
      <c r="E1212" s="548"/>
      <c r="F1212" s="548"/>
      <c r="G1212" s="548"/>
    </row>
    <row r="1213" spans="3:7">
      <c r="C1213" s="548"/>
      <c r="D1213" s="548"/>
      <c r="E1213" s="548"/>
      <c r="F1213" s="548"/>
      <c r="G1213" s="548"/>
    </row>
    <row r="1214" spans="3:7">
      <c r="C1214" s="548"/>
      <c r="D1214" s="548"/>
      <c r="E1214" s="548"/>
      <c r="F1214" s="548"/>
      <c r="G1214" s="548"/>
    </row>
    <row r="1215" spans="3:7">
      <c r="C1215" s="548"/>
      <c r="D1215" s="548"/>
      <c r="E1215" s="548"/>
      <c r="F1215" s="548"/>
      <c r="G1215" s="548"/>
    </row>
    <row r="1216" spans="3:7">
      <c r="C1216" s="548"/>
      <c r="D1216" s="548"/>
      <c r="E1216" s="548"/>
      <c r="F1216" s="548"/>
      <c r="G1216" s="548"/>
    </row>
    <row r="1217" spans="3:7">
      <c r="C1217" s="548"/>
      <c r="D1217" s="548"/>
      <c r="E1217" s="548"/>
      <c r="F1217" s="548"/>
      <c r="G1217" s="548"/>
    </row>
    <row r="1218" spans="3:7">
      <c r="C1218" s="548"/>
      <c r="D1218" s="548"/>
      <c r="E1218" s="548"/>
      <c r="F1218" s="548"/>
      <c r="G1218" s="548"/>
    </row>
    <row r="1219" spans="3:7">
      <c r="C1219" s="548"/>
      <c r="D1219" s="548"/>
      <c r="E1219" s="548"/>
      <c r="F1219" s="548"/>
      <c r="G1219" s="548"/>
    </row>
    <row r="1220" spans="3:7">
      <c r="C1220" s="548"/>
      <c r="D1220" s="548"/>
      <c r="E1220" s="548"/>
      <c r="F1220" s="548"/>
      <c r="G1220" s="548"/>
    </row>
    <row r="1221" spans="3:7">
      <c r="C1221" s="548"/>
      <c r="D1221" s="548"/>
      <c r="E1221" s="548"/>
      <c r="F1221" s="548"/>
      <c r="G1221" s="548"/>
    </row>
    <row r="1222" spans="3:7">
      <c r="C1222" s="548"/>
      <c r="D1222" s="548"/>
      <c r="E1222" s="548"/>
      <c r="F1222" s="548"/>
      <c r="G1222" s="548"/>
    </row>
    <row r="1223" spans="3:7">
      <c r="C1223" s="548"/>
      <c r="D1223" s="548"/>
      <c r="E1223" s="548"/>
      <c r="F1223" s="548"/>
      <c r="G1223" s="548"/>
    </row>
    <row r="1224" spans="3:7">
      <c r="C1224" s="548"/>
      <c r="D1224" s="548"/>
      <c r="E1224" s="548"/>
      <c r="F1224" s="548"/>
      <c r="G1224" s="548"/>
    </row>
    <row r="1225" spans="3:7">
      <c r="C1225" s="548"/>
      <c r="D1225" s="548"/>
      <c r="E1225" s="548"/>
      <c r="F1225" s="548"/>
      <c r="G1225" s="548"/>
    </row>
    <row r="1226" spans="3:7">
      <c r="C1226" s="548"/>
      <c r="D1226" s="548"/>
      <c r="E1226" s="548"/>
      <c r="F1226" s="548"/>
      <c r="G1226" s="548"/>
    </row>
    <row r="1227" spans="3:7">
      <c r="C1227" s="548"/>
      <c r="D1227" s="548"/>
      <c r="E1227" s="548"/>
      <c r="F1227" s="548"/>
      <c r="G1227" s="548"/>
    </row>
    <row r="1228" spans="3:7">
      <c r="C1228" s="548"/>
      <c r="D1228" s="548"/>
      <c r="E1228" s="548"/>
      <c r="F1228" s="548"/>
      <c r="G1228" s="548"/>
    </row>
    <row r="1229" spans="3:7">
      <c r="C1229" s="548"/>
      <c r="D1229" s="548"/>
      <c r="E1229" s="548"/>
      <c r="F1229" s="548"/>
      <c r="G1229" s="548"/>
    </row>
    <row r="1230" spans="3:7">
      <c r="C1230" s="548"/>
      <c r="D1230" s="548"/>
      <c r="E1230" s="548"/>
      <c r="F1230" s="548"/>
      <c r="G1230" s="548"/>
    </row>
    <row r="1231" spans="3:7">
      <c r="C1231" s="548"/>
      <c r="D1231" s="548"/>
      <c r="E1231" s="548"/>
      <c r="F1231" s="548"/>
      <c r="G1231" s="548"/>
    </row>
    <row r="1232" spans="3:7">
      <c r="C1232" s="548"/>
      <c r="D1232" s="548"/>
      <c r="E1232" s="548"/>
      <c r="F1232" s="548"/>
      <c r="G1232" s="548"/>
    </row>
    <row r="1233" spans="3:7">
      <c r="C1233" s="548"/>
      <c r="D1233" s="548"/>
      <c r="E1233" s="548"/>
      <c r="F1233" s="548"/>
      <c r="G1233" s="548"/>
    </row>
    <row r="1234" spans="3:7">
      <c r="C1234" s="548"/>
      <c r="D1234" s="548"/>
      <c r="E1234" s="548"/>
      <c r="F1234" s="548"/>
      <c r="G1234" s="548"/>
    </row>
    <row r="1235" spans="3:7">
      <c r="C1235" s="548"/>
      <c r="D1235" s="548"/>
      <c r="E1235" s="548"/>
      <c r="F1235" s="548"/>
      <c r="G1235" s="548"/>
    </row>
    <row r="1236" spans="3:7">
      <c r="C1236" s="548"/>
      <c r="D1236" s="548"/>
      <c r="E1236" s="548"/>
      <c r="F1236" s="548"/>
      <c r="G1236" s="548"/>
    </row>
    <row r="1237" spans="3:7">
      <c r="C1237" s="548"/>
      <c r="D1237" s="548"/>
      <c r="E1237" s="548"/>
      <c r="F1237" s="548"/>
      <c r="G1237" s="548"/>
    </row>
    <row r="1238" spans="3:7">
      <c r="C1238" s="548"/>
      <c r="D1238" s="548"/>
      <c r="E1238" s="548"/>
      <c r="F1238" s="548"/>
      <c r="G1238" s="548"/>
    </row>
    <row r="1239" spans="3:7">
      <c r="C1239" s="548"/>
      <c r="D1239" s="548"/>
      <c r="E1239" s="548"/>
      <c r="F1239" s="548"/>
      <c r="G1239" s="548"/>
    </row>
    <row r="1240" spans="3:7">
      <c r="C1240" s="548"/>
      <c r="D1240" s="548"/>
      <c r="E1240" s="548"/>
      <c r="F1240" s="548"/>
      <c r="G1240" s="548"/>
    </row>
    <row r="1241" spans="3:7">
      <c r="C1241" s="548"/>
      <c r="D1241" s="548"/>
      <c r="E1241" s="548"/>
      <c r="F1241" s="548"/>
      <c r="G1241" s="548"/>
    </row>
    <row r="1242" spans="3:7">
      <c r="C1242" s="548"/>
      <c r="D1242" s="548"/>
      <c r="E1242" s="548"/>
      <c r="F1242" s="548"/>
      <c r="G1242" s="548"/>
    </row>
    <row r="1243" spans="3:7">
      <c r="C1243" s="548"/>
      <c r="D1243" s="548"/>
      <c r="E1243" s="548"/>
      <c r="F1243" s="548"/>
      <c r="G1243" s="548"/>
    </row>
    <row r="1244" spans="3:7">
      <c r="C1244" s="548"/>
      <c r="D1244" s="548"/>
      <c r="E1244" s="548"/>
      <c r="F1244" s="548"/>
      <c r="G1244" s="548"/>
    </row>
    <row r="1245" spans="3:7">
      <c r="C1245" s="548"/>
      <c r="D1245" s="548"/>
      <c r="E1245" s="548"/>
      <c r="F1245" s="548"/>
      <c r="G1245" s="548"/>
    </row>
    <row r="1246" spans="3:7">
      <c r="C1246" s="548"/>
      <c r="D1246" s="548"/>
      <c r="E1246" s="548"/>
      <c r="F1246" s="548"/>
      <c r="G1246" s="548"/>
    </row>
    <row r="1247" spans="3:7">
      <c r="C1247" s="548"/>
      <c r="D1247" s="548"/>
      <c r="E1247" s="548"/>
      <c r="F1247" s="548"/>
      <c r="G1247" s="548"/>
    </row>
    <row r="1248" spans="3:7">
      <c r="C1248" s="548"/>
      <c r="D1248" s="548"/>
      <c r="E1248" s="548"/>
      <c r="F1248" s="548"/>
      <c r="G1248" s="548"/>
    </row>
    <row r="1249" spans="3:7">
      <c r="C1249" s="548"/>
      <c r="D1249" s="548"/>
      <c r="E1249" s="548"/>
      <c r="F1249" s="548"/>
      <c r="G1249" s="548"/>
    </row>
    <row r="1250" spans="3:7">
      <c r="C1250" s="548"/>
      <c r="D1250" s="548"/>
      <c r="E1250" s="548"/>
      <c r="F1250" s="548"/>
      <c r="G1250" s="548"/>
    </row>
    <row r="1251" spans="3:7">
      <c r="C1251" s="548"/>
      <c r="D1251" s="548"/>
      <c r="E1251" s="548"/>
      <c r="F1251" s="548"/>
      <c r="G1251" s="548"/>
    </row>
    <row r="1252" spans="3:7">
      <c r="C1252" s="548"/>
      <c r="D1252" s="548"/>
      <c r="E1252" s="548"/>
      <c r="F1252" s="548"/>
      <c r="G1252" s="548"/>
    </row>
    <row r="1253" spans="3:7">
      <c r="C1253" s="548"/>
      <c r="D1253" s="548"/>
      <c r="E1253" s="548"/>
      <c r="F1253" s="548"/>
      <c r="G1253" s="548"/>
    </row>
    <row r="1254" spans="3:7">
      <c r="C1254" s="548"/>
      <c r="D1254" s="548"/>
      <c r="E1254" s="548"/>
      <c r="F1254" s="548"/>
      <c r="G1254" s="548"/>
    </row>
    <row r="1255" spans="3:7">
      <c r="C1255" s="548"/>
      <c r="D1255" s="548"/>
      <c r="E1255" s="548"/>
      <c r="F1255" s="548"/>
      <c r="G1255" s="548"/>
    </row>
    <row r="1256" spans="3:7">
      <c r="C1256" s="548"/>
      <c r="D1256" s="548"/>
      <c r="E1256" s="548"/>
      <c r="F1256" s="548"/>
      <c r="G1256" s="548"/>
    </row>
    <row r="1257" spans="3:7">
      <c r="C1257" s="548"/>
      <c r="D1257" s="548"/>
      <c r="E1257" s="548"/>
      <c r="F1257" s="548"/>
      <c r="G1257" s="548"/>
    </row>
    <row r="1258" spans="3:7">
      <c r="C1258" s="548"/>
      <c r="D1258" s="548"/>
      <c r="E1258" s="548"/>
      <c r="F1258" s="548"/>
      <c r="G1258" s="548"/>
    </row>
    <row r="1259" spans="3:7">
      <c r="C1259" s="548"/>
      <c r="D1259" s="548"/>
      <c r="E1259" s="548"/>
      <c r="F1259" s="548"/>
      <c r="G1259" s="548"/>
    </row>
    <row r="1260" spans="3:7">
      <c r="C1260" s="548"/>
      <c r="D1260" s="548"/>
      <c r="E1260" s="548"/>
      <c r="F1260" s="548"/>
      <c r="G1260" s="548"/>
    </row>
    <row r="1261" spans="3:7">
      <c r="C1261" s="548"/>
      <c r="D1261" s="548"/>
      <c r="E1261" s="548"/>
      <c r="F1261" s="548"/>
      <c r="G1261" s="548"/>
    </row>
    <row r="1262" spans="3:7">
      <c r="C1262" s="548"/>
      <c r="D1262" s="548"/>
      <c r="E1262" s="548"/>
      <c r="F1262" s="548"/>
      <c r="G1262" s="548"/>
    </row>
    <row r="1263" spans="3:7">
      <c r="C1263" s="548"/>
      <c r="D1263" s="548"/>
      <c r="E1263" s="548"/>
      <c r="F1263" s="548"/>
      <c r="G1263" s="548"/>
    </row>
    <row r="1264" spans="3:7">
      <c r="C1264" s="548"/>
      <c r="D1264" s="548"/>
      <c r="E1264" s="548"/>
      <c r="F1264" s="548"/>
      <c r="G1264" s="548"/>
    </row>
    <row r="1265" spans="3:7">
      <c r="C1265" s="548"/>
      <c r="D1265" s="548"/>
      <c r="E1265" s="548"/>
      <c r="F1265" s="548"/>
      <c r="G1265" s="548"/>
    </row>
    <row r="1266" spans="3:7">
      <c r="C1266" s="548"/>
      <c r="D1266" s="548"/>
      <c r="E1266" s="548"/>
      <c r="F1266" s="548"/>
      <c r="G1266" s="548"/>
    </row>
    <row r="1267" spans="3:7">
      <c r="C1267" s="548"/>
      <c r="D1267" s="548"/>
      <c r="E1267" s="548"/>
      <c r="F1267" s="548"/>
      <c r="G1267" s="548"/>
    </row>
    <row r="1268" spans="3:7">
      <c r="C1268" s="548"/>
      <c r="D1268" s="548"/>
      <c r="E1268" s="548"/>
      <c r="F1268" s="548"/>
      <c r="G1268" s="548"/>
    </row>
    <row r="1269" spans="3:7">
      <c r="C1269" s="548"/>
      <c r="D1269" s="548"/>
      <c r="E1269" s="548"/>
      <c r="F1269" s="548"/>
      <c r="G1269" s="548"/>
    </row>
    <row r="1270" spans="3:7">
      <c r="C1270" s="548"/>
      <c r="D1270" s="548"/>
      <c r="E1270" s="548"/>
      <c r="F1270" s="548"/>
      <c r="G1270" s="548"/>
    </row>
    <row r="1271" spans="3:7">
      <c r="C1271" s="548"/>
      <c r="D1271" s="548"/>
      <c r="E1271" s="548"/>
      <c r="F1271" s="548"/>
      <c r="G1271" s="548"/>
    </row>
    <row r="1272" spans="3:7">
      <c r="C1272" s="548"/>
      <c r="D1272" s="548"/>
      <c r="E1272" s="548"/>
      <c r="F1272" s="548"/>
      <c r="G1272" s="548"/>
    </row>
    <row r="1273" spans="3:7">
      <c r="C1273" s="548"/>
      <c r="D1273" s="548"/>
      <c r="E1273" s="548"/>
      <c r="F1273" s="548"/>
      <c r="G1273" s="548"/>
    </row>
    <row r="1274" spans="3:7">
      <c r="C1274" s="548"/>
      <c r="D1274" s="548"/>
      <c r="E1274" s="548"/>
      <c r="F1274" s="548"/>
      <c r="G1274" s="548"/>
    </row>
    <row r="1275" spans="3:7">
      <c r="C1275" s="548"/>
      <c r="D1275" s="548"/>
      <c r="E1275" s="548"/>
      <c r="F1275" s="548"/>
      <c r="G1275" s="548"/>
    </row>
    <row r="1276" spans="3:7">
      <c r="C1276" s="548"/>
      <c r="D1276" s="548"/>
      <c r="E1276" s="548"/>
      <c r="F1276" s="548"/>
      <c r="G1276" s="548"/>
    </row>
    <row r="1277" spans="3:7">
      <c r="C1277" s="548"/>
      <c r="D1277" s="548"/>
      <c r="E1277" s="548"/>
      <c r="F1277" s="548"/>
      <c r="G1277" s="548"/>
    </row>
    <row r="1278" spans="3:7">
      <c r="C1278" s="548"/>
      <c r="D1278" s="548"/>
      <c r="E1278" s="548"/>
      <c r="F1278" s="548"/>
      <c r="G1278" s="548"/>
    </row>
    <row r="1279" spans="3:7">
      <c r="C1279" s="548"/>
      <c r="D1279" s="548"/>
      <c r="E1279" s="548"/>
      <c r="F1279" s="548"/>
      <c r="G1279" s="548"/>
    </row>
    <row r="1280" spans="3:7">
      <c r="C1280" s="548"/>
      <c r="D1280" s="548"/>
      <c r="E1280" s="548"/>
      <c r="F1280" s="548"/>
      <c r="G1280" s="548"/>
    </row>
    <row r="1281" spans="3:7">
      <c r="C1281" s="548"/>
      <c r="D1281" s="548"/>
      <c r="E1281" s="548"/>
      <c r="F1281" s="548"/>
      <c r="G1281" s="548"/>
    </row>
    <row r="1282" spans="3:7">
      <c r="C1282" s="548"/>
      <c r="D1282" s="548"/>
      <c r="E1282" s="548"/>
      <c r="F1282" s="548"/>
      <c r="G1282" s="548"/>
    </row>
    <row r="1283" spans="3:7">
      <c r="C1283" s="548"/>
      <c r="D1283" s="548"/>
      <c r="E1283" s="548"/>
      <c r="F1283" s="548"/>
      <c r="G1283" s="548"/>
    </row>
    <row r="1284" spans="3:7">
      <c r="C1284" s="548"/>
      <c r="D1284" s="548"/>
      <c r="E1284" s="548"/>
      <c r="F1284" s="548"/>
      <c r="G1284" s="548"/>
    </row>
    <row r="1285" spans="3:7">
      <c r="C1285" s="548"/>
      <c r="D1285" s="548"/>
      <c r="E1285" s="548"/>
      <c r="F1285" s="548"/>
      <c r="G1285" s="548"/>
    </row>
    <row r="1286" spans="3:7">
      <c r="C1286" s="548"/>
      <c r="D1286" s="548"/>
      <c r="E1286" s="548"/>
      <c r="F1286" s="548"/>
      <c r="G1286" s="548"/>
    </row>
    <row r="1287" spans="3:7">
      <c r="C1287" s="548"/>
      <c r="D1287" s="548"/>
      <c r="E1287" s="548"/>
      <c r="F1287" s="548"/>
      <c r="G1287" s="548"/>
    </row>
    <row r="1288" spans="3:7">
      <c r="C1288" s="548"/>
      <c r="D1288" s="548"/>
      <c r="E1288" s="548"/>
      <c r="F1288" s="548"/>
      <c r="G1288" s="548"/>
    </row>
    <row r="1289" spans="3:7">
      <c r="C1289" s="548"/>
      <c r="D1289" s="548"/>
      <c r="E1289" s="548"/>
      <c r="F1289" s="548"/>
      <c r="G1289" s="548"/>
    </row>
    <row r="1290" spans="3:7">
      <c r="C1290" s="548"/>
      <c r="D1290" s="548"/>
      <c r="E1290" s="548"/>
      <c r="F1290" s="548"/>
      <c r="G1290" s="548"/>
    </row>
    <row r="1291" spans="3:7">
      <c r="C1291" s="548"/>
      <c r="D1291" s="548"/>
      <c r="E1291" s="548"/>
      <c r="F1291" s="548"/>
      <c r="G1291" s="548"/>
    </row>
    <row r="1292" spans="3:7">
      <c r="C1292" s="548"/>
      <c r="D1292" s="548"/>
      <c r="E1292" s="548"/>
      <c r="F1292" s="548"/>
      <c r="G1292" s="548"/>
    </row>
    <row r="1293" spans="3:7">
      <c r="C1293" s="548"/>
      <c r="D1293" s="548"/>
      <c r="E1293" s="548"/>
      <c r="F1293" s="548"/>
      <c r="G1293" s="548"/>
    </row>
    <row r="1294" spans="3:7">
      <c r="C1294" s="548"/>
      <c r="D1294" s="548"/>
      <c r="E1294" s="548"/>
      <c r="F1294" s="548"/>
      <c r="G1294" s="548"/>
    </row>
    <row r="1295" spans="3:7">
      <c r="C1295" s="548"/>
      <c r="D1295" s="548"/>
      <c r="E1295" s="548"/>
      <c r="F1295" s="548"/>
      <c r="G1295" s="548"/>
    </row>
    <row r="1296" spans="3:7">
      <c r="C1296" s="548"/>
      <c r="D1296" s="548"/>
      <c r="E1296" s="548"/>
      <c r="F1296" s="548"/>
      <c r="G1296" s="548"/>
    </row>
    <row r="1297" spans="3:7">
      <c r="C1297" s="548"/>
      <c r="D1297" s="548"/>
      <c r="E1297" s="548"/>
      <c r="F1297" s="548"/>
      <c r="G1297" s="548"/>
    </row>
    <row r="1298" spans="3:7">
      <c r="C1298" s="548"/>
      <c r="D1298" s="548"/>
      <c r="E1298" s="548"/>
      <c r="F1298" s="548"/>
      <c r="G1298" s="548"/>
    </row>
    <row r="1299" spans="3:7">
      <c r="C1299" s="548"/>
      <c r="D1299" s="548"/>
      <c r="E1299" s="548"/>
      <c r="F1299" s="548"/>
      <c r="G1299" s="548"/>
    </row>
    <row r="1300" spans="3:7">
      <c r="C1300" s="548"/>
      <c r="D1300" s="548"/>
      <c r="E1300" s="548"/>
      <c r="F1300" s="548"/>
      <c r="G1300" s="548"/>
    </row>
    <row r="1301" spans="3:7">
      <c r="C1301" s="548"/>
      <c r="D1301" s="548"/>
      <c r="E1301" s="548"/>
      <c r="F1301" s="548"/>
      <c r="G1301" s="548"/>
    </row>
    <row r="1302" spans="3:7">
      <c r="C1302" s="548"/>
      <c r="D1302" s="548"/>
      <c r="E1302" s="548"/>
      <c r="F1302" s="548"/>
      <c r="G1302" s="548"/>
    </row>
    <row r="1303" spans="3:7">
      <c r="C1303" s="548"/>
      <c r="D1303" s="548"/>
      <c r="E1303" s="548"/>
      <c r="F1303" s="548"/>
      <c r="G1303" s="548"/>
    </row>
    <row r="1304" spans="3:7">
      <c r="C1304" s="548"/>
      <c r="D1304" s="548"/>
      <c r="E1304" s="548"/>
      <c r="F1304" s="548"/>
      <c r="G1304" s="548"/>
    </row>
    <row r="1305" spans="3:7">
      <c r="C1305" s="548"/>
      <c r="D1305" s="548"/>
      <c r="E1305" s="548"/>
      <c r="F1305" s="548"/>
      <c r="G1305" s="548"/>
    </row>
    <row r="1306" spans="3:7">
      <c r="C1306" s="548"/>
      <c r="D1306" s="548"/>
      <c r="E1306" s="548"/>
      <c r="F1306" s="548"/>
      <c r="G1306" s="548"/>
    </row>
    <row r="1307" spans="3:7">
      <c r="C1307" s="548"/>
      <c r="D1307" s="548"/>
      <c r="E1307" s="548"/>
      <c r="F1307" s="548"/>
      <c r="G1307" s="548"/>
    </row>
    <row r="1308" spans="3:7">
      <c r="C1308" s="548"/>
      <c r="D1308" s="548"/>
      <c r="E1308" s="548"/>
      <c r="F1308" s="548"/>
      <c r="G1308" s="548"/>
    </row>
    <row r="1309" spans="3:7">
      <c r="C1309" s="548"/>
      <c r="D1309" s="548"/>
      <c r="E1309" s="548"/>
      <c r="F1309" s="548"/>
      <c r="G1309" s="548"/>
    </row>
    <row r="1310" spans="3:7">
      <c r="C1310" s="548"/>
      <c r="D1310" s="548"/>
      <c r="E1310" s="548"/>
      <c r="F1310" s="548"/>
      <c r="G1310" s="548"/>
    </row>
    <row r="1311" spans="3:7">
      <c r="C1311" s="548"/>
      <c r="D1311" s="548"/>
      <c r="E1311" s="548"/>
      <c r="F1311" s="548"/>
      <c r="G1311" s="548"/>
    </row>
    <row r="1312" spans="3:7">
      <c r="C1312" s="548"/>
      <c r="D1312" s="548"/>
      <c r="E1312" s="548"/>
      <c r="F1312" s="548"/>
      <c r="G1312" s="548"/>
    </row>
    <row r="1313" spans="3:7">
      <c r="C1313" s="548"/>
      <c r="D1313" s="548"/>
      <c r="E1313" s="548"/>
      <c r="F1313" s="548"/>
      <c r="G1313" s="548"/>
    </row>
    <row r="1314" spans="3:7">
      <c r="C1314" s="548"/>
      <c r="D1314" s="548"/>
      <c r="E1314" s="548"/>
      <c r="F1314" s="548"/>
      <c r="G1314" s="548"/>
    </row>
    <row r="1315" spans="3:7">
      <c r="C1315" s="548"/>
      <c r="D1315" s="548"/>
      <c r="E1315" s="548"/>
      <c r="F1315" s="548"/>
      <c r="G1315" s="548"/>
    </row>
    <row r="1316" spans="3:7">
      <c r="C1316" s="548"/>
      <c r="D1316" s="548"/>
      <c r="E1316" s="548"/>
      <c r="F1316" s="548"/>
      <c r="G1316" s="548"/>
    </row>
    <row r="1317" spans="3:7">
      <c r="C1317" s="548"/>
      <c r="D1317" s="548"/>
      <c r="E1317" s="548"/>
      <c r="F1317" s="548"/>
      <c r="G1317" s="548"/>
    </row>
    <row r="1318" spans="3:7">
      <c r="C1318" s="548"/>
      <c r="D1318" s="548"/>
      <c r="E1318" s="548"/>
      <c r="F1318" s="548"/>
      <c r="G1318" s="548"/>
    </row>
    <row r="1319" spans="3:7">
      <c r="C1319" s="548"/>
      <c r="D1319" s="548"/>
      <c r="E1319" s="548"/>
      <c r="F1319" s="548"/>
      <c r="G1319" s="548"/>
    </row>
    <row r="1320" spans="3:7">
      <c r="C1320" s="548"/>
      <c r="D1320" s="548"/>
      <c r="E1320" s="548"/>
      <c r="F1320" s="548"/>
      <c r="G1320" s="548"/>
    </row>
    <row r="1321" spans="3:7">
      <c r="C1321" s="548"/>
      <c r="D1321" s="548"/>
      <c r="E1321" s="548"/>
      <c r="F1321" s="548"/>
      <c r="G1321" s="548"/>
    </row>
    <row r="1322" spans="3:7">
      <c r="C1322" s="548"/>
      <c r="D1322" s="548"/>
      <c r="E1322" s="548"/>
      <c r="F1322" s="548"/>
      <c r="G1322" s="548"/>
    </row>
    <row r="1323" spans="3:7">
      <c r="C1323" s="548"/>
      <c r="D1323" s="548"/>
      <c r="E1323" s="548"/>
      <c r="F1323" s="548"/>
      <c r="G1323" s="548"/>
    </row>
    <row r="1324" spans="3:7">
      <c r="C1324" s="548"/>
      <c r="D1324" s="548"/>
      <c r="E1324" s="548"/>
      <c r="F1324" s="548"/>
      <c r="G1324" s="548"/>
    </row>
    <row r="1325" spans="3:7">
      <c r="C1325" s="548"/>
      <c r="D1325" s="548"/>
      <c r="E1325" s="548"/>
      <c r="F1325" s="548"/>
      <c r="G1325" s="548"/>
    </row>
    <row r="1326" spans="3:7">
      <c r="C1326" s="548"/>
      <c r="D1326" s="548"/>
      <c r="E1326" s="548"/>
      <c r="F1326" s="548"/>
      <c r="G1326" s="548"/>
    </row>
    <row r="1327" spans="3:7">
      <c r="C1327" s="548"/>
      <c r="D1327" s="548"/>
      <c r="E1327" s="548"/>
      <c r="F1327" s="548"/>
      <c r="G1327" s="548"/>
    </row>
    <row r="1328" spans="3:7">
      <c r="C1328" s="548"/>
      <c r="D1328" s="548"/>
      <c r="E1328" s="548"/>
      <c r="F1328" s="548"/>
      <c r="G1328" s="548"/>
    </row>
    <row r="1329" spans="3:7">
      <c r="C1329" s="548"/>
      <c r="D1329" s="548"/>
      <c r="E1329" s="548"/>
      <c r="F1329" s="548"/>
      <c r="G1329" s="548"/>
    </row>
    <row r="1330" spans="3:7">
      <c r="C1330" s="548"/>
      <c r="D1330" s="548"/>
      <c r="E1330" s="548"/>
      <c r="F1330" s="548"/>
      <c r="G1330" s="548"/>
    </row>
    <row r="1331" spans="3:7">
      <c r="C1331" s="548"/>
      <c r="D1331" s="548"/>
      <c r="E1331" s="548"/>
      <c r="F1331" s="548"/>
      <c r="G1331" s="548"/>
    </row>
    <row r="1332" spans="3:7">
      <c r="C1332" s="548"/>
      <c r="D1332" s="548"/>
      <c r="E1332" s="548"/>
      <c r="F1332" s="548"/>
      <c r="G1332" s="548"/>
    </row>
    <row r="1333" spans="3:7">
      <c r="C1333" s="548"/>
      <c r="D1333" s="548"/>
      <c r="E1333" s="548"/>
      <c r="F1333" s="548"/>
      <c r="G1333" s="548"/>
    </row>
    <row r="1334" spans="3:7">
      <c r="C1334" s="548"/>
      <c r="D1334" s="548"/>
      <c r="E1334" s="548"/>
      <c r="F1334" s="548"/>
      <c r="G1334" s="548"/>
    </row>
    <row r="1335" spans="3:7">
      <c r="C1335" s="548"/>
      <c r="D1335" s="548"/>
      <c r="E1335" s="548"/>
      <c r="F1335" s="548"/>
      <c r="G1335" s="548"/>
    </row>
    <row r="1336" spans="3:7">
      <c r="C1336" s="548"/>
      <c r="D1336" s="548"/>
      <c r="E1336" s="548"/>
      <c r="F1336" s="548"/>
      <c r="G1336" s="548"/>
    </row>
    <row r="1337" spans="3:7">
      <c r="C1337" s="548"/>
      <c r="D1337" s="548"/>
      <c r="E1337" s="548"/>
      <c r="F1337" s="548"/>
      <c r="G1337" s="548"/>
    </row>
    <row r="1338" spans="3:7">
      <c r="C1338" s="548"/>
      <c r="D1338" s="548"/>
      <c r="E1338" s="548"/>
      <c r="F1338" s="548"/>
      <c r="G1338" s="548"/>
    </row>
    <row r="1339" spans="3:7">
      <c r="C1339" s="548"/>
      <c r="D1339" s="548"/>
      <c r="E1339" s="548"/>
      <c r="F1339" s="548"/>
      <c r="G1339" s="548"/>
    </row>
    <row r="1340" spans="3:7">
      <c r="C1340" s="548"/>
      <c r="D1340" s="548"/>
      <c r="E1340" s="548"/>
      <c r="F1340" s="548"/>
      <c r="G1340" s="548"/>
    </row>
    <row r="1341" spans="3:7">
      <c r="C1341" s="548"/>
      <c r="D1341" s="548"/>
      <c r="E1341" s="548"/>
      <c r="F1341" s="548"/>
      <c r="G1341" s="548"/>
    </row>
    <row r="1342" spans="3:7">
      <c r="C1342" s="548"/>
      <c r="D1342" s="548"/>
      <c r="E1342" s="548"/>
      <c r="F1342" s="548"/>
      <c r="G1342" s="548"/>
    </row>
    <row r="1343" spans="3:7">
      <c r="C1343" s="548"/>
      <c r="D1343" s="548"/>
      <c r="E1343" s="548"/>
      <c r="F1343" s="548"/>
      <c r="G1343" s="548"/>
    </row>
    <row r="1344" spans="3:7">
      <c r="C1344" s="548"/>
      <c r="D1344" s="548"/>
      <c r="E1344" s="548"/>
      <c r="F1344" s="548"/>
      <c r="G1344" s="548"/>
    </row>
    <row r="1345" spans="3:7">
      <c r="C1345" s="548"/>
      <c r="D1345" s="548"/>
      <c r="E1345" s="548"/>
      <c r="F1345" s="548"/>
      <c r="G1345" s="548"/>
    </row>
    <row r="1346" spans="3:7">
      <c r="C1346" s="548"/>
      <c r="D1346" s="548"/>
      <c r="E1346" s="548"/>
      <c r="F1346" s="548"/>
      <c r="G1346" s="548"/>
    </row>
    <row r="1347" spans="3:7">
      <c r="C1347" s="548"/>
      <c r="D1347" s="548"/>
      <c r="E1347" s="548"/>
      <c r="F1347" s="548"/>
      <c r="G1347" s="548"/>
    </row>
    <row r="1348" spans="3:7">
      <c r="C1348" s="548"/>
      <c r="D1348" s="548"/>
      <c r="E1348" s="548"/>
      <c r="F1348" s="548"/>
      <c r="G1348" s="548"/>
    </row>
    <row r="1349" spans="3:7">
      <c r="C1349" s="548"/>
      <c r="D1349" s="548"/>
      <c r="E1349" s="548"/>
      <c r="F1349" s="548"/>
      <c r="G1349" s="548"/>
    </row>
    <row r="1350" spans="3:7">
      <c r="C1350" s="548"/>
      <c r="D1350" s="548"/>
      <c r="E1350" s="548"/>
      <c r="F1350" s="548"/>
      <c r="G1350" s="548"/>
    </row>
    <row r="1351" spans="3:7">
      <c r="C1351" s="548"/>
      <c r="D1351" s="548"/>
      <c r="E1351" s="548"/>
      <c r="F1351" s="548"/>
      <c r="G1351" s="548"/>
    </row>
    <row r="1352" spans="3:7">
      <c r="C1352" s="548"/>
      <c r="D1352" s="548"/>
      <c r="E1352" s="548"/>
      <c r="F1352" s="548"/>
      <c r="G1352" s="548"/>
    </row>
    <row r="1353" spans="3:7">
      <c r="C1353" s="548"/>
      <c r="D1353" s="548"/>
      <c r="E1353" s="548"/>
      <c r="F1353" s="548"/>
      <c r="G1353" s="548"/>
    </row>
    <row r="1354" spans="3:7">
      <c r="C1354" s="548"/>
      <c r="D1354" s="548"/>
      <c r="E1354" s="548"/>
      <c r="F1354" s="548"/>
      <c r="G1354" s="548"/>
    </row>
    <row r="1355" spans="3:7">
      <c r="C1355" s="548"/>
      <c r="D1355" s="548"/>
      <c r="E1355" s="548"/>
      <c r="F1355" s="548"/>
      <c r="G1355" s="548"/>
    </row>
    <row r="1356" spans="3:7">
      <c r="C1356" s="548"/>
      <c r="D1356" s="548"/>
      <c r="E1356" s="548"/>
      <c r="F1356" s="548"/>
      <c r="G1356" s="548"/>
    </row>
    <row r="1357" spans="3:7">
      <c r="C1357" s="548"/>
      <c r="D1357" s="548"/>
      <c r="E1357" s="548"/>
      <c r="F1357" s="548"/>
      <c r="G1357" s="548"/>
    </row>
    <row r="1358" spans="3:7">
      <c r="C1358" s="548"/>
      <c r="D1358" s="548"/>
      <c r="E1358" s="548"/>
      <c r="F1358" s="548"/>
      <c r="G1358" s="548"/>
    </row>
    <row r="1359" spans="3:7">
      <c r="C1359" s="548"/>
      <c r="D1359" s="548"/>
      <c r="E1359" s="548"/>
      <c r="F1359" s="548"/>
      <c r="G1359" s="548"/>
    </row>
    <row r="1360" spans="3:7">
      <c r="C1360" s="548"/>
      <c r="D1360" s="548"/>
      <c r="E1360" s="548"/>
      <c r="F1360" s="548"/>
      <c r="G1360" s="548"/>
    </row>
    <row r="1361" spans="3:7">
      <c r="C1361" s="548"/>
      <c r="D1361" s="548"/>
      <c r="E1361" s="548"/>
      <c r="F1361" s="548"/>
      <c r="G1361" s="548"/>
    </row>
    <row r="1362" spans="3:7">
      <c r="C1362" s="548"/>
      <c r="D1362" s="548"/>
      <c r="E1362" s="548"/>
      <c r="F1362" s="548"/>
      <c r="G1362" s="548"/>
    </row>
    <row r="1363" spans="3:7">
      <c r="C1363" s="548"/>
      <c r="D1363" s="548"/>
      <c r="E1363" s="548"/>
      <c r="F1363" s="548"/>
      <c r="G1363" s="548"/>
    </row>
    <row r="1364" spans="3:7">
      <c r="C1364" s="548"/>
      <c r="D1364" s="548"/>
      <c r="E1364" s="548"/>
      <c r="F1364" s="548"/>
      <c r="G1364" s="548"/>
    </row>
    <row r="1365" spans="3:7">
      <c r="C1365" s="548"/>
      <c r="D1365" s="548"/>
      <c r="E1365" s="548"/>
      <c r="F1365" s="548"/>
      <c r="G1365" s="548"/>
    </row>
    <row r="1366" spans="3:7">
      <c r="C1366" s="548"/>
      <c r="D1366" s="548"/>
      <c r="E1366" s="548"/>
      <c r="F1366" s="548"/>
      <c r="G1366" s="548"/>
    </row>
    <row r="1367" spans="3:7">
      <c r="C1367" s="548"/>
      <c r="D1367" s="548"/>
      <c r="E1367" s="548"/>
      <c r="F1367" s="548"/>
      <c r="G1367" s="548"/>
    </row>
    <row r="1368" spans="3:7">
      <c r="C1368" s="548"/>
      <c r="D1368" s="548"/>
      <c r="E1368" s="548"/>
      <c r="F1368" s="548"/>
      <c r="G1368" s="548"/>
    </row>
    <row r="1369" spans="3:7">
      <c r="C1369" s="548"/>
      <c r="D1369" s="548"/>
      <c r="E1369" s="548"/>
      <c r="F1369" s="548"/>
      <c r="G1369" s="548"/>
    </row>
    <row r="1370" spans="3:7">
      <c r="C1370" s="548"/>
      <c r="D1370" s="548"/>
      <c r="E1370" s="548"/>
      <c r="F1370" s="548"/>
      <c r="G1370" s="548"/>
    </row>
    <row r="1371" spans="3:7">
      <c r="C1371" s="548"/>
      <c r="D1371" s="548"/>
      <c r="E1371" s="548"/>
      <c r="F1371" s="548"/>
      <c r="G1371" s="548"/>
    </row>
    <row r="1372" spans="3:7">
      <c r="C1372" s="548"/>
      <c r="D1372" s="548"/>
      <c r="E1372" s="548"/>
      <c r="F1372" s="548"/>
      <c r="G1372" s="548"/>
    </row>
    <row r="1373" spans="3:7">
      <c r="C1373" s="548"/>
      <c r="D1373" s="548"/>
      <c r="E1373" s="548"/>
      <c r="F1373" s="548"/>
      <c r="G1373" s="548"/>
    </row>
    <row r="1374" spans="3:7">
      <c r="C1374" s="548"/>
      <c r="D1374" s="548"/>
      <c r="E1374" s="548"/>
      <c r="F1374" s="548"/>
      <c r="G1374" s="548"/>
    </row>
    <row r="1375" spans="3:7">
      <c r="C1375" s="548"/>
      <c r="D1375" s="548"/>
      <c r="E1375" s="548"/>
      <c r="F1375" s="548"/>
      <c r="G1375" s="548"/>
    </row>
    <row r="1376" spans="3:7">
      <c r="C1376" s="548"/>
      <c r="D1376" s="548"/>
      <c r="E1376" s="548"/>
      <c r="F1376" s="548"/>
      <c r="G1376" s="548"/>
    </row>
    <row r="1377" spans="3:7">
      <c r="C1377" s="548"/>
      <c r="D1377" s="548"/>
      <c r="E1377" s="548"/>
      <c r="F1377" s="548"/>
      <c r="G1377" s="548"/>
    </row>
    <row r="1378" spans="3:7">
      <c r="C1378" s="548"/>
      <c r="D1378" s="548"/>
      <c r="E1378" s="548"/>
      <c r="F1378" s="548"/>
      <c r="G1378" s="548"/>
    </row>
    <row r="1379" spans="3:7">
      <c r="C1379" s="548"/>
      <c r="D1379" s="548"/>
      <c r="E1379" s="548"/>
      <c r="F1379" s="548"/>
      <c r="G1379" s="548"/>
    </row>
    <row r="1380" spans="3:7">
      <c r="C1380" s="548"/>
      <c r="D1380" s="548"/>
      <c r="E1380" s="548"/>
      <c r="F1380" s="548"/>
      <c r="G1380" s="548"/>
    </row>
    <row r="1381" spans="3:7">
      <c r="C1381" s="548"/>
      <c r="D1381" s="548"/>
      <c r="E1381" s="548"/>
      <c r="F1381" s="548"/>
      <c r="G1381" s="548"/>
    </row>
    <row r="1382" spans="3:7">
      <c r="C1382" s="548"/>
      <c r="D1382" s="548"/>
      <c r="E1382" s="548"/>
      <c r="F1382" s="548"/>
      <c r="G1382" s="548"/>
    </row>
    <row r="1383" spans="3:7">
      <c r="C1383" s="548"/>
      <c r="D1383" s="548"/>
      <c r="E1383" s="548"/>
      <c r="F1383" s="548"/>
      <c r="G1383" s="548"/>
    </row>
    <row r="1384" spans="3:7">
      <c r="C1384" s="548"/>
      <c r="D1384" s="548"/>
      <c r="E1384" s="548"/>
      <c r="F1384" s="548"/>
      <c r="G1384" s="548"/>
    </row>
    <row r="1385" spans="3:7">
      <c r="C1385" s="548"/>
      <c r="D1385" s="548"/>
      <c r="E1385" s="548"/>
      <c r="F1385" s="548"/>
      <c r="G1385" s="548"/>
    </row>
    <row r="1386" spans="3:7">
      <c r="C1386" s="548"/>
      <c r="D1386" s="548"/>
      <c r="E1386" s="548"/>
      <c r="F1386" s="548"/>
      <c r="G1386" s="548"/>
    </row>
    <row r="1387" spans="3:7">
      <c r="C1387" s="548"/>
      <c r="D1387" s="548"/>
      <c r="E1387" s="548"/>
      <c r="F1387" s="548"/>
      <c r="G1387" s="548"/>
    </row>
    <row r="1388" spans="3:7">
      <c r="C1388" s="548"/>
      <c r="D1388" s="548"/>
      <c r="E1388" s="548"/>
      <c r="F1388" s="548"/>
      <c r="G1388" s="548"/>
    </row>
    <row r="1389" spans="3:7">
      <c r="C1389" s="548"/>
      <c r="D1389" s="548"/>
      <c r="E1389" s="548"/>
      <c r="F1389" s="548"/>
      <c r="G1389" s="548"/>
    </row>
    <row r="1390" spans="3:7">
      <c r="C1390" s="548"/>
      <c r="D1390" s="548"/>
      <c r="E1390" s="548"/>
      <c r="F1390" s="548"/>
      <c r="G1390" s="548"/>
    </row>
    <row r="1391" spans="3:7">
      <c r="C1391" s="548"/>
      <c r="D1391" s="548"/>
      <c r="E1391" s="548"/>
      <c r="F1391" s="548"/>
      <c r="G1391" s="548"/>
    </row>
    <row r="1392" spans="3:7">
      <c r="C1392" s="548"/>
      <c r="D1392" s="548"/>
      <c r="E1392" s="548"/>
      <c r="F1392" s="548"/>
      <c r="G1392" s="548"/>
    </row>
    <row r="1393" spans="3:7">
      <c r="C1393" s="548"/>
      <c r="D1393" s="548"/>
      <c r="E1393" s="548"/>
      <c r="F1393" s="548"/>
      <c r="G1393" s="548"/>
    </row>
    <row r="1394" spans="3:7">
      <c r="C1394" s="548"/>
      <c r="D1394" s="548"/>
      <c r="E1394" s="548"/>
      <c r="F1394" s="548"/>
      <c r="G1394" s="548"/>
    </row>
    <row r="1395" spans="3:7">
      <c r="C1395" s="548"/>
      <c r="D1395" s="548"/>
      <c r="E1395" s="548"/>
      <c r="F1395" s="548"/>
      <c r="G1395" s="548"/>
    </row>
    <row r="1396" spans="3:7">
      <c r="C1396" s="548"/>
      <c r="D1396" s="548"/>
      <c r="E1396" s="548"/>
      <c r="F1396" s="548"/>
      <c r="G1396" s="548"/>
    </row>
    <row r="1397" spans="3:7">
      <c r="C1397" s="548"/>
      <c r="D1397" s="548"/>
      <c r="E1397" s="548"/>
      <c r="F1397" s="548"/>
      <c r="G1397" s="548"/>
    </row>
    <row r="1398" spans="3:7">
      <c r="C1398" s="548"/>
      <c r="D1398" s="548"/>
      <c r="E1398" s="548"/>
      <c r="F1398" s="548"/>
      <c r="G1398" s="548"/>
    </row>
    <row r="1399" spans="3:7">
      <c r="C1399" s="548"/>
      <c r="D1399" s="548"/>
      <c r="E1399" s="548"/>
      <c r="F1399" s="548"/>
      <c r="G1399" s="548"/>
    </row>
    <row r="1400" spans="3:7">
      <c r="C1400" s="548"/>
      <c r="D1400" s="548"/>
      <c r="E1400" s="548"/>
      <c r="F1400" s="548"/>
      <c r="G1400" s="548"/>
    </row>
    <row r="1401" spans="3:7">
      <c r="C1401" s="548"/>
      <c r="D1401" s="548"/>
      <c r="E1401" s="548"/>
      <c r="F1401" s="548"/>
      <c r="G1401" s="548"/>
    </row>
    <row r="1402" spans="3:7">
      <c r="C1402" s="548"/>
      <c r="D1402" s="548"/>
      <c r="E1402" s="548"/>
      <c r="F1402" s="548"/>
      <c r="G1402" s="548"/>
    </row>
    <row r="1403" spans="3:7">
      <c r="C1403" s="548"/>
      <c r="D1403" s="548"/>
      <c r="E1403" s="548"/>
      <c r="F1403" s="548"/>
      <c r="G1403" s="548"/>
    </row>
    <row r="1404" spans="3:7">
      <c r="C1404" s="548"/>
      <c r="D1404" s="548"/>
      <c r="E1404" s="548"/>
      <c r="F1404" s="548"/>
      <c r="G1404" s="548"/>
    </row>
    <row r="1405" spans="3:7">
      <c r="C1405" s="548"/>
      <c r="D1405" s="548"/>
      <c r="E1405" s="548"/>
      <c r="F1405" s="548"/>
      <c r="G1405" s="548"/>
    </row>
    <row r="1406" spans="3:7">
      <c r="C1406" s="548"/>
      <c r="D1406" s="548"/>
      <c r="E1406" s="548"/>
      <c r="F1406" s="548"/>
      <c r="G1406" s="548"/>
    </row>
    <row r="1407" spans="3:7">
      <c r="C1407" s="548"/>
      <c r="D1407" s="548"/>
      <c r="E1407" s="548"/>
      <c r="F1407" s="548"/>
      <c r="G1407" s="548"/>
    </row>
    <row r="1408" spans="3:7">
      <c r="C1408" s="548"/>
      <c r="D1408" s="548"/>
      <c r="E1408" s="548"/>
      <c r="F1408" s="548"/>
      <c r="G1408" s="548"/>
    </row>
    <row r="1409" spans="3:7">
      <c r="C1409" s="548"/>
      <c r="D1409" s="548"/>
      <c r="E1409" s="548"/>
      <c r="F1409" s="548"/>
      <c r="G1409" s="548"/>
    </row>
    <row r="1410" spans="3:7">
      <c r="C1410" s="548"/>
      <c r="D1410" s="548"/>
      <c r="E1410" s="548"/>
      <c r="F1410" s="548"/>
      <c r="G1410" s="548"/>
    </row>
    <row r="1411" spans="3:7">
      <c r="C1411" s="548"/>
      <c r="D1411" s="548"/>
      <c r="E1411" s="548"/>
      <c r="F1411" s="548"/>
      <c r="G1411" s="548"/>
    </row>
    <row r="1412" spans="3:7">
      <c r="C1412" s="548"/>
      <c r="D1412" s="548"/>
      <c r="E1412" s="548"/>
      <c r="F1412" s="548"/>
      <c r="G1412" s="548"/>
    </row>
    <row r="1413" spans="3:7">
      <c r="C1413" s="548"/>
      <c r="D1413" s="548"/>
      <c r="E1413" s="548"/>
      <c r="F1413" s="548"/>
      <c r="G1413" s="548"/>
    </row>
    <row r="1414" spans="3:7">
      <c r="C1414" s="548"/>
      <c r="D1414" s="548"/>
      <c r="E1414" s="548"/>
      <c r="F1414" s="548"/>
      <c r="G1414" s="548"/>
    </row>
    <row r="1415" spans="3:7">
      <c r="C1415" s="548"/>
      <c r="D1415" s="548"/>
      <c r="E1415" s="548"/>
      <c r="F1415" s="548"/>
      <c r="G1415" s="548"/>
    </row>
    <row r="1416" spans="3:7">
      <c r="C1416" s="548"/>
      <c r="D1416" s="548"/>
      <c r="E1416" s="548"/>
      <c r="F1416" s="548"/>
      <c r="G1416" s="548"/>
    </row>
    <row r="1417" spans="3:7">
      <c r="C1417" s="548"/>
      <c r="D1417" s="548"/>
      <c r="E1417" s="548"/>
      <c r="F1417" s="548"/>
      <c r="G1417" s="548"/>
    </row>
    <row r="1418" spans="3:7">
      <c r="C1418" s="548"/>
      <c r="D1418" s="548"/>
      <c r="E1418" s="548"/>
      <c r="F1418" s="548"/>
      <c r="G1418" s="548"/>
    </row>
    <row r="1419" spans="3:7">
      <c r="C1419" s="548"/>
      <c r="D1419" s="548"/>
      <c r="E1419" s="548"/>
      <c r="F1419" s="548"/>
      <c r="G1419" s="548"/>
    </row>
    <row r="1420" spans="3:7">
      <c r="C1420" s="548"/>
      <c r="D1420" s="548"/>
      <c r="E1420" s="548"/>
      <c r="F1420" s="548"/>
      <c r="G1420" s="548"/>
    </row>
    <row r="1421" spans="3:7">
      <c r="C1421" s="548"/>
      <c r="D1421" s="548"/>
      <c r="E1421" s="548"/>
      <c r="F1421" s="548"/>
      <c r="G1421" s="548"/>
    </row>
    <row r="1422" spans="3:7">
      <c r="C1422" s="548"/>
      <c r="D1422" s="548"/>
      <c r="E1422" s="548"/>
      <c r="F1422" s="548"/>
      <c r="G1422" s="548"/>
    </row>
    <row r="1423" spans="3:7">
      <c r="C1423" s="548"/>
      <c r="D1423" s="548"/>
      <c r="E1423" s="548"/>
      <c r="F1423" s="548"/>
      <c r="G1423" s="548"/>
    </row>
    <row r="1424" spans="3:7">
      <c r="C1424" s="548"/>
      <c r="D1424" s="548"/>
      <c r="E1424" s="548"/>
      <c r="F1424" s="548"/>
      <c r="G1424" s="548"/>
    </row>
    <row r="1425" spans="3:7">
      <c r="C1425" s="548"/>
      <c r="D1425" s="548"/>
      <c r="E1425" s="548"/>
      <c r="F1425" s="548"/>
      <c r="G1425" s="548"/>
    </row>
    <row r="1426" spans="3:7">
      <c r="C1426" s="548"/>
      <c r="D1426" s="548"/>
      <c r="E1426" s="548"/>
      <c r="F1426" s="548"/>
      <c r="G1426" s="548"/>
    </row>
    <row r="1427" spans="3:7">
      <c r="C1427" s="548"/>
      <c r="D1427" s="548"/>
      <c r="E1427" s="548"/>
      <c r="F1427" s="548"/>
      <c r="G1427" s="548"/>
    </row>
    <row r="1428" spans="3:7">
      <c r="C1428" s="548"/>
      <c r="D1428" s="548"/>
      <c r="E1428" s="548"/>
      <c r="F1428" s="548"/>
      <c r="G1428" s="548"/>
    </row>
    <row r="1429" spans="3:7">
      <c r="C1429" s="548"/>
      <c r="D1429" s="548"/>
      <c r="E1429" s="548"/>
      <c r="F1429" s="548"/>
      <c r="G1429" s="548"/>
    </row>
    <row r="1430" spans="3:7">
      <c r="C1430" s="548"/>
      <c r="D1430" s="548"/>
      <c r="E1430" s="548"/>
      <c r="F1430" s="548"/>
      <c r="G1430" s="548"/>
    </row>
    <row r="1431" spans="3:7">
      <c r="C1431" s="548"/>
      <c r="D1431" s="548"/>
      <c r="E1431" s="548"/>
      <c r="F1431" s="548"/>
      <c r="G1431" s="548"/>
    </row>
    <row r="1432" spans="3:7">
      <c r="C1432" s="548"/>
      <c r="D1432" s="548"/>
      <c r="E1432" s="548"/>
      <c r="F1432" s="548"/>
      <c r="G1432" s="548"/>
    </row>
    <row r="1433" spans="3:7">
      <c r="C1433" s="548"/>
      <c r="D1433" s="548"/>
      <c r="E1433" s="548"/>
      <c r="F1433" s="548"/>
      <c r="G1433" s="548"/>
    </row>
    <row r="1434" spans="3:7">
      <c r="C1434" s="548"/>
      <c r="D1434" s="548"/>
      <c r="E1434" s="548"/>
      <c r="F1434" s="548"/>
      <c r="G1434" s="548"/>
    </row>
    <row r="1435" spans="3:7">
      <c r="C1435" s="548"/>
      <c r="D1435" s="548"/>
      <c r="E1435" s="548"/>
      <c r="F1435" s="548"/>
      <c r="G1435" s="548"/>
    </row>
    <row r="1436" spans="3:7">
      <c r="C1436" s="548"/>
      <c r="D1436" s="548"/>
      <c r="E1436" s="548"/>
      <c r="F1436" s="548"/>
      <c r="G1436" s="548"/>
    </row>
    <row r="1437" spans="3:7">
      <c r="C1437" s="548"/>
      <c r="D1437" s="548"/>
      <c r="E1437" s="548"/>
      <c r="F1437" s="548"/>
      <c r="G1437" s="548"/>
    </row>
    <row r="1438" spans="3:7">
      <c r="C1438" s="548"/>
      <c r="D1438" s="548"/>
      <c r="E1438" s="548"/>
      <c r="F1438" s="548"/>
      <c r="G1438" s="548"/>
    </row>
    <row r="1439" spans="3:7">
      <c r="C1439" s="548"/>
      <c r="D1439" s="548"/>
      <c r="E1439" s="548"/>
      <c r="F1439" s="548"/>
      <c r="G1439" s="548"/>
    </row>
    <row r="1440" spans="3:7">
      <c r="C1440" s="548"/>
      <c r="D1440" s="548"/>
      <c r="E1440" s="548"/>
      <c r="F1440" s="548"/>
      <c r="G1440" s="548"/>
    </row>
    <row r="1441" spans="3:7">
      <c r="C1441" s="548"/>
      <c r="D1441" s="548"/>
      <c r="E1441" s="548"/>
      <c r="F1441" s="548"/>
      <c r="G1441" s="548"/>
    </row>
    <row r="1442" spans="3:7">
      <c r="C1442" s="548"/>
      <c r="D1442" s="548"/>
      <c r="E1442" s="548"/>
      <c r="F1442" s="548"/>
      <c r="G1442" s="548"/>
    </row>
    <row r="1443" spans="3:7">
      <c r="C1443" s="548"/>
      <c r="D1443" s="548"/>
      <c r="E1443" s="548"/>
      <c r="F1443" s="548"/>
      <c r="G1443" s="548"/>
    </row>
    <row r="1444" spans="3:7">
      <c r="C1444" s="548"/>
      <c r="D1444" s="548"/>
      <c r="E1444" s="548"/>
      <c r="F1444" s="548"/>
      <c r="G1444" s="548"/>
    </row>
    <row r="1445" spans="3:7">
      <c r="C1445" s="548"/>
      <c r="D1445" s="548"/>
      <c r="E1445" s="548"/>
      <c r="F1445" s="548"/>
      <c r="G1445" s="548"/>
    </row>
    <row r="1446" spans="3:7">
      <c r="C1446" s="548"/>
      <c r="D1446" s="548"/>
      <c r="E1446" s="548"/>
      <c r="F1446" s="548"/>
      <c r="G1446" s="548"/>
    </row>
    <row r="1447" spans="3:7">
      <c r="C1447" s="548"/>
      <c r="D1447" s="548"/>
      <c r="E1447" s="548"/>
      <c r="F1447" s="548"/>
      <c r="G1447" s="548"/>
    </row>
    <row r="1448" spans="3:7">
      <c r="C1448" s="548"/>
      <c r="D1448" s="548"/>
      <c r="E1448" s="548"/>
      <c r="F1448" s="548"/>
      <c r="G1448" s="548"/>
    </row>
    <row r="1449" spans="3:7">
      <c r="C1449" s="548"/>
      <c r="D1449" s="548"/>
      <c r="E1449" s="548"/>
      <c r="F1449" s="548"/>
      <c r="G1449" s="548"/>
    </row>
    <row r="1450" spans="3:7">
      <c r="C1450" s="548"/>
      <c r="D1450" s="548"/>
      <c r="E1450" s="548"/>
      <c r="F1450" s="548"/>
      <c r="G1450" s="548"/>
    </row>
    <row r="1451" spans="3:7">
      <c r="C1451" s="548"/>
      <c r="D1451" s="548"/>
      <c r="E1451" s="548"/>
      <c r="F1451" s="548"/>
      <c r="G1451" s="548"/>
    </row>
    <row r="1452" spans="3:7">
      <c r="C1452" s="548"/>
      <c r="D1452" s="548"/>
      <c r="E1452" s="548"/>
      <c r="F1452" s="548"/>
      <c r="G1452" s="548"/>
    </row>
    <row r="1453" spans="3:7">
      <c r="C1453" s="548"/>
      <c r="D1453" s="548"/>
      <c r="E1453" s="548"/>
      <c r="F1453" s="548"/>
      <c r="G1453" s="548"/>
    </row>
    <row r="1454" spans="3:7">
      <c r="C1454" s="548"/>
      <c r="D1454" s="548"/>
      <c r="E1454" s="548"/>
      <c r="F1454" s="548"/>
      <c r="G1454" s="548"/>
    </row>
    <row r="1455" spans="3:7">
      <c r="C1455" s="548"/>
      <c r="D1455" s="548"/>
      <c r="E1455" s="548"/>
      <c r="F1455" s="548"/>
      <c r="G1455" s="548"/>
    </row>
    <row r="1456" spans="3:7">
      <c r="C1456" s="548"/>
      <c r="D1456" s="548"/>
      <c r="E1456" s="548"/>
      <c r="F1456" s="548"/>
      <c r="G1456" s="548"/>
    </row>
    <row r="1457" spans="3:7">
      <c r="C1457" s="548"/>
      <c r="D1457" s="548"/>
      <c r="E1457" s="548"/>
      <c r="F1457" s="548"/>
      <c r="G1457" s="548"/>
    </row>
    <row r="1458" spans="3:7">
      <c r="C1458" s="548"/>
      <c r="D1458" s="548"/>
      <c r="E1458" s="548"/>
      <c r="F1458" s="548"/>
      <c r="G1458" s="548"/>
    </row>
    <row r="1459" spans="3:7">
      <c r="C1459" s="548"/>
      <c r="D1459" s="548"/>
      <c r="E1459" s="548"/>
      <c r="F1459" s="548"/>
      <c r="G1459" s="548"/>
    </row>
    <row r="1460" spans="3:7">
      <c r="C1460" s="548"/>
      <c r="D1460" s="548"/>
      <c r="E1460" s="548"/>
      <c r="F1460" s="548"/>
      <c r="G1460" s="548"/>
    </row>
    <row r="1461" spans="3:7">
      <c r="C1461" s="548"/>
      <c r="D1461" s="548"/>
      <c r="E1461" s="548"/>
      <c r="F1461" s="548"/>
      <c r="G1461" s="548"/>
    </row>
    <row r="1462" spans="3:7">
      <c r="C1462" s="548"/>
      <c r="D1462" s="548"/>
      <c r="E1462" s="548"/>
      <c r="F1462" s="548"/>
      <c r="G1462" s="548"/>
    </row>
    <row r="1463" spans="3:7">
      <c r="C1463" s="548"/>
      <c r="D1463" s="548"/>
      <c r="E1463" s="548"/>
      <c r="F1463" s="548"/>
      <c r="G1463" s="548"/>
    </row>
    <row r="1464" spans="3:7">
      <c r="C1464" s="548"/>
      <c r="D1464" s="548"/>
      <c r="E1464" s="548"/>
      <c r="F1464" s="548"/>
      <c r="G1464" s="548"/>
    </row>
    <row r="1465" spans="3:7">
      <c r="C1465" s="548"/>
      <c r="D1465" s="548"/>
      <c r="E1465" s="548"/>
      <c r="F1465" s="548"/>
      <c r="G1465" s="548"/>
    </row>
    <row r="1466" spans="3:7">
      <c r="C1466" s="548"/>
      <c r="D1466" s="548"/>
      <c r="E1466" s="548"/>
      <c r="F1466" s="548"/>
      <c r="G1466" s="548"/>
    </row>
    <row r="1467" spans="3:7">
      <c r="C1467" s="548"/>
      <c r="D1467" s="548"/>
      <c r="E1467" s="548"/>
      <c r="F1467" s="548"/>
      <c r="G1467" s="548"/>
    </row>
    <row r="1468" spans="3:7">
      <c r="C1468" s="548"/>
      <c r="D1468" s="548"/>
      <c r="E1468" s="548"/>
      <c r="F1468" s="548"/>
      <c r="G1468" s="548"/>
    </row>
    <row r="1469" spans="3:7">
      <c r="C1469" s="548"/>
      <c r="D1469" s="548"/>
      <c r="E1469" s="548"/>
      <c r="F1469" s="548"/>
      <c r="G1469" s="548"/>
    </row>
    <row r="1470" spans="3:7">
      <c r="C1470" s="548"/>
      <c r="D1470" s="548"/>
      <c r="E1470" s="548"/>
      <c r="F1470" s="548"/>
      <c r="G1470" s="548"/>
    </row>
    <row r="1471" spans="3:7">
      <c r="C1471" s="548"/>
      <c r="D1471" s="548"/>
      <c r="E1471" s="548"/>
      <c r="F1471" s="548"/>
      <c r="G1471" s="548"/>
    </row>
    <row r="1472" spans="3:7">
      <c r="C1472" s="548"/>
      <c r="D1472" s="548"/>
      <c r="E1472" s="548"/>
      <c r="F1472" s="548"/>
      <c r="G1472" s="548"/>
    </row>
    <row r="1473" spans="3:7">
      <c r="C1473" s="548"/>
      <c r="D1473" s="548"/>
      <c r="E1473" s="548"/>
      <c r="F1473" s="548"/>
      <c r="G1473" s="548"/>
    </row>
    <row r="1474" spans="3:7">
      <c r="C1474" s="548"/>
      <c r="D1474" s="548"/>
      <c r="E1474" s="548"/>
      <c r="F1474" s="548"/>
      <c r="G1474" s="548"/>
    </row>
    <row r="1475" spans="3:7">
      <c r="C1475" s="548"/>
      <c r="D1475" s="548"/>
      <c r="E1475" s="548"/>
      <c r="F1475" s="548"/>
      <c r="G1475" s="548"/>
    </row>
    <row r="1476" spans="3:7">
      <c r="C1476" s="548"/>
      <c r="D1476" s="548"/>
      <c r="E1476" s="548"/>
      <c r="F1476" s="548"/>
      <c r="G1476" s="548"/>
    </row>
    <row r="1477" spans="3:7">
      <c r="C1477" s="548"/>
      <c r="D1477" s="548"/>
      <c r="E1477" s="548"/>
      <c r="F1477" s="548"/>
      <c r="G1477" s="548"/>
    </row>
    <row r="1478" spans="3:7">
      <c r="C1478" s="548"/>
      <c r="D1478" s="548"/>
      <c r="E1478" s="548"/>
      <c r="F1478" s="548"/>
      <c r="G1478" s="548"/>
    </row>
    <row r="1479" spans="3:7">
      <c r="C1479" s="548"/>
      <c r="D1479" s="548"/>
      <c r="E1479" s="548"/>
      <c r="F1479" s="548"/>
      <c r="G1479" s="548"/>
    </row>
    <row r="1480" spans="3:7">
      <c r="C1480" s="548"/>
      <c r="D1480" s="548"/>
      <c r="E1480" s="548"/>
      <c r="F1480" s="548"/>
      <c r="G1480" s="548"/>
    </row>
    <row r="1481" spans="3:7">
      <c r="C1481" s="548"/>
      <c r="D1481" s="548"/>
      <c r="E1481" s="548"/>
      <c r="F1481" s="548"/>
      <c r="G1481" s="548"/>
    </row>
    <row r="1482" spans="3:7">
      <c r="C1482" s="548"/>
      <c r="D1482" s="548"/>
      <c r="E1482" s="548"/>
      <c r="F1482" s="548"/>
      <c r="G1482" s="548"/>
    </row>
    <row r="1483" spans="3:7">
      <c r="C1483" s="548"/>
      <c r="D1483" s="548"/>
      <c r="E1483" s="548"/>
      <c r="F1483" s="548"/>
      <c r="G1483" s="548"/>
    </row>
    <row r="1484" spans="3:7">
      <c r="C1484" s="548"/>
      <c r="D1484" s="548"/>
      <c r="E1484" s="548"/>
      <c r="F1484" s="548"/>
      <c r="G1484" s="548"/>
    </row>
    <row r="1485" spans="3:7">
      <c r="C1485" s="548"/>
      <c r="D1485" s="548"/>
      <c r="E1485" s="548"/>
      <c r="F1485" s="548"/>
      <c r="G1485" s="548"/>
    </row>
    <row r="1486" spans="3:7">
      <c r="C1486" s="548"/>
      <c r="D1486" s="548"/>
      <c r="E1486" s="548"/>
      <c r="F1486" s="548"/>
      <c r="G1486" s="548"/>
    </row>
    <row r="1487" spans="3:7">
      <c r="C1487" s="548"/>
      <c r="D1487" s="548"/>
      <c r="E1487" s="548"/>
      <c r="F1487" s="548"/>
      <c r="G1487" s="548"/>
    </row>
    <row r="1488" spans="3:7">
      <c r="C1488" s="548"/>
      <c r="D1488" s="548"/>
      <c r="E1488" s="548"/>
      <c r="F1488" s="548"/>
      <c r="G1488" s="548"/>
    </row>
    <row r="1489" spans="3:7">
      <c r="C1489" s="548"/>
      <c r="D1489" s="548"/>
      <c r="E1489" s="548"/>
      <c r="F1489" s="548"/>
      <c r="G1489" s="548"/>
    </row>
    <row r="1490" spans="3:7">
      <c r="C1490" s="548"/>
      <c r="D1490" s="548"/>
      <c r="E1490" s="548"/>
      <c r="F1490" s="548"/>
      <c r="G1490" s="548"/>
    </row>
    <row r="1491" spans="3:7">
      <c r="C1491" s="548"/>
      <c r="D1491" s="548"/>
      <c r="E1491" s="548"/>
      <c r="F1491" s="548"/>
      <c r="G1491" s="548"/>
    </row>
    <row r="1492" spans="3:7">
      <c r="C1492" s="548"/>
      <c r="D1492" s="548"/>
      <c r="E1492" s="548"/>
      <c r="F1492" s="548"/>
      <c r="G1492" s="548"/>
    </row>
    <row r="1493" spans="3:7">
      <c r="C1493" s="548"/>
      <c r="D1493" s="548"/>
      <c r="E1493" s="548"/>
      <c r="F1493" s="548"/>
      <c r="G1493" s="548"/>
    </row>
    <row r="1494" spans="3:7">
      <c r="C1494" s="548"/>
      <c r="D1494" s="548"/>
      <c r="E1494" s="548"/>
      <c r="F1494" s="548"/>
      <c r="G1494" s="548"/>
    </row>
    <row r="1495" spans="3:7">
      <c r="C1495" s="548"/>
      <c r="D1495" s="548"/>
      <c r="E1495" s="548"/>
      <c r="F1495" s="548"/>
      <c r="G1495" s="548"/>
    </row>
    <row r="1496" spans="3:7">
      <c r="C1496" s="548"/>
      <c r="D1496" s="548"/>
      <c r="E1496" s="548"/>
      <c r="F1496" s="548"/>
      <c r="G1496" s="548"/>
    </row>
    <row r="1497" spans="3:7">
      <c r="C1497" s="548"/>
      <c r="D1497" s="548"/>
      <c r="E1497" s="548"/>
      <c r="F1497" s="548"/>
      <c r="G1497" s="548"/>
    </row>
    <row r="1498" spans="3:7">
      <c r="C1498" s="548"/>
      <c r="D1498" s="548"/>
      <c r="E1498" s="548"/>
      <c r="F1498" s="548"/>
      <c r="G1498" s="548"/>
    </row>
    <row r="1499" spans="3:7">
      <c r="C1499" s="548"/>
      <c r="D1499" s="548"/>
      <c r="E1499" s="548"/>
      <c r="F1499" s="548"/>
      <c r="G1499" s="548"/>
    </row>
    <row r="1500" spans="3:7">
      <c r="C1500" s="548"/>
      <c r="D1500" s="548"/>
      <c r="E1500" s="548"/>
      <c r="F1500" s="548"/>
      <c r="G1500" s="548"/>
    </row>
    <row r="1501" spans="3:7">
      <c r="C1501" s="548"/>
      <c r="D1501" s="548"/>
      <c r="E1501" s="548"/>
      <c r="F1501" s="548"/>
      <c r="G1501" s="548"/>
    </row>
    <row r="1502" spans="3:7">
      <c r="C1502" s="548"/>
      <c r="D1502" s="548"/>
      <c r="E1502" s="548"/>
      <c r="F1502" s="548"/>
      <c r="G1502" s="548"/>
    </row>
    <row r="1503" spans="3:7">
      <c r="C1503" s="548"/>
      <c r="D1503" s="548"/>
      <c r="E1503" s="548"/>
      <c r="F1503" s="548"/>
      <c r="G1503" s="548"/>
    </row>
    <row r="1504" spans="3:7">
      <c r="C1504" s="548"/>
      <c r="D1504" s="548"/>
      <c r="E1504" s="548"/>
      <c r="F1504" s="548"/>
      <c r="G1504" s="548"/>
    </row>
    <row r="1505" spans="3:7">
      <c r="C1505" s="548"/>
      <c r="D1505" s="548"/>
      <c r="E1505" s="548"/>
      <c r="F1505" s="548"/>
      <c r="G1505" s="548"/>
    </row>
    <row r="1506" spans="3:7">
      <c r="C1506" s="548"/>
      <c r="D1506" s="548"/>
      <c r="E1506" s="548"/>
      <c r="F1506" s="548"/>
      <c r="G1506" s="548"/>
    </row>
    <row r="1507" spans="3:7">
      <c r="C1507" s="548"/>
      <c r="D1507" s="548"/>
      <c r="E1507" s="548"/>
      <c r="F1507" s="548"/>
      <c r="G1507" s="548"/>
    </row>
    <row r="1508" spans="3:7">
      <c r="C1508" s="548"/>
      <c r="D1508" s="548"/>
      <c r="E1508" s="548"/>
      <c r="F1508" s="548"/>
      <c r="G1508" s="548"/>
    </row>
    <row r="1509" spans="3:7">
      <c r="C1509" s="548"/>
      <c r="D1509" s="548"/>
      <c r="E1509" s="548"/>
      <c r="F1509" s="548"/>
      <c r="G1509" s="548"/>
    </row>
    <row r="1510" spans="3:7">
      <c r="C1510" s="548"/>
      <c r="D1510" s="548"/>
      <c r="E1510" s="548"/>
      <c r="F1510" s="548"/>
      <c r="G1510" s="548"/>
    </row>
    <row r="1511" spans="3:7">
      <c r="C1511" s="548"/>
      <c r="D1511" s="548"/>
      <c r="E1511" s="548"/>
      <c r="F1511" s="548"/>
      <c r="G1511" s="548"/>
    </row>
    <row r="1512" spans="3:7">
      <c r="C1512" s="548"/>
      <c r="D1512" s="548"/>
      <c r="E1512" s="548"/>
      <c r="F1512" s="548"/>
      <c r="G1512" s="548"/>
    </row>
    <row r="1513" spans="3:7">
      <c r="C1513" s="548"/>
      <c r="D1513" s="548"/>
      <c r="E1513" s="548"/>
      <c r="F1513" s="548"/>
      <c r="G1513" s="548"/>
    </row>
    <row r="1514" spans="3:7">
      <c r="C1514" s="548"/>
      <c r="D1514" s="548"/>
      <c r="E1514" s="548"/>
      <c r="F1514" s="548"/>
      <c r="G1514" s="548"/>
    </row>
    <row r="1515" spans="3:7">
      <c r="C1515" s="548"/>
      <c r="D1515" s="548"/>
      <c r="E1515" s="548"/>
      <c r="F1515" s="548"/>
      <c r="G1515" s="548"/>
    </row>
    <row r="1516" spans="3:7">
      <c r="C1516" s="548"/>
      <c r="D1516" s="548"/>
      <c r="E1516" s="548"/>
      <c r="F1516" s="548"/>
      <c r="G1516" s="548"/>
    </row>
    <row r="1517" spans="3:7">
      <c r="C1517" s="548"/>
      <c r="D1517" s="548"/>
      <c r="E1517" s="548"/>
      <c r="F1517" s="548"/>
      <c r="G1517" s="548"/>
    </row>
    <row r="1518" spans="3:7">
      <c r="C1518" s="548"/>
      <c r="D1518" s="548"/>
      <c r="E1518" s="548"/>
      <c r="F1518" s="548"/>
      <c r="G1518" s="548"/>
    </row>
    <row r="1519" spans="3:7">
      <c r="C1519" s="548"/>
      <c r="D1519" s="548"/>
      <c r="E1519" s="548"/>
      <c r="F1519" s="548"/>
      <c r="G1519" s="548"/>
    </row>
    <row r="1520" spans="3:7">
      <c r="C1520" s="548"/>
      <c r="D1520" s="548"/>
      <c r="E1520" s="548"/>
      <c r="F1520" s="548"/>
      <c r="G1520" s="548"/>
    </row>
    <row r="1521" spans="3:7">
      <c r="C1521" s="548"/>
      <c r="D1521" s="548"/>
      <c r="E1521" s="548"/>
      <c r="F1521" s="548"/>
      <c r="G1521" s="548"/>
    </row>
    <row r="1522" spans="3:7">
      <c r="C1522" s="548"/>
      <c r="D1522" s="548"/>
      <c r="E1522" s="548"/>
      <c r="F1522" s="548"/>
      <c r="G1522" s="548"/>
    </row>
    <row r="1523" spans="3:7">
      <c r="C1523" s="548"/>
      <c r="D1523" s="548"/>
      <c r="E1523" s="548"/>
      <c r="F1523" s="548"/>
      <c r="G1523" s="548"/>
    </row>
    <row r="1524" spans="3:7">
      <c r="C1524" s="548"/>
      <c r="D1524" s="548"/>
      <c r="E1524" s="548"/>
      <c r="F1524" s="548"/>
      <c r="G1524" s="548"/>
    </row>
    <row r="1525" spans="3:7">
      <c r="C1525" s="548"/>
      <c r="D1525" s="548"/>
      <c r="E1525" s="548"/>
      <c r="F1525" s="548"/>
      <c r="G1525" s="548"/>
    </row>
    <row r="1526" spans="3:7">
      <c r="C1526" s="548"/>
      <c r="D1526" s="548"/>
      <c r="E1526" s="548"/>
      <c r="F1526" s="548"/>
      <c r="G1526" s="548"/>
    </row>
    <row r="1527" spans="3:7">
      <c r="C1527" s="548"/>
      <c r="D1527" s="548"/>
      <c r="E1527" s="548"/>
      <c r="F1527" s="548"/>
      <c r="G1527" s="548"/>
    </row>
    <row r="1528" spans="3:7">
      <c r="C1528" s="548"/>
      <c r="D1528" s="548"/>
      <c r="E1528" s="548"/>
      <c r="F1528" s="548"/>
      <c r="G1528" s="548"/>
    </row>
    <row r="1529" spans="3:7">
      <c r="C1529" s="548"/>
      <c r="D1529" s="548"/>
      <c r="E1529" s="548"/>
      <c r="F1529" s="548"/>
      <c r="G1529" s="548"/>
    </row>
    <row r="1530" spans="3:7">
      <c r="C1530" s="548"/>
      <c r="D1530" s="548"/>
      <c r="E1530" s="548"/>
      <c r="F1530" s="548"/>
      <c r="G1530" s="548"/>
    </row>
    <row r="1531" spans="3:7">
      <c r="C1531" s="548"/>
      <c r="D1531" s="548"/>
      <c r="E1531" s="548"/>
      <c r="F1531" s="548"/>
      <c r="G1531" s="548"/>
    </row>
    <row r="1532" spans="3:7">
      <c r="C1532" s="548"/>
      <c r="D1532" s="548"/>
      <c r="E1532" s="548"/>
      <c r="F1532" s="548"/>
      <c r="G1532" s="548"/>
    </row>
    <row r="1533" spans="3:7">
      <c r="C1533" s="548"/>
      <c r="D1533" s="548"/>
      <c r="E1533" s="548"/>
      <c r="F1533" s="548"/>
      <c r="G1533" s="548"/>
    </row>
    <row r="1534" spans="3:7">
      <c r="C1534" s="548"/>
      <c r="D1534" s="548"/>
      <c r="E1534" s="548"/>
      <c r="F1534" s="548"/>
      <c r="G1534" s="548"/>
    </row>
    <row r="1535" spans="3:7">
      <c r="C1535" s="548"/>
      <c r="D1535" s="548"/>
      <c r="E1535" s="548"/>
      <c r="F1535" s="548"/>
      <c r="G1535" s="548"/>
    </row>
    <row r="1536" spans="3:7">
      <c r="C1536" s="548"/>
      <c r="D1536" s="548"/>
      <c r="E1536" s="548"/>
      <c r="F1536" s="548"/>
      <c r="G1536" s="548"/>
    </row>
    <row r="1537" spans="3:7">
      <c r="C1537" s="548"/>
      <c r="D1537" s="548"/>
      <c r="E1537" s="548"/>
      <c r="F1537" s="548"/>
      <c r="G1537" s="548"/>
    </row>
    <row r="1538" spans="3:7">
      <c r="C1538" s="548"/>
      <c r="D1538" s="548"/>
      <c r="E1538" s="548"/>
      <c r="F1538" s="548"/>
      <c r="G1538" s="548"/>
    </row>
    <row r="1539" spans="3:7">
      <c r="C1539" s="548"/>
      <c r="D1539" s="548"/>
      <c r="E1539" s="548"/>
      <c r="F1539" s="548"/>
      <c r="G1539" s="548"/>
    </row>
    <row r="1540" spans="3:7">
      <c r="C1540" s="548"/>
      <c r="D1540" s="548"/>
      <c r="E1540" s="548"/>
      <c r="F1540" s="548"/>
      <c r="G1540" s="548"/>
    </row>
    <row r="1541" spans="3:7">
      <c r="C1541" s="548"/>
      <c r="D1541" s="548"/>
      <c r="E1541" s="548"/>
      <c r="F1541" s="548"/>
      <c r="G1541" s="548"/>
    </row>
    <row r="1542" spans="3:7">
      <c r="C1542" s="548"/>
      <c r="D1542" s="548"/>
      <c r="E1542" s="548"/>
      <c r="F1542" s="548"/>
      <c r="G1542" s="548"/>
    </row>
    <row r="1543" spans="3:7">
      <c r="C1543" s="548"/>
      <c r="D1543" s="548"/>
      <c r="E1543" s="548"/>
      <c r="F1543" s="548"/>
      <c r="G1543" s="548"/>
    </row>
    <row r="1544" spans="3:7">
      <c r="C1544" s="548"/>
      <c r="D1544" s="548"/>
      <c r="E1544" s="548"/>
      <c r="F1544" s="548"/>
      <c r="G1544" s="548"/>
    </row>
    <row r="1545" spans="3:7">
      <c r="C1545" s="548"/>
      <c r="D1545" s="548"/>
      <c r="E1545" s="548"/>
      <c r="F1545" s="548"/>
      <c r="G1545" s="548"/>
    </row>
    <row r="1546" spans="3:7">
      <c r="C1546" s="548"/>
      <c r="D1546" s="548"/>
      <c r="E1546" s="548"/>
      <c r="F1546" s="548"/>
      <c r="G1546" s="548"/>
    </row>
    <row r="1547" spans="3:7">
      <c r="C1547" s="548"/>
      <c r="D1547" s="548"/>
      <c r="E1547" s="548"/>
      <c r="F1547" s="548"/>
      <c r="G1547" s="548"/>
    </row>
    <row r="1548" spans="3:7">
      <c r="C1548" s="548"/>
      <c r="D1548" s="548"/>
      <c r="E1548" s="548"/>
      <c r="F1548" s="548"/>
      <c r="G1548" s="548"/>
    </row>
    <row r="1549" spans="3:7">
      <c r="C1549" s="548"/>
      <c r="D1549" s="548"/>
      <c r="E1549" s="548"/>
      <c r="F1549" s="548"/>
      <c r="G1549" s="548"/>
    </row>
    <row r="1550" spans="3:7">
      <c r="C1550" s="548"/>
      <c r="D1550" s="548"/>
      <c r="E1550" s="548"/>
      <c r="F1550" s="548"/>
      <c r="G1550" s="548"/>
    </row>
    <row r="1551" spans="3:7">
      <c r="C1551" s="548"/>
      <c r="D1551" s="548"/>
      <c r="E1551" s="548"/>
      <c r="F1551" s="548"/>
      <c r="G1551" s="548"/>
    </row>
    <row r="1552" spans="3:7">
      <c r="C1552" s="548"/>
      <c r="D1552" s="548"/>
      <c r="E1552" s="548"/>
      <c r="F1552" s="548"/>
      <c r="G1552" s="548"/>
    </row>
    <row r="1553" spans="3:7">
      <c r="C1553" s="548"/>
      <c r="D1553" s="548"/>
      <c r="E1553" s="548"/>
      <c r="F1553" s="548"/>
      <c r="G1553" s="548"/>
    </row>
    <row r="1554" spans="3:7">
      <c r="C1554" s="548"/>
      <c r="D1554" s="548"/>
      <c r="E1554" s="548"/>
      <c r="F1554" s="548"/>
      <c r="G1554" s="548"/>
    </row>
    <row r="1555" spans="3:7">
      <c r="C1555" s="548"/>
      <c r="D1555" s="548"/>
      <c r="E1555" s="548"/>
      <c r="F1555" s="548"/>
      <c r="G1555" s="548"/>
    </row>
    <row r="1556" spans="3:7">
      <c r="C1556" s="548"/>
      <c r="D1556" s="548"/>
      <c r="E1556" s="548"/>
      <c r="F1556" s="548"/>
      <c r="G1556" s="548"/>
    </row>
    <row r="1557" spans="3:7">
      <c r="C1557" s="548"/>
      <c r="D1557" s="548"/>
      <c r="E1557" s="548"/>
      <c r="F1557" s="548"/>
      <c r="G1557" s="548"/>
    </row>
    <row r="1558" spans="3:7">
      <c r="C1558" s="548"/>
      <c r="D1558" s="548"/>
      <c r="E1558" s="548"/>
      <c r="F1558" s="548"/>
      <c r="G1558" s="548"/>
    </row>
    <row r="1559" spans="3:7">
      <c r="C1559" s="548"/>
      <c r="D1559" s="548"/>
      <c r="E1559" s="548"/>
      <c r="F1559" s="548"/>
      <c r="G1559" s="548"/>
    </row>
    <row r="1560" spans="3:7">
      <c r="C1560" s="548"/>
      <c r="D1560" s="548"/>
      <c r="E1560" s="548"/>
      <c r="F1560" s="548"/>
      <c r="G1560" s="548"/>
    </row>
    <row r="1561" spans="3:7">
      <c r="C1561" s="548"/>
      <c r="D1561" s="548"/>
      <c r="E1561" s="548"/>
      <c r="F1561" s="548"/>
      <c r="G1561" s="548"/>
    </row>
    <row r="1562" spans="3:7">
      <c r="C1562" s="548"/>
      <c r="D1562" s="548"/>
      <c r="E1562" s="548"/>
      <c r="F1562" s="548"/>
      <c r="G1562" s="548"/>
    </row>
    <row r="1563" spans="3:7">
      <c r="C1563" s="548"/>
      <c r="D1563" s="548"/>
      <c r="E1563" s="548"/>
      <c r="F1563" s="548"/>
      <c r="G1563" s="548"/>
    </row>
    <row r="1564" spans="3:7">
      <c r="C1564" s="548"/>
      <c r="D1564" s="548"/>
      <c r="E1564" s="548"/>
      <c r="F1564" s="548"/>
      <c r="G1564" s="548"/>
    </row>
    <row r="1565" spans="3:7">
      <c r="C1565" s="548"/>
      <c r="D1565" s="548"/>
      <c r="E1565" s="548"/>
      <c r="F1565" s="548"/>
      <c r="G1565" s="548"/>
    </row>
    <row r="1566" spans="3:7">
      <c r="C1566" s="548"/>
      <c r="D1566" s="548"/>
      <c r="E1566" s="548"/>
      <c r="F1566" s="548"/>
      <c r="G1566" s="548"/>
    </row>
    <row r="1567" spans="3:7">
      <c r="C1567" s="548"/>
      <c r="D1567" s="548"/>
      <c r="E1567" s="548"/>
      <c r="F1567" s="548"/>
      <c r="G1567" s="548"/>
    </row>
    <row r="1568" spans="3:7">
      <c r="C1568" s="548"/>
      <c r="D1568" s="548"/>
      <c r="E1568" s="548"/>
      <c r="F1568" s="548"/>
      <c r="G1568" s="548"/>
    </row>
    <row r="1569" spans="3:7">
      <c r="C1569" s="548"/>
      <c r="D1569" s="548"/>
      <c r="E1569" s="548"/>
      <c r="F1569" s="548"/>
      <c r="G1569" s="548"/>
    </row>
    <row r="1570" spans="3:7">
      <c r="C1570" s="548"/>
      <c r="D1570" s="548"/>
      <c r="E1570" s="548"/>
      <c r="F1570" s="548"/>
      <c r="G1570" s="548"/>
    </row>
    <row r="1571" spans="3:7">
      <c r="C1571" s="548"/>
      <c r="D1571" s="548"/>
      <c r="E1571" s="548"/>
      <c r="F1571" s="548"/>
      <c r="G1571" s="548"/>
    </row>
    <row r="1572" spans="3:7">
      <c r="C1572" s="548"/>
      <c r="D1572" s="548"/>
      <c r="E1572" s="548"/>
      <c r="F1572" s="548"/>
      <c r="G1572" s="548"/>
    </row>
    <row r="1573" spans="3:7">
      <c r="C1573" s="548"/>
      <c r="D1573" s="548"/>
      <c r="E1573" s="548"/>
      <c r="F1573" s="548"/>
      <c r="G1573" s="548"/>
    </row>
    <row r="1574" spans="3:7">
      <c r="C1574" s="548"/>
      <c r="D1574" s="548"/>
      <c r="E1574" s="548"/>
      <c r="F1574" s="548"/>
      <c r="G1574" s="548"/>
    </row>
    <row r="1575" spans="3:7">
      <c r="C1575" s="548"/>
      <c r="D1575" s="548"/>
      <c r="E1575" s="548"/>
      <c r="F1575" s="548"/>
      <c r="G1575" s="548"/>
    </row>
    <row r="1576" spans="3:7">
      <c r="C1576" s="548"/>
      <c r="D1576" s="548"/>
      <c r="E1576" s="548"/>
      <c r="F1576" s="548"/>
      <c r="G1576" s="548"/>
    </row>
    <row r="1577" spans="3:7">
      <c r="C1577" s="548"/>
      <c r="D1577" s="548"/>
      <c r="E1577" s="548"/>
      <c r="F1577" s="548"/>
      <c r="G1577" s="548"/>
    </row>
    <row r="1578" spans="3:7">
      <c r="C1578" s="548"/>
      <c r="D1578" s="548"/>
      <c r="E1578" s="548"/>
      <c r="F1578" s="548"/>
      <c r="G1578" s="548"/>
    </row>
    <row r="1579" spans="3:7">
      <c r="C1579" s="548"/>
      <c r="D1579" s="548"/>
      <c r="E1579" s="548"/>
      <c r="F1579" s="548"/>
      <c r="G1579" s="548"/>
    </row>
    <row r="1580" spans="3:7">
      <c r="C1580" s="548"/>
      <c r="D1580" s="548"/>
      <c r="E1580" s="548"/>
      <c r="F1580" s="548"/>
      <c r="G1580" s="548"/>
    </row>
    <row r="1581" spans="3:7">
      <c r="C1581" s="548"/>
      <c r="D1581" s="548"/>
      <c r="E1581" s="548"/>
      <c r="F1581" s="548"/>
      <c r="G1581" s="548"/>
    </row>
    <row r="1582" spans="3:7">
      <c r="C1582" s="548"/>
      <c r="D1582" s="548"/>
      <c r="E1582" s="548"/>
      <c r="F1582" s="548"/>
      <c r="G1582" s="548"/>
    </row>
    <row r="1583" spans="3:7">
      <c r="C1583" s="548"/>
      <c r="D1583" s="548"/>
      <c r="E1583" s="548"/>
      <c r="F1583" s="548"/>
      <c r="G1583" s="548"/>
    </row>
    <row r="1584" spans="3:7">
      <c r="C1584" s="548"/>
      <c r="D1584" s="548"/>
      <c r="E1584" s="548"/>
      <c r="F1584" s="548"/>
      <c r="G1584" s="548"/>
    </row>
    <row r="1585" spans="3:7">
      <c r="C1585" s="548"/>
      <c r="D1585" s="548"/>
      <c r="E1585" s="548"/>
      <c r="F1585" s="548"/>
      <c r="G1585" s="548"/>
    </row>
    <row r="1586" spans="3:7">
      <c r="C1586" s="548"/>
      <c r="D1586" s="548"/>
      <c r="E1586" s="548"/>
      <c r="F1586" s="548"/>
      <c r="G1586" s="548"/>
    </row>
    <row r="1587" spans="3:7">
      <c r="C1587" s="548"/>
      <c r="D1587" s="548"/>
      <c r="E1587" s="548"/>
      <c r="F1587" s="548"/>
      <c r="G1587" s="548"/>
    </row>
    <row r="1588" spans="3:7">
      <c r="C1588" s="548"/>
      <c r="D1588" s="548"/>
      <c r="E1588" s="548"/>
      <c r="F1588" s="548"/>
      <c r="G1588" s="548"/>
    </row>
    <row r="1589" spans="3:7">
      <c r="C1589" s="548"/>
      <c r="D1589" s="548"/>
      <c r="E1589" s="548"/>
      <c r="F1589" s="548"/>
      <c r="G1589" s="548"/>
    </row>
    <row r="1590" spans="3:7">
      <c r="C1590" s="548"/>
      <c r="D1590" s="548"/>
      <c r="E1590" s="548"/>
      <c r="F1590" s="548"/>
      <c r="G1590" s="548"/>
    </row>
    <row r="1591" spans="3:7">
      <c r="C1591" s="548"/>
      <c r="D1591" s="548"/>
      <c r="E1591" s="548"/>
      <c r="F1591" s="548"/>
      <c r="G1591" s="548"/>
    </row>
    <row r="1592" spans="3:7">
      <c r="C1592" s="548"/>
      <c r="D1592" s="548"/>
      <c r="E1592" s="548"/>
      <c r="F1592" s="548"/>
      <c r="G1592" s="548"/>
    </row>
    <row r="1593" spans="3:7">
      <c r="C1593" s="548"/>
      <c r="D1593" s="548"/>
      <c r="E1593" s="548"/>
      <c r="F1593" s="548"/>
      <c r="G1593" s="548"/>
    </row>
    <row r="1594" spans="3:7">
      <c r="C1594" s="548"/>
      <c r="D1594" s="548"/>
      <c r="E1594" s="548"/>
      <c r="F1594" s="548"/>
      <c r="G1594" s="548"/>
    </row>
    <row r="1595" spans="3:7">
      <c r="C1595" s="548"/>
      <c r="D1595" s="548"/>
      <c r="E1595" s="548"/>
      <c r="F1595" s="548"/>
      <c r="G1595" s="548"/>
    </row>
    <row r="1596" spans="3:7">
      <c r="C1596" s="548"/>
      <c r="D1596" s="548"/>
      <c r="E1596" s="548"/>
      <c r="F1596" s="548"/>
      <c r="G1596" s="548"/>
    </row>
    <row r="1597" spans="3:7">
      <c r="C1597" s="548"/>
      <c r="D1597" s="548"/>
      <c r="E1597" s="548"/>
      <c r="F1597" s="548"/>
      <c r="G1597" s="548"/>
    </row>
    <row r="1598" spans="3:7">
      <c r="C1598" s="548"/>
      <c r="D1598" s="548"/>
      <c r="E1598" s="548"/>
      <c r="F1598" s="548"/>
      <c r="G1598" s="548"/>
    </row>
    <row r="1599" spans="3:7">
      <c r="C1599" s="548"/>
      <c r="D1599" s="548"/>
      <c r="E1599" s="548"/>
      <c r="F1599" s="548"/>
      <c r="G1599" s="548"/>
    </row>
    <row r="1600" spans="3:7">
      <c r="C1600" s="548"/>
      <c r="D1600" s="548"/>
      <c r="E1600" s="548"/>
      <c r="F1600" s="548"/>
      <c r="G1600" s="548"/>
    </row>
    <row r="1601" spans="3:7">
      <c r="C1601" s="548"/>
      <c r="D1601" s="548"/>
      <c r="E1601" s="548"/>
      <c r="F1601" s="548"/>
      <c r="G1601" s="548"/>
    </row>
    <row r="1602" spans="3:7">
      <c r="C1602" s="548"/>
      <c r="D1602" s="548"/>
      <c r="E1602" s="548"/>
      <c r="F1602" s="548"/>
      <c r="G1602" s="548"/>
    </row>
    <row r="1603" spans="3:7">
      <c r="C1603" s="548"/>
      <c r="D1603" s="548"/>
      <c r="E1603" s="548"/>
      <c r="F1603" s="548"/>
      <c r="G1603" s="548"/>
    </row>
    <row r="1604" spans="3:7">
      <c r="C1604" s="548"/>
      <c r="D1604" s="548"/>
      <c r="E1604" s="548"/>
      <c r="F1604" s="548"/>
      <c r="G1604" s="548"/>
    </row>
    <row r="1605" spans="3:7">
      <c r="C1605" s="548"/>
      <c r="D1605" s="548"/>
      <c r="E1605" s="548"/>
      <c r="F1605" s="548"/>
      <c r="G1605" s="548"/>
    </row>
    <row r="1606" spans="3:7">
      <c r="C1606" s="548"/>
      <c r="D1606" s="548"/>
      <c r="E1606" s="548"/>
      <c r="F1606" s="548"/>
      <c r="G1606" s="548"/>
    </row>
    <row r="1607" spans="3:7">
      <c r="C1607" s="548"/>
      <c r="D1607" s="548"/>
      <c r="E1607" s="548"/>
      <c r="F1607" s="548"/>
      <c r="G1607" s="548"/>
    </row>
    <row r="1608" spans="3:7">
      <c r="C1608" s="548"/>
      <c r="D1608" s="548"/>
      <c r="E1608" s="548"/>
      <c r="F1608" s="548"/>
      <c r="G1608" s="548"/>
    </row>
    <row r="1609" spans="3:7">
      <c r="C1609" s="548"/>
      <c r="D1609" s="548"/>
      <c r="E1609" s="548"/>
      <c r="F1609" s="548"/>
      <c r="G1609" s="548"/>
    </row>
    <row r="1610" spans="3:7">
      <c r="C1610" s="548"/>
      <c r="D1610" s="548"/>
      <c r="E1610" s="548"/>
      <c r="F1610" s="548"/>
      <c r="G1610" s="548"/>
    </row>
    <row r="1611" spans="3:7">
      <c r="C1611" s="548"/>
      <c r="D1611" s="548"/>
      <c r="E1611" s="548"/>
      <c r="F1611" s="548"/>
      <c r="G1611" s="548"/>
    </row>
    <row r="1612" spans="3:7">
      <c r="C1612" s="548"/>
      <c r="D1612" s="548"/>
      <c r="E1612" s="548"/>
      <c r="F1612" s="548"/>
      <c r="G1612" s="548"/>
    </row>
    <row r="1613" spans="3:7">
      <c r="C1613" s="548"/>
      <c r="D1613" s="548"/>
      <c r="E1613" s="548"/>
      <c r="F1613" s="548"/>
      <c r="G1613" s="548"/>
    </row>
    <row r="1614" spans="3:7">
      <c r="C1614" s="548"/>
      <c r="D1614" s="548"/>
      <c r="E1614" s="548"/>
      <c r="F1614" s="548"/>
      <c r="G1614" s="548"/>
    </row>
    <row r="1615" spans="3:7">
      <c r="C1615" s="548"/>
      <c r="D1615" s="548"/>
      <c r="E1615" s="548"/>
      <c r="F1615" s="548"/>
      <c r="G1615" s="548"/>
    </row>
    <row r="1616" spans="3:7">
      <c r="C1616" s="548"/>
      <c r="D1616" s="548"/>
      <c r="E1616" s="548"/>
      <c r="F1616" s="548"/>
      <c r="G1616" s="548"/>
    </row>
    <row r="1617" spans="3:7">
      <c r="C1617" s="548"/>
      <c r="D1617" s="548"/>
      <c r="E1617" s="548"/>
      <c r="F1617" s="548"/>
      <c r="G1617" s="548"/>
    </row>
    <row r="1618" spans="3:7">
      <c r="C1618" s="548"/>
      <c r="D1618" s="548"/>
      <c r="E1618" s="548"/>
      <c r="F1618" s="548"/>
      <c r="G1618" s="548"/>
    </row>
    <row r="1619" spans="3:7">
      <c r="C1619" s="548"/>
      <c r="D1619" s="548"/>
      <c r="E1619" s="548"/>
      <c r="F1619" s="548"/>
      <c r="G1619" s="548"/>
    </row>
    <row r="1620" spans="3:7">
      <c r="C1620" s="548"/>
      <c r="D1620" s="548"/>
      <c r="E1620" s="548"/>
      <c r="F1620" s="548"/>
      <c r="G1620" s="548"/>
    </row>
    <row r="1621" spans="3:7">
      <c r="C1621" s="548"/>
      <c r="D1621" s="548"/>
      <c r="E1621" s="548"/>
      <c r="F1621" s="548"/>
      <c r="G1621" s="548"/>
    </row>
    <row r="1622" spans="3:7">
      <c r="C1622" s="548"/>
      <c r="D1622" s="548"/>
      <c r="E1622" s="548"/>
      <c r="F1622" s="548"/>
      <c r="G1622" s="548"/>
    </row>
    <row r="1623" spans="3:7">
      <c r="C1623" s="548"/>
      <c r="D1623" s="548"/>
      <c r="E1623" s="548"/>
      <c r="F1623" s="548"/>
      <c r="G1623" s="548"/>
    </row>
    <row r="1624" spans="3:7">
      <c r="C1624" s="548"/>
      <c r="D1624" s="548"/>
      <c r="E1624" s="548"/>
      <c r="F1624" s="548"/>
      <c r="G1624" s="548"/>
    </row>
    <row r="1625" spans="3:7">
      <c r="C1625" s="548"/>
      <c r="D1625" s="548"/>
      <c r="E1625" s="548"/>
      <c r="F1625" s="548"/>
      <c r="G1625" s="548"/>
    </row>
    <row r="1626" spans="3:7">
      <c r="C1626" s="548"/>
      <c r="D1626" s="548"/>
      <c r="E1626" s="548"/>
      <c r="F1626" s="548"/>
      <c r="G1626" s="548"/>
    </row>
    <row r="1627" spans="3:7">
      <c r="C1627" s="548"/>
      <c r="D1627" s="548"/>
      <c r="E1627" s="548"/>
      <c r="F1627" s="548"/>
      <c r="G1627" s="548"/>
    </row>
    <row r="1628" spans="3:7">
      <c r="C1628" s="548"/>
      <c r="D1628" s="548"/>
      <c r="E1628" s="548"/>
      <c r="F1628" s="548"/>
      <c r="G1628" s="548"/>
    </row>
    <row r="1629" spans="3:7">
      <c r="C1629" s="548"/>
      <c r="D1629" s="548"/>
      <c r="E1629" s="548"/>
      <c r="F1629" s="548"/>
      <c r="G1629" s="548"/>
    </row>
    <row r="1630" spans="3:7">
      <c r="C1630" s="548"/>
      <c r="D1630" s="548"/>
      <c r="E1630" s="548"/>
      <c r="F1630" s="548"/>
      <c r="G1630" s="548"/>
    </row>
    <row r="1631" spans="3:7">
      <c r="C1631" s="548"/>
      <c r="D1631" s="548"/>
      <c r="E1631" s="548"/>
      <c r="F1631" s="548"/>
      <c r="G1631" s="548"/>
    </row>
    <row r="1632" spans="3:7">
      <c r="C1632" s="548"/>
      <c r="D1632" s="548"/>
      <c r="E1632" s="548"/>
      <c r="F1632" s="548"/>
      <c r="G1632" s="548"/>
    </row>
    <row r="1633" spans="3:7">
      <c r="C1633" s="548"/>
      <c r="D1633" s="548"/>
      <c r="E1633" s="548"/>
      <c r="F1633" s="548"/>
      <c r="G1633" s="548"/>
    </row>
    <row r="1634" spans="3:7">
      <c r="C1634" s="548"/>
      <c r="D1634" s="548"/>
      <c r="E1634" s="548"/>
      <c r="F1634" s="548"/>
      <c r="G1634" s="548"/>
    </row>
    <row r="1635" spans="3:7">
      <c r="C1635" s="548"/>
      <c r="D1635" s="548"/>
      <c r="E1635" s="548"/>
      <c r="F1635" s="548"/>
      <c r="G1635" s="548"/>
    </row>
    <row r="1636" spans="3:7">
      <c r="C1636" s="548"/>
      <c r="D1636" s="548"/>
      <c r="E1636" s="548"/>
      <c r="F1636" s="548"/>
      <c r="G1636" s="548"/>
    </row>
    <row r="1637" spans="3:7">
      <c r="C1637" s="548"/>
      <c r="D1637" s="548"/>
      <c r="E1637" s="548"/>
      <c r="F1637" s="548"/>
      <c r="G1637" s="548"/>
    </row>
    <row r="1638" spans="3:7">
      <c r="C1638" s="548"/>
      <c r="D1638" s="548"/>
      <c r="E1638" s="548"/>
      <c r="F1638" s="548"/>
      <c r="G1638" s="548"/>
    </row>
    <row r="1639" spans="3:7">
      <c r="C1639" s="548"/>
      <c r="D1639" s="548"/>
      <c r="E1639" s="548"/>
      <c r="F1639" s="548"/>
      <c r="G1639" s="548"/>
    </row>
    <row r="1640" spans="3:7">
      <c r="C1640" s="548"/>
      <c r="D1640" s="548"/>
      <c r="E1640" s="548"/>
      <c r="F1640" s="548"/>
      <c r="G1640" s="548"/>
    </row>
    <row r="1641" spans="3:7">
      <c r="C1641" s="548"/>
      <c r="D1641" s="548"/>
      <c r="E1641" s="548"/>
      <c r="F1641" s="548"/>
      <c r="G1641" s="548"/>
    </row>
    <row r="1642" spans="3:7">
      <c r="C1642" s="548"/>
      <c r="D1642" s="548"/>
      <c r="E1642" s="548"/>
      <c r="F1642" s="548"/>
      <c r="G1642" s="548"/>
    </row>
    <row r="1643" spans="3:7">
      <c r="C1643" s="548"/>
      <c r="D1643" s="548"/>
      <c r="E1643" s="548"/>
      <c r="F1643" s="548"/>
      <c r="G1643" s="548"/>
    </row>
    <row r="1644" spans="3:7">
      <c r="C1644" s="548"/>
      <c r="D1644" s="548"/>
      <c r="E1644" s="548"/>
      <c r="F1644" s="548"/>
      <c r="G1644" s="548"/>
    </row>
    <row r="1645" spans="3:7">
      <c r="C1645" s="548"/>
      <c r="D1645" s="548"/>
      <c r="E1645" s="548"/>
      <c r="F1645" s="548"/>
      <c r="G1645" s="548"/>
    </row>
    <row r="1646" spans="3:7">
      <c r="C1646" s="548"/>
      <c r="D1646" s="548"/>
      <c r="E1646" s="548"/>
      <c r="F1646" s="548"/>
      <c r="G1646" s="548"/>
    </row>
    <row r="1647" spans="3:7">
      <c r="C1647" s="548"/>
      <c r="D1647" s="548"/>
      <c r="E1647" s="548"/>
      <c r="F1647" s="548"/>
      <c r="G1647" s="548"/>
    </row>
    <row r="1648" spans="3:7">
      <c r="C1648" s="548"/>
      <c r="D1648" s="548"/>
      <c r="E1648" s="548"/>
      <c r="F1648" s="548"/>
      <c r="G1648" s="548"/>
    </row>
    <row r="1649" spans="3:7">
      <c r="C1649" s="548"/>
      <c r="D1649" s="548"/>
      <c r="E1649" s="548"/>
      <c r="F1649" s="548"/>
      <c r="G1649" s="548"/>
    </row>
    <row r="1650" spans="3:7">
      <c r="C1650" s="548"/>
      <c r="D1650" s="548"/>
      <c r="E1650" s="548"/>
      <c r="F1650" s="548"/>
      <c r="G1650" s="548"/>
    </row>
    <row r="1651" spans="3:7">
      <c r="C1651" s="548"/>
      <c r="D1651" s="548"/>
      <c r="E1651" s="548"/>
      <c r="F1651" s="548"/>
      <c r="G1651" s="548"/>
    </row>
    <row r="1652" spans="3:7">
      <c r="C1652" s="548"/>
      <c r="D1652" s="548"/>
      <c r="E1652" s="548"/>
      <c r="F1652" s="548"/>
      <c r="G1652" s="548"/>
    </row>
    <row r="1653" spans="3:7">
      <c r="C1653" s="548"/>
      <c r="D1653" s="548"/>
      <c r="E1653" s="548"/>
      <c r="F1653" s="548"/>
      <c r="G1653" s="548"/>
    </row>
    <row r="1654" spans="3:7">
      <c r="C1654" s="548"/>
      <c r="D1654" s="548"/>
      <c r="E1654" s="548"/>
      <c r="F1654" s="548"/>
      <c r="G1654" s="548"/>
    </row>
    <row r="1655" spans="3:7">
      <c r="C1655" s="548"/>
      <c r="D1655" s="548"/>
      <c r="E1655" s="548"/>
      <c r="F1655" s="548"/>
      <c r="G1655" s="548"/>
    </row>
    <row r="1656" spans="3:7">
      <c r="C1656" s="548"/>
      <c r="D1656" s="548"/>
      <c r="E1656" s="548"/>
      <c r="F1656" s="548"/>
      <c r="G1656" s="548"/>
    </row>
    <row r="1657" spans="3:7">
      <c r="C1657" s="548"/>
      <c r="D1657" s="548"/>
      <c r="E1657" s="548"/>
      <c r="F1657" s="548"/>
      <c r="G1657" s="548"/>
    </row>
    <row r="1658" spans="3:7">
      <c r="C1658" s="548"/>
      <c r="D1658" s="548"/>
      <c r="E1658" s="548"/>
      <c r="F1658" s="548"/>
      <c r="G1658" s="548"/>
    </row>
    <row r="1659" spans="3:7">
      <c r="C1659" s="548"/>
      <c r="D1659" s="548"/>
      <c r="E1659" s="548"/>
      <c r="F1659" s="548"/>
      <c r="G1659" s="548"/>
    </row>
    <row r="1660" spans="3:7">
      <c r="C1660" s="548"/>
      <c r="D1660" s="548"/>
      <c r="E1660" s="548"/>
      <c r="F1660" s="548"/>
      <c r="G1660" s="548"/>
    </row>
    <row r="1661" spans="3:7">
      <c r="C1661" s="548"/>
      <c r="D1661" s="548"/>
      <c r="E1661" s="548"/>
      <c r="F1661" s="548"/>
      <c r="G1661" s="548"/>
    </row>
    <row r="1662" spans="3:7">
      <c r="C1662" s="548"/>
      <c r="D1662" s="548"/>
      <c r="E1662" s="548"/>
      <c r="F1662" s="548"/>
      <c r="G1662" s="548"/>
    </row>
    <row r="1663" spans="3:7">
      <c r="C1663" s="548"/>
      <c r="D1663" s="548"/>
      <c r="E1663" s="548"/>
      <c r="F1663" s="548"/>
      <c r="G1663" s="548"/>
    </row>
    <row r="1664" spans="3:7">
      <c r="C1664" s="548"/>
      <c r="D1664" s="548"/>
      <c r="E1664" s="548"/>
      <c r="F1664" s="548"/>
      <c r="G1664" s="548"/>
    </row>
    <row r="1665" spans="3:7">
      <c r="C1665" s="548"/>
      <c r="D1665" s="548"/>
      <c r="E1665" s="548"/>
      <c r="F1665" s="548"/>
      <c r="G1665" s="548"/>
    </row>
    <row r="1666" spans="3:7">
      <c r="C1666" s="548"/>
      <c r="D1666" s="548"/>
      <c r="E1666" s="548"/>
      <c r="F1666" s="548"/>
      <c r="G1666" s="548"/>
    </row>
    <row r="1667" spans="3:7">
      <c r="C1667" s="548"/>
      <c r="D1667" s="548"/>
      <c r="E1667" s="548"/>
      <c r="F1667" s="548"/>
      <c r="G1667" s="548"/>
    </row>
    <row r="1668" spans="3:7">
      <c r="C1668" s="548"/>
      <c r="D1668" s="548"/>
      <c r="E1668" s="548"/>
      <c r="F1668" s="548"/>
      <c r="G1668" s="548"/>
    </row>
    <row r="1669" spans="3:7">
      <c r="C1669" s="548"/>
      <c r="D1669" s="548"/>
      <c r="E1669" s="548"/>
      <c r="F1669" s="548"/>
      <c r="G1669" s="548"/>
    </row>
    <row r="1670" spans="3:7">
      <c r="C1670" s="548"/>
      <c r="D1670" s="548"/>
      <c r="E1670" s="548"/>
      <c r="F1670" s="548"/>
      <c r="G1670" s="548"/>
    </row>
    <row r="1671" spans="3:7">
      <c r="C1671" s="548"/>
      <c r="D1671" s="548"/>
      <c r="E1671" s="548"/>
      <c r="F1671" s="548"/>
      <c r="G1671" s="548"/>
    </row>
    <row r="1672" spans="3:7">
      <c r="C1672" s="548"/>
      <c r="D1672" s="548"/>
      <c r="E1672" s="548"/>
      <c r="F1672" s="548"/>
      <c r="G1672" s="548"/>
    </row>
    <row r="1673" spans="3:7">
      <c r="C1673" s="548"/>
      <c r="D1673" s="548"/>
      <c r="E1673" s="548"/>
      <c r="F1673" s="548"/>
      <c r="G1673" s="548"/>
    </row>
    <row r="1674" spans="3:7">
      <c r="C1674" s="548"/>
      <c r="D1674" s="548"/>
      <c r="E1674" s="548"/>
      <c r="F1674" s="548"/>
      <c r="G1674" s="548"/>
    </row>
    <row r="1675" spans="3:7">
      <c r="C1675" s="548"/>
      <c r="D1675" s="548"/>
      <c r="E1675" s="548"/>
      <c r="F1675" s="548"/>
      <c r="G1675" s="548"/>
    </row>
    <row r="1676" spans="3:7">
      <c r="C1676" s="548"/>
      <c r="D1676" s="548"/>
      <c r="E1676" s="548"/>
      <c r="F1676" s="548"/>
      <c r="G1676" s="548"/>
    </row>
    <row r="1677" spans="3:7">
      <c r="C1677" s="548"/>
      <c r="D1677" s="548"/>
      <c r="E1677" s="548"/>
      <c r="F1677" s="548"/>
      <c r="G1677" s="548"/>
    </row>
    <row r="1678" spans="3:7">
      <c r="C1678" s="548"/>
      <c r="D1678" s="548"/>
      <c r="E1678" s="548"/>
      <c r="F1678" s="548"/>
      <c r="G1678" s="548"/>
    </row>
    <row r="1679" spans="3:7">
      <c r="C1679" s="548"/>
      <c r="D1679" s="548"/>
      <c r="E1679" s="548"/>
      <c r="F1679" s="548"/>
      <c r="G1679" s="548"/>
    </row>
    <row r="1680" spans="3:7">
      <c r="C1680" s="548"/>
      <c r="D1680" s="548"/>
      <c r="E1680" s="548"/>
      <c r="F1680" s="548"/>
      <c r="G1680" s="548"/>
    </row>
    <row r="1681" spans="3:7">
      <c r="C1681" s="548"/>
      <c r="D1681" s="548"/>
      <c r="E1681" s="548"/>
      <c r="F1681" s="548"/>
      <c r="G1681" s="548"/>
    </row>
    <row r="1682" spans="3:7">
      <c r="C1682" s="548"/>
      <c r="D1682" s="548"/>
      <c r="E1682" s="548"/>
      <c r="F1682" s="548"/>
      <c r="G1682" s="548"/>
    </row>
    <row r="1683" spans="3:7">
      <c r="C1683" s="548"/>
      <c r="D1683" s="548"/>
      <c r="E1683" s="548"/>
      <c r="F1683" s="548"/>
      <c r="G1683" s="548"/>
    </row>
    <row r="1684" spans="3:7">
      <c r="C1684" s="548"/>
      <c r="D1684" s="548"/>
      <c r="E1684" s="548"/>
      <c r="F1684" s="548"/>
      <c r="G1684" s="548"/>
    </row>
    <row r="1685" spans="3:7">
      <c r="C1685" s="548"/>
      <c r="D1685" s="548"/>
      <c r="E1685" s="548"/>
      <c r="F1685" s="548"/>
      <c r="G1685" s="548"/>
    </row>
    <row r="1686" spans="3:7">
      <c r="C1686" s="548"/>
      <c r="D1686" s="548"/>
      <c r="E1686" s="548"/>
      <c r="F1686" s="548"/>
      <c r="G1686" s="548"/>
    </row>
    <row r="1687" spans="3:7">
      <c r="C1687" s="548"/>
      <c r="D1687" s="548"/>
      <c r="E1687" s="548"/>
      <c r="F1687" s="548"/>
      <c r="G1687" s="548"/>
    </row>
    <row r="1688" spans="3:7">
      <c r="C1688" s="548"/>
      <c r="D1688" s="548"/>
      <c r="E1688" s="548"/>
      <c r="F1688" s="548"/>
      <c r="G1688" s="548"/>
    </row>
    <row r="1689" spans="3:7">
      <c r="C1689" s="548"/>
      <c r="D1689" s="548"/>
      <c r="E1689" s="548"/>
      <c r="F1689" s="548"/>
      <c r="G1689" s="548"/>
    </row>
    <row r="1690" spans="3:7">
      <c r="C1690" s="548"/>
      <c r="D1690" s="548"/>
      <c r="E1690" s="548"/>
      <c r="F1690" s="548"/>
      <c r="G1690" s="548"/>
    </row>
    <row r="1691" spans="3:7">
      <c r="C1691" s="548"/>
      <c r="D1691" s="548"/>
      <c r="E1691" s="548"/>
      <c r="F1691" s="548"/>
      <c r="G1691" s="548"/>
    </row>
    <row r="1692" spans="3:7">
      <c r="C1692" s="548"/>
      <c r="D1692" s="548"/>
      <c r="E1692" s="548"/>
      <c r="F1692" s="548"/>
      <c r="G1692" s="548"/>
    </row>
    <row r="1693" spans="3:7">
      <c r="C1693" s="548"/>
      <c r="D1693" s="548"/>
      <c r="E1693" s="548"/>
      <c r="F1693" s="548"/>
      <c r="G1693" s="548"/>
    </row>
    <row r="1694" spans="3:7">
      <c r="C1694" s="548"/>
      <c r="D1694" s="548"/>
      <c r="E1694" s="548"/>
      <c r="F1694" s="548"/>
      <c r="G1694" s="548"/>
    </row>
    <row r="1695" spans="3:7">
      <c r="C1695" s="548"/>
      <c r="D1695" s="548"/>
      <c r="E1695" s="548"/>
      <c r="F1695" s="548"/>
      <c r="G1695" s="548"/>
    </row>
    <row r="1696" spans="3:7">
      <c r="C1696" s="548"/>
      <c r="D1696" s="548"/>
      <c r="E1696" s="548"/>
      <c r="F1696" s="548"/>
      <c r="G1696" s="548"/>
    </row>
    <row r="1697" spans="3:7">
      <c r="C1697" s="548"/>
      <c r="D1697" s="548"/>
      <c r="E1697" s="548"/>
      <c r="F1697" s="548"/>
      <c r="G1697" s="548"/>
    </row>
    <row r="1698" spans="3:7">
      <c r="C1698" s="548"/>
      <c r="D1698" s="548"/>
      <c r="E1698" s="548"/>
      <c r="F1698" s="548"/>
      <c r="G1698" s="548"/>
    </row>
    <row r="1699" spans="3:7">
      <c r="C1699" s="548"/>
      <c r="D1699" s="548"/>
      <c r="E1699" s="548"/>
      <c r="F1699" s="548"/>
      <c r="G1699" s="548"/>
    </row>
    <row r="1700" spans="3:7">
      <c r="C1700" s="548"/>
      <c r="D1700" s="548"/>
      <c r="E1700" s="548"/>
      <c r="F1700" s="548"/>
      <c r="G1700" s="548"/>
    </row>
    <row r="1701" spans="3:7">
      <c r="C1701" s="548"/>
      <c r="D1701" s="548"/>
      <c r="E1701" s="548"/>
      <c r="F1701" s="548"/>
      <c r="G1701" s="548"/>
    </row>
    <row r="1702" spans="3:7">
      <c r="C1702" s="548"/>
      <c r="D1702" s="548"/>
      <c r="E1702" s="548"/>
      <c r="F1702" s="548"/>
      <c r="G1702" s="548"/>
    </row>
    <row r="1703" spans="3:7">
      <c r="C1703" s="548"/>
      <c r="D1703" s="548"/>
      <c r="E1703" s="548"/>
      <c r="F1703" s="548"/>
      <c r="G1703" s="548"/>
    </row>
    <row r="1704" spans="3:7">
      <c r="C1704" s="548"/>
      <c r="D1704" s="548"/>
      <c r="E1704" s="548"/>
      <c r="F1704" s="548"/>
      <c r="G1704" s="548"/>
    </row>
    <row r="1705" spans="3:7">
      <c r="C1705" s="548"/>
      <c r="D1705" s="548"/>
      <c r="E1705" s="548"/>
      <c r="F1705" s="548"/>
      <c r="G1705" s="548"/>
    </row>
    <row r="1706" spans="3:7">
      <c r="C1706" s="548"/>
      <c r="D1706" s="548"/>
      <c r="E1706" s="548"/>
      <c r="F1706" s="548"/>
      <c r="G1706" s="548"/>
    </row>
    <row r="1707" spans="3:7">
      <c r="C1707" s="548"/>
      <c r="D1707" s="548"/>
      <c r="E1707" s="548"/>
      <c r="F1707" s="548"/>
      <c r="G1707" s="548"/>
    </row>
    <row r="1708" spans="3:7">
      <c r="C1708" s="548"/>
      <c r="D1708" s="548"/>
      <c r="E1708" s="548"/>
      <c r="F1708" s="548"/>
      <c r="G1708" s="548"/>
    </row>
    <row r="1709" spans="3:7">
      <c r="C1709" s="548"/>
      <c r="D1709" s="548"/>
      <c r="E1709" s="548"/>
      <c r="F1709" s="548"/>
      <c r="G1709" s="548"/>
    </row>
    <row r="1710" spans="3:7">
      <c r="C1710" s="548"/>
      <c r="D1710" s="548"/>
      <c r="E1710" s="548"/>
      <c r="F1710" s="548"/>
      <c r="G1710" s="548"/>
    </row>
    <row r="1711" spans="3:7">
      <c r="C1711" s="548"/>
      <c r="D1711" s="548"/>
      <c r="E1711" s="548"/>
      <c r="F1711" s="548"/>
      <c r="G1711" s="548"/>
    </row>
    <row r="1712" spans="3:7">
      <c r="C1712" s="548"/>
      <c r="D1712" s="548"/>
      <c r="E1712" s="548"/>
      <c r="F1712" s="548"/>
      <c r="G1712" s="548"/>
    </row>
    <row r="1713" spans="3:7">
      <c r="C1713" s="548"/>
      <c r="D1713" s="548"/>
      <c r="E1713" s="548"/>
      <c r="F1713" s="548"/>
      <c r="G1713" s="548"/>
    </row>
    <row r="1714" spans="3:7">
      <c r="C1714" s="548"/>
      <c r="D1714" s="548"/>
      <c r="E1714" s="548"/>
      <c r="F1714" s="548"/>
      <c r="G1714" s="548"/>
    </row>
    <row r="1715" spans="3:7">
      <c r="C1715" s="548"/>
      <c r="D1715" s="548"/>
      <c r="E1715" s="548"/>
      <c r="F1715" s="548"/>
      <c r="G1715" s="548"/>
    </row>
    <row r="1716" spans="3:7">
      <c r="C1716" s="548"/>
      <c r="D1716" s="548"/>
      <c r="E1716" s="548"/>
      <c r="F1716" s="548"/>
      <c r="G1716" s="548"/>
    </row>
    <row r="1717" spans="3:7">
      <c r="C1717" s="548"/>
      <c r="D1717" s="548"/>
      <c r="E1717" s="548"/>
      <c r="F1717" s="548"/>
      <c r="G1717" s="548"/>
    </row>
    <row r="1718" spans="3:7">
      <c r="C1718" s="548"/>
      <c r="D1718" s="548"/>
      <c r="E1718" s="548"/>
      <c r="F1718" s="548"/>
      <c r="G1718" s="548"/>
    </row>
    <row r="1719" spans="3:7">
      <c r="C1719" s="548"/>
      <c r="D1719" s="548"/>
      <c r="E1719" s="548"/>
      <c r="F1719" s="548"/>
      <c r="G1719" s="548"/>
    </row>
    <row r="1720" spans="3:7">
      <c r="C1720" s="548"/>
      <c r="D1720" s="548"/>
      <c r="E1720" s="548"/>
      <c r="F1720" s="548"/>
      <c r="G1720" s="548"/>
    </row>
    <row r="1721" spans="3:7">
      <c r="C1721" s="548"/>
      <c r="D1721" s="548"/>
      <c r="E1721" s="548"/>
      <c r="F1721" s="548"/>
      <c r="G1721" s="548"/>
    </row>
    <row r="1722" spans="3:7">
      <c r="C1722" s="548"/>
      <c r="D1722" s="548"/>
      <c r="E1722" s="548"/>
      <c r="F1722" s="548"/>
      <c r="G1722" s="548"/>
    </row>
    <row r="1723" spans="3:7">
      <c r="C1723" s="548"/>
      <c r="D1723" s="548"/>
      <c r="E1723" s="548"/>
      <c r="F1723" s="548"/>
      <c r="G1723" s="548"/>
    </row>
    <row r="1724" spans="3:7">
      <c r="C1724" s="548"/>
      <c r="D1724" s="548"/>
      <c r="E1724" s="548"/>
      <c r="F1724" s="548"/>
      <c r="G1724" s="548"/>
    </row>
    <row r="1725" spans="3:7">
      <c r="C1725" s="548"/>
      <c r="D1725" s="548"/>
      <c r="E1725" s="548"/>
      <c r="F1725" s="548"/>
      <c r="G1725" s="548"/>
    </row>
    <row r="1726" spans="3:7">
      <c r="C1726" s="548"/>
      <c r="D1726" s="548"/>
      <c r="E1726" s="548"/>
      <c r="F1726" s="548"/>
      <c r="G1726" s="548"/>
    </row>
    <row r="1727" spans="3:7">
      <c r="C1727" s="548"/>
      <c r="D1727" s="548"/>
      <c r="E1727" s="548"/>
      <c r="F1727" s="548"/>
      <c r="G1727" s="548"/>
    </row>
    <row r="1728" spans="3:7">
      <c r="C1728" s="548"/>
      <c r="D1728" s="548"/>
      <c r="E1728" s="548"/>
      <c r="F1728" s="548"/>
      <c r="G1728" s="548"/>
    </row>
    <row r="1729" spans="3:7">
      <c r="C1729" s="548"/>
      <c r="D1729" s="548"/>
      <c r="E1729" s="548"/>
      <c r="F1729" s="548"/>
      <c r="G1729" s="548"/>
    </row>
    <row r="1730" spans="3:7">
      <c r="C1730" s="548"/>
      <c r="D1730" s="548"/>
      <c r="E1730" s="548"/>
      <c r="F1730" s="548"/>
      <c r="G1730" s="548"/>
    </row>
    <row r="1731" spans="3:7">
      <c r="C1731" s="548"/>
      <c r="D1731" s="548"/>
      <c r="E1731" s="548"/>
      <c r="F1731" s="548"/>
      <c r="G1731" s="548"/>
    </row>
    <row r="1732" spans="3:7">
      <c r="C1732" s="548"/>
      <c r="D1732" s="548"/>
      <c r="E1732" s="548"/>
      <c r="F1732" s="548"/>
      <c r="G1732" s="548"/>
    </row>
    <row r="1733" spans="3:7">
      <c r="C1733" s="548"/>
      <c r="D1733" s="548"/>
      <c r="E1733" s="548"/>
      <c r="F1733" s="548"/>
      <c r="G1733" s="548"/>
    </row>
    <row r="1734" spans="3:7">
      <c r="C1734" s="548"/>
      <c r="D1734" s="548"/>
      <c r="E1734" s="548"/>
      <c r="F1734" s="548"/>
      <c r="G1734" s="548"/>
    </row>
    <row r="1735" spans="3:7">
      <c r="C1735" s="548"/>
      <c r="D1735" s="548"/>
      <c r="E1735" s="548"/>
      <c r="F1735" s="548"/>
      <c r="G1735" s="548"/>
    </row>
    <row r="1736" spans="3:7">
      <c r="C1736" s="548"/>
      <c r="D1736" s="548"/>
      <c r="E1736" s="548"/>
      <c r="F1736" s="548"/>
      <c r="G1736" s="548"/>
    </row>
    <row r="1737" spans="3:7">
      <c r="C1737" s="548"/>
      <c r="D1737" s="548"/>
      <c r="E1737" s="548"/>
      <c r="F1737" s="548"/>
      <c r="G1737" s="548"/>
    </row>
    <row r="1738" spans="3:7">
      <c r="C1738" s="548"/>
      <c r="D1738" s="548"/>
      <c r="E1738" s="548"/>
      <c r="F1738" s="548"/>
      <c r="G1738" s="548"/>
    </row>
    <row r="1739" spans="3:7">
      <c r="C1739" s="548"/>
      <c r="D1739" s="548"/>
      <c r="E1739" s="548"/>
      <c r="F1739" s="548"/>
      <c r="G1739" s="548"/>
    </row>
    <row r="1740" spans="3:7">
      <c r="C1740" s="548"/>
      <c r="D1740" s="548"/>
      <c r="E1740" s="548"/>
      <c r="F1740" s="548"/>
      <c r="G1740" s="548"/>
    </row>
    <row r="1741" spans="3:7">
      <c r="C1741" s="548"/>
      <c r="D1741" s="548"/>
      <c r="E1741" s="548"/>
      <c r="F1741" s="548"/>
      <c r="G1741" s="548"/>
    </row>
    <row r="1742" spans="3:7">
      <c r="C1742" s="548"/>
      <c r="D1742" s="548"/>
      <c r="E1742" s="548"/>
      <c r="F1742" s="548"/>
      <c r="G1742" s="548"/>
    </row>
    <row r="1743" spans="3:7">
      <c r="C1743" s="548"/>
      <c r="D1743" s="548"/>
      <c r="E1743" s="548"/>
      <c r="F1743" s="548"/>
      <c r="G1743" s="548"/>
    </row>
    <row r="1744" spans="3:7">
      <c r="C1744" s="548"/>
      <c r="D1744" s="548"/>
      <c r="E1744" s="548"/>
      <c r="F1744" s="548"/>
      <c r="G1744" s="548"/>
    </row>
    <row r="1745" spans="3:7">
      <c r="C1745" s="548"/>
      <c r="D1745" s="548"/>
      <c r="E1745" s="548"/>
      <c r="F1745" s="548"/>
      <c r="G1745" s="548"/>
    </row>
    <row r="1746" spans="3:7">
      <c r="C1746" s="548"/>
      <c r="D1746" s="548"/>
      <c r="E1746" s="548"/>
      <c r="F1746" s="548"/>
      <c r="G1746" s="548"/>
    </row>
    <row r="1747" spans="3:7">
      <c r="C1747" s="548"/>
      <c r="D1747" s="548"/>
      <c r="E1747" s="548"/>
      <c r="F1747" s="548"/>
      <c r="G1747" s="548"/>
    </row>
    <row r="1748" spans="3:7">
      <c r="C1748" s="548"/>
      <c r="D1748" s="548"/>
      <c r="E1748" s="548"/>
      <c r="F1748" s="548"/>
      <c r="G1748" s="548"/>
    </row>
    <row r="1749" spans="3:7">
      <c r="C1749" s="548"/>
      <c r="D1749" s="548"/>
      <c r="E1749" s="548"/>
      <c r="F1749" s="548"/>
      <c r="G1749" s="548"/>
    </row>
    <row r="1750" spans="3:7">
      <c r="C1750" s="548"/>
      <c r="D1750" s="548"/>
      <c r="E1750" s="548"/>
      <c r="F1750" s="548"/>
      <c r="G1750" s="548"/>
    </row>
    <row r="1751" spans="3:7">
      <c r="C1751" s="548"/>
      <c r="D1751" s="548"/>
      <c r="E1751" s="548"/>
      <c r="F1751" s="548"/>
      <c r="G1751" s="548"/>
    </row>
    <row r="1752" spans="3:7">
      <c r="C1752" s="548"/>
      <c r="D1752" s="548"/>
      <c r="E1752" s="548"/>
      <c r="F1752" s="548"/>
      <c r="G1752" s="548"/>
    </row>
    <row r="1753" spans="3:7">
      <c r="C1753" s="548"/>
      <c r="D1753" s="548"/>
      <c r="E1753" s="548"/>
      <c r="F1753" s="548"/>
      <c r="G1753" s="548"/>
    </row>
    <row r="1754" spans="3:7">
      <c r="C1754" s="548"/>
      <c r="D1754" s="548"/>
      <c r="E1754" s="548"/>
      <c r="F1754" s="548"/>
      <c r="G1754" s="548"/>
    </row>
    <row r="1755" spans="3:7">
      <c r="C1755" s="548"/>
      <c r="D1755" s="548"/>
      <c r="E1755" s="548"/>
      <c r="F1755" s="548"/>
      <c r="G1755" s="548"/>
    </row>
    <row r="1756" spans="3:7">
      <c r="C1756" s="548"/>
      <c r="D1756" s="548"/>
      <c r="E1756" s="548"/>
      <c r="F1756" s="548"/>
      <c r="G1756" s="548"/>
    </row>
    <row r="1757" spans="3:7">
      <c r="C1757" s="548"/>
      <c r="D1757" s="548"/>
      <c r="E1757" s="548"/>
      <c r="F1757" s="548"/>
      <c r="G1757" s="548"/>
    </row>
    <row r="1758" spans="3:7">
      <c r="C1758" s="548"/>
      <c r="D1758" s="548"/>
      <c r="E1758" s="548"/>
      <c r="F1758" s="548"/>
      <c r="G1758" s="548"/>
    </row>
    <row r="1759" spans="3:7">
      <c r="C1759" s="548"/>
      <c r="D1759" s="548"/>
      <c r="E1759" s="548"/>
      <c r="F1759" s="548"/>
      <c r="G1759" s="548"/>
    </row>
    <row r="1760" spans="3:7">
      <c r="C1760" s="548"/>
      <c r="D1760" s="548"/>
      <c r="E1760" s="548"/>
      <c r="F1760" s="548"/>
      <c r="G1760" s="548"/>
    </row>
    <row r="1761" spans="3:7">
      <c r="C1761" s="548"/>
      <c r="D1761" s="548"/>
      <c r="E1761" s="548"/>
      <c r="F1761" s="548"/>
      <c r="G1761" s="548"/>
    </row>
    <row r="1762" spans="3:7">
      <c r="C1762" s="548"/>
      <c r="D1762" s="548"/>
      <c r="E1762" s="548"/>
      <c r="F1762" s="548"/>
      <c r="G1762" s="548"/>
    </row>
    <row r="1763" spans="3:7">
      <c r="C1763" s="548"/>
      <c r="D1763" s="548"/>
      <c r="E1763" s="548"/>
      <c r="F1763" s="548"/>
      <c r="G1763" s="548"/>
    </row>
    <row r="1764" spans="3:7">
      <c r="C1764" s="548"/>
      <c r="D1764" s="548"/>
      <c r="E1764" s="548"/>
      <c r="F1764" s="548"/>
      <c r="G1764" s="548"/>
    </row>
    <row r="1765" spans="3:7">
      <c r="C1765" s="548"/>
      <c r="D1765" s="548"/>
      <c r="E1765" s="548"/>
      <c r="F1765" s="548"/>
      <c r="G1765" s="548"/>
    </row>
    <row r="1766" spans="3:7">
      <c r="C1766" s="548"/>
      <c r="D1766" s="548"/>
      <c r="E1766" s="548"/>
      <c r="F1766" s="548"/>
      <c r="G1766" s="548"/>
    </row>
    <row r="1767" spans="3:7">
      <c r="C1767" s="548"/>
      <c r="D1767" s="548"/>
      <c r="E1767" s="548"/>
      <c r="F1767" s="548"/>
      <c r="G1767" s="548"/>
    </row>
    <row r="1768" spans="3:7">
      <c r="C1768" s="548"/>
      <c r="D1768" s="548"/>
      <c r="E1768" s="548"/>
      <c r="F1768" s="548"/>
      <c r="G1768" s="548"/>
    </row>
    <row r="1769" spans="3:7">
      <c r="C1769" s="548"/>
      <c r="D1769" s="548"/>
      <c r="E1769" s="548"/>
      <c r="F1769" s="548"/>
      <c r="G1769" s="548"/>
    </row>
    <row r="1770" spans="3:7">
      <c r="C1770" s="548"/>
      <c r="D1770" s="548"/>
      <c r="E1770" s="548"/>
      <c r="F1770" s="548"/>
      <c r="G1770" s="548"/>
    </row>
    <row r="1771" spans="3:7">
      <c r="C1771" s="548"/>
      <c r="D1771" s="548"/>
      <c r="E1771" s="548"/>
      <c r="F1771" s="548"/>
      <c r="G1771" s="548"/>
    </row>
    <row r="1772" spans="3:7">
      <c r="C1772" s="548"/>
      <c r="D1772" s="548"/>
      <c r="E1772" s="548"/>
      <c r="F1772" s="548"/>
      <c r="G1772" s="548"/>
    </row>
    <row r="1773" spans="3:7">
      <c r="C1773" s="548"/>
      <c r="D1773" s="548"/>
      <c r="E1773" s="548"/>
      <c r="F1773" s="548"/>
      <c r="G1773" s="548"/>
    </row>
    <row r="1774" spans="3:7">
      <c r="C1774" s="548"/>
      <c r="D1774" s="548"/>
      <c r="E1774" s="548"/>
      <c r="F1774" s="548"/>
      <c r="G1774" s="548"/>
    </row>
    <row r="1775" spans="3:7">
      <c r="C1775" s="548"/>
      <c r="D1775" s="548"/>
      <c r="E1775" s="548"/>
      <c r="F1775" s="548"/>
      <c r="G1775" s="548"/>
    </row>
    <row r="1776" spans="3:7">
      <c r="C1776" s="548"/>
      <c r="D1776" s="548"/>
      <c r="E1776" s="548"/>
      <c r="F1776" s="548"/>
      <c r="G1776" s="548"/>
    </row>
    <row r="1777" spans="3:7">
      <c r="C1777" s="548"/>
      <c r="D1777" s="548"/>
      <c r="E1777" s="548"/>
      <c r="F1777" s="548"/>
      <c r="G1777" s="548"/>
    </row>
    <row r="1778" spans="3:7">
      <c r="C1778" s="548"/>
      <c r="D1778" s="548"/>
      <c r="E1778" s="548"/>
      <c r="F1778" s="548"/>
      <c r="G1778" s="548"/>
    </row>
    <row r="1779" spans="3:7">
      <c r="C1779" s="548"/>
      <c r="D1779" s="548"/>
      <c r="E1779" s="548"/>
      <c r="F1779" s="548"/>
      <c r="G1779" s="548"/>
    </row>
    <row r="1780" spans="3:7">
      <c r="C1780" s="548"/>
      <c r="D1780" s="548"/>
      <c r="E1780" s="548"/>
      <c r="F1780" s="548"/>
      <c r="G1780" s="548"/>
    </row>
    <row r="1781" spans="3:7">
      <c r="C1781" s="548"/>
      <c r="D1781" s="548"/>
      <c r="E1781" s="548"/>
      <c r="F1781" s="548"/>
      <c r="G1781" s="548"/>
    </row>
    <row r="1782" spans="3:7">
      <c r="C1782" s="548"/>
      <c r="D1782" s="548"/>
      <c r="E1782" s="548"/>
      <c r="F1782" s="548"/>
      <c r="G1782" s="548"/>
    </row>
    <row r="1783" spans="3:7">
      <c r="C1783" s="548"/>
      <c r="D1783" s="548"/>
      <c r="E1783" s="548"/>
      <c r="F1783" s="548"/>
      <c r="G1783" s="548"/>
    </row>
    <row r="1784" spans="3:7">
      <c r="C1784" s="548"/>
      <c r="D1784" s="548"/>
      <c r="E1784" s="548"/>
      <c r="F1784" s="548"/>
      <c r="G1784" s="548"/>
    </row>
    <row r="1785" spans="3:7">
      <c r="C1785" s="548"/>
      <c r="D1785" s="548"/>
      <c r="E1785" s="548"/>
      <c r="F1785" s="548"/>
      <c r="G1785" s="548"/>
    </row>
    <row r="1786" spans="3:7">
      <c r="C1786" s="548"/>
      <c r="D1786" s="548"/>
      <c r="E1786" s="548"/>
      <c r="F1786" s="548"/>
      <c r="G1786" s="548"/>
    </row>
    <row r="1787" spans="3:7">
      <c r="C1787" s="548"/>
      <c r="D1787" s="548"/>
      <c r="E1787" s="548"/>
      <c r="F1787" s="548"/>
      <c r="G1787" s="548"/>
    </row>
    <row r="1788" spans="3:7">
      <c r="C1788" s="548"/>
      <c r="D1788" s="548"/>
      <c r="E1788" s="548"/>
      <c r="F1788" s="548"/>
      <c r="G1788" s="548"/>
    </row>
    <row r="1789" spans="3:7">
      <c r="C1789" s="548"/>
      <c r="D1789" s="548"/>
      <c r="E1789" s="548"/>
      <c r="F1789" s="548"/>
      <c r="G1789" s="548"/>
    </row>
    <row r="1790" spans="3:7">
      <c r="C1790" s="548"/>
      <c r="D1790" s="548"/>
      <c r="E1790" s="548"/>
      <c r="F1790" s="548"/>
      <c r="G1790" s="548"/>
    </row>
    <row r="1791" spans="3:7">
      <c r="C1791" s="548"/>
      <c r="D1791" s="548"/>
      <c r="E1791" s="548"/>
      <c r="F1791" s="548"/>
      <c r="G1791" s="548"/>
    </row>
    <row r="1792" spans="3:7">
      <c r="C1792" s="548"/>
      <c r="D1792" s="548"/>
      <c r="E1792" s="548"/>
      <c r="F1792" s="548"/>
      <c r="G1792" s="548"/>
    </row>
    <row r="1793" spans="3:7">
      <c r="C1793" s="548"/>
      <c r="D1793" s="548"/>
      <c r="E1793" s="548"/>
      <c r="F1793" s="548"/>
      <c r="G1793" s="548"/>
    </row>
    <row r="1794" spans="3:7">
      <c r="C1794" s="548"/>
      <c r="D1794" s="548"/>
      <c r="E1794" s="548"/>
      <c r="F1794" s="548"/>
      <c r="G1794" s="548"/>
    </row>
    <row r="1795" spans="3:7">
      <c r="C1795" s="548"/>
      <c r="D1795" s="548"/>
      <c r="E1795" s="548"/>
      <c r="F1795" s="548"/>
      <c r="G1795" s="548"/>
    </row>
    <row r="1796" spans="3:7">
      <c r="C1796" s="548"/>
      <c r="D1796" s="548"/>
      <c r="E1796" s="548"/>
      <c r="F1796" s="548"/>
      <c r="G1796" s="548"/>
    </row>
    <row r="1797" spans="3:7">
      <c r="C1797" s="548"/>
      <c r="D1797" s="548"/>
      <c r="E1797" s="548"/>
      <c r="F1797" s="548"/>
      <c r="G1797" s="548"/>
    </row>
    <row r="1798" spans="3:7">
      <c r="C1798" s="548"/>
      <c r="D1798" s="548"/>
      <c r="E1798" s="548"/>
      <c r="F1798" s="548"/>
      <c r="G1798" s="548"/>
    </row>
    <row r="1799" spans="3:7">
      <c r="C1799" s="548"/>
      <c r="D1799" s="548"/>
      <c r="E1799" s="548"/>
      <c r="F1799" s="548"/>
      <c r="G1799" s="548"/>
    </row>
    <row r="1800" spans="3:7">
      <c r="C1800" s="548"/>
      <c r="D1800" s="548"/>
      <c r="E1800" s="548"/>
      <c r="F1800" s="548"/>
      <c r="G1800" s="548"/>
    </row>
    <row r="1801" spans="3:7">
      <c r="C1801" s="548"/>
      <c r="D1801" s="548"/>
      <c r="E1801" s="548"/>
      <c r="F1801" s="548"/>
      <c r="G1801" s="548"/>
    </row>
    <row r="1802" spans="3:7">
      <c r="C1802" s="548"/>
      <c r="D1802" s="548"/>
      <c r="E1802" s="548"/>
      <c r="F1802" s="548"/>
      <c r="G1802" s="548"/>
    </row>
    <row r="1803" spans="3:7">
      <c r="C1803" s="548"/>
      <c r="D1803" s="548"/>
      <c r="E1803" s="548"/>
      <c r="F1803" s="548"/>
      <c r="G1803" s="548"/>
    </row>
    <row r="1804" spans="3:7">
      <c r="C1804" s="548"/>
      <c r="D1804" s="548"/>
      <c r="E1804" s="548"/>
      <c r="F1804" s="548"/>
      <c r="G1804" s="548"/>
    </row>
    <row r="1805" spans="3:7">
      <c r="C1805" s="548"/>
      <c r="D1805" s="548"/>
      <c r="E1805" s="548"/>
      <c r="F1805" s="548"/>
      <c r="G1805" s="548"/>
    </row>
    <row r="1806" spans="3:7">
      <c r="C1806" s="548"/>
      <c r="D1806" s="548"/>
      <c r="E1806" s="548"/>
      <c r="F1806" s="548"/>
      <c r="G1806" s="548"/>
    </row>
    <row r="1807" spans="3:7">
      <c r="C1807" s="548"/>
      <c r="D1807" s="548"/>
      <c r="E1807" s="548"/>
      <c r="F1807" s="548"/>
      <c r="G1807" s="548"/>
    </row>
    <row r="1808" spans="3:7">
      <c r="C1808" s="548"/>
      <c r="D1808" s="548"/>
      <c r="E1808" s="548"/>
      <c r="F1808" s="548"/>
      <c r="G1808" s="548"/>
    </row>
    <row r="1809" spans="3:7">
      <c r="C1809" s="548"/>
      <c r="D1809" s="548"/>
      <c r="E1809" s="548"/>
      <c r="F1809" s="548"/>
      <c r="G1809" s="548"/>
    </row>
    <row r="1810" spans="3:7">
      <c r="C1810" s="548"/>
      <c r="D1810" s="548"/>
      <c r="E1810" s="548"/>
      <c r="F1810" s="548"/>
      <c r="G1810" s="548"/>
    </row>
    <row r="1811" spans="3:7">
      <c r="C1811" s="548"/>
      <c r="D1811" s="548"/>
      <c r="E1811" s="548"/>
      <c r="F1811" s="548"/>
      <c r="G1811" s="548"/>
    </row>
    <row r="1812" spans="3:7">
      <c r="C1812" s="548"/>
      <c r="D1812" s="548"/>
      <c r="E1812" s="548"/>
      <c r="F1812" s="548"/>
      <c r="G1812" s="548"/>
    </row>
    <row r="1813" spans="3:7">
      <c r="C1813" s="548"/>
      <c r="D1813" s="548"/>
      <c r="E1813" s="548"/>
      <c r="F1813" s="548"/>
      <c r="G1813" s="548"/>
    </row>
    <row r="1814" spans="3:7">
      <c r="C1814" s="548"/>
      <c r="D1814" s="548"/>
      <c r="E1814" s="548"/>
      <c r="F1814" s="548"/>
      <c r="G1814" s="548"/>
    </row>
    <row r="1815" spans="3:7">
      <c r="C1815" s="548"/>
      <c r="D1815" s="548"/>
      <c r="E1815" s="548"/>
      <c r="F1815" s="548"/>
      <c r="G1815" s="548"/>
    </row>
    <row r="1816" spans="3:7">
      <c r="C1816" s="548"/>
      <c r="D1816" s="548"/>
      <c r="E1816" s="548"/>
      <c r="F1816" s="548"/>
      <c r="G1816" s="548"/>
    </row>
    <row r="1817" spans="3:7">
      <c r="C1817" s="548"/>
      <c r="D1817" s="548"/>
      <c r="E1817" s="548"/>
      <c r="F1817" s="548"/>
      <c r="G1817" s="548"/>
    </row>
    <row r="1818" spans="3:7">
      <c r="C1818" s="548"/>
      <c r="D1818" s="548"/>
      <c r="E1818" s="548"/>
      <c r="F1818" s="548"/>
      <c r="G1818" s="548"/>
    </row>
    <row r="1819" spans="3:7">
      <c r="C1819" s="548"/>
      <c r="D1819" s="548"/>
      <c r="E1819" s="548"/>
      <c r="F1819" s="548"/>
      <c r="G1819" s="548"/>
    </row>
    <row r="1820" spans="3:7">
      <c r="C1820" s="548"/>
      <c r="D1820" s="548"/>
      <c r="E1820" s="548"/>
      <c r="F1820" s="548"/>
      <c r="G1820" s="548"/>
    </row>
    <row r="1821" spans="3:7">
      <c r="C1821" s="548"/>
      <c r="D1821" s="548"/>
      <c r="E1821" s="548"/>
      <c r="F1821" s="548"/>
      <c r="G1821" s="548"/>
    </row>
    <row r="1822" spans="3:7">
      <c r="C1822" s="548"/>
      <c r="D1822" s="548"/>
      <c r="E1822" s="548"/>
      <c r="F1822" s="548"/>
      <c r="G1822" s="548"/>
    </row>
    <row r="1823" spans="3:7">
      <c r="C1823" s="548"/>
      <c r="D1823" s="548"/>
      <c r="E1823" s="548"/>
      <c r="F1823" s="548"/>
      <c r="G1823" s="548"/>
    </row>
    <row r="1824" spans="3:7">
      <c r="C1824" s="548"/>
      <c r="D1824" s="548"/>
      <c r="E1824" s="548"/>
      <c r="F1824" s="548"/>
      <c r="G1824" s="548"/>
    </row>
    <row r="1825" spans="3:7">
      <c r="C1825" s="548"/>
      <c r="D1825" s="548"/>
      <c r="E1825" s="548"/>
      <c r="F1825" s="548"/>
      <c r="G1825" s="548"/>
    </row>
    <row r="1826" spans="3:7">
      <c r="C1826" s="548"/>
      <c r="D1826" s="548"/>
      <c r="E1826" s="548"/>
      <c r="F1826" s="548"/>
      <c r="G1826" s="548"/>
    </row>
    <row r="1827" spans="3:7">
      <c r="C1827" s="548"/>
      <c r="D1827" s="548"/>
      <c r="E1827" s="548"/>
      <c r="F1827" s="548"/>
      <c r="G1827" s="548"/>
    </row>
    <row r="1828" spans="3:7">
      <c r="C1828" s="548"/>
      <c r="D1828" s="548"/>
      <c r="E1828" s="548"/>
      <c r="F1828" s="548"/>
      <c r="G1828" s="548"/>
    </row>
    <row r="1829" spans="3:7">
      <c r="C1829" s="548"/>
      <c r="D1829" s="548"/>
      <c r="E1829" s="548"/>
      <c r="F1829" s="548"/>
      <c r="G1829" s="548"/>
    </row>
    <row r="1830" spans="3:7">
      <c r="C1830" s="548"/>
      <c r="D1830" s="548"/>
      <c r="E1830" s="548"/>
      <c r="F1830" s="548"/>
      <c r="G1830" s="548"/>
    </row>
    <row r="1831" spans="3:7">
      <c r="C1831" s="548"/>
      <c r="D1831" s="548"/>
      <c r="E1831" s="548"/>
      <c r="F1831" s="548"/>
      <c r="G1831" s="548"/>
    </row>
    <row r="1832" spans="3:7">
      <c r="C1832" s="548"/>
      <c r="D1832" s="548"/>
      <c r="E1832" s="548"/>
      <c r="F1832" s="548"/>
      <c r="G1832" s="548"/>
    </row>
    <row r="1833" spans="3:7">
      <c r="C1833" s="548"/>
      <c r="D1833" s="548"/>
      <c r="E1833" s="548"/>
      <c r="F1833" s="548"/>
      <c r="G1833" s="548"/>
    </row>
    <row r="1834" spans="3:7">
      <c r="C1834" s="548"/>
      <c r="D1834" s="548"/>
      <c r="E1834" s="548"/>
      <c r="F1834" s="548"/>
      <c r="G1834" s="548"/>
    </row>
    <row r="1835" spans="3:7">
      <c r="C1835" s="548"/>
      <c r="D1835" s="548"/>
      <c r="E1835" s="548"/>
      <c r="F1835" s="548"/>
      <c r="G1835" s="548"/>
    </row>
    <row r="1836" spans="3:7">
      <c r="C1836" s="548"/>
      <c r="D1836" s="548"/>
      <c r="E1836" s="548"/>
      <c r="F1836" s="548"/>
      <c r="G1836" s="548"/>
    </row>
    <row r="1837" spans="3:7">
      <c r="C1837" s="548"/>
      <c r="D1837" s="548"/>
      <c r="E1837" s="548"/>
      <c r="F1837" s="548"/>
      <c r="G1837" s="548"/>
    </row>
    <row r="1838" spans="3:7">
      <c r="C1838" s="548"/>
      <c r="D1838" s="548"/>
      <c r="E1838" s="548"/>
      <c r="F1838" s="548"/>
      <c r="G1838" s="548"/>
    </row>
    <row r="1839" spans="3:7">
      <c r="C1839" s="548"/>
      <c r="D1839" s="548"/>
      <c r="E1839" s="548"/>
      <c r="F1839" s="548"/>
      <c r="G1839" s="548"/>
    </row>
    <row r="1840" spans="3:7">
      <c r="C1840" s="548"/>
      <c r="D1840" s="548"/>
      <c r="E1840" s="548"/>
      <c r="F1840" s="548"/>
      <c r="G1840" s="548"/>
    </row>
    <row r="1841" spans="3:7">
      <c r="C1841" s="548"/>
      <c r="D1841" s="548"/>
      <c r="E1841" s="548"/>
      <c r="F1841" s="548"/>
      <c r="G1841" s="548"/>
    </row>
    <row r="1842" spans="3:7">
      <c r="C1842" s="548"/>
      <c r="D1842" s="548"/>
      <c r="E1842" s="548"/>
      <c r="F1842" s="548"/>
      <c r="G1842" s="548"/>
    </row>
    <row r="1843" spans="3:7">
      <c r="C1843" s="548"/>
      <c r="D1843" s="548"/>
      <c r="E1843" s="548"/>
      <c r="F1843" s="548"/>
      <c r="G1843" s="548"/>
    </row>
    <row r="1844" spans="3:7">
      <c r="C1844" s="548"/>
      <c r="D1844" s="548"/>
      <c r="E1844" s="548"/>
      <c r="F1844" s="548"/>
      <c r="G1844" s="548"/>
    </row>
    <row r="1845" spans="3:7">
      <c r="C1845" s="548"/>
      <c r="D1845" s="548"/>
      <c r="E1845" s="548"/>
      <c r="F1845" s="548"/>
      <c r="G1845" s="548"/>
    </row>
    <row r="1846" spans="3:7">
      <c r="C1846" s="548"/>
      <c r="D1846" s="548"/>
      <c r="E1846" s="548"/>
      <c r="F1846" s="548"/>
      <c r="G1846" s="548"/>
    </row>
    <row r="1847" spans="3:7">
      <c r="C1847" s="548"/>
      <c r="D1847" s="548"/>
      <c r="E1847" s="548"/>
      <c r="F1847" s="548"/>
      <c r="G1847" s="548"/>
    </row>
    <row r="1848" spans="3:7">
      <c r="C1848" s="548"/>
      <c r="D1848" s="548"/>
      <c r="E1848" s="548"/>
      <c r="F1848" s="548"/>
      <c r="G1848" s="548"/>
    </row>
    <row r="1849" spans="3:7">
      <c r="C1849" s="548"/>
      <c r="D1849" s="548"/>
      <c r="E1849" s="548"/>
      <c r="F1849" s="548"/>
      <c r="G1849" s="548"/>
    </row>
    <row r="1850" spans="3:7">
      <c r="C1850" s="548"/>
      <c r="D1850" s="548"/>
      <c r="E1850" s="548"/>
      <c r="F1850" s="548"/>
      <c r="G1850" s="548"/>
    </row>
    <row r="1851" spans="3:7">
      <c r="C1851" s="548"/>
      <c r="D1851" s="548"/>
      <c r="E1851" s="548"/>
      <c r="F1851" s="548"/>
      <c r="G1851" s="548"/>
    </row>
    <row r="1852" spans="3:7">
      <c r="C1852" s="548"/>
      <c r="D1852" s="548"/>
      <c r="E1852" s="548"/>
      <c r="F1852" s="548"/>
      <c r="G1852" s="548"/>
    </row>
    <row r="1853" spans="3:7">
      <c r="C1853" s="548"/>
      <c r="D1853" s="548"/>
      <c r="E1853" s="548"/>
      <c r="F1853" s="548"/>
      <c r="G1853" s="548"/>
    </row>
    <row r="1854" spans="3:7">
      <c r="C1854" s="548"/>
      <c r="D1854" s="548"/>
      <c r="E1854" s="548"/>
      <c r="F1854" s="548"/>
      <c r="G1854" s="548"/>
    </row>
    <row r="1855" spans="3:7">
      <c r="C1855" s="548"/>
      <c r="D1855" s="548"/>
      <c r="E1855" s="548"/>
      <c r="F1855" s="548"/>
      <c r="G1855" s="548"/>
    </row>
    <row r="1856" spans="3:7">
      <c r="C1856" s="548"/>
      <c r="D1856" s="548"/>
      <c r="E1856" s="548"/>
      <c r="F1856" s="548"/>
      <c r="G1856" s="548"/>
    </row>
    <row r="1857" spans="3:7">
      <c r="C1857" s="548"/>
      <c r="D1857" s="548"/>
      <c r="E1857" s="548"/>
      <c r="F1857" s="548"/>
      <c r="G1857" s="548"/>
    </row>
    <row r="1858" spans="3:7">
      <c r="C1858" s="548"/>
      <c r="D1858" s="548"/>
      <c r="E1858" s="548"/>
      <c r="F1858" s="548"/>
      <c r="G1858" s="548"/>
    </row>
    <row r="1859" spans="3:7">
      <c r="C1859" s="548"/>
      <c r="D1859" s="548"/>
      <c r="E1859" s="548"/>
      <c r="F1859" s="548"/>
      <c r="G1859" s="548"/>
    </row>
    <row r="1860" spans="3:7">
      <c r="C1860" s="548"/>
      <c r="D1860" s="548"/>
      <c r="E1860" s="548"/>
      <c r="F1860" s="548"/>
      <c r="G1860" s="548"/>
    </row>
    <row r="1861" spans="3:7">
      <c r="C1861" s="548"/>
      <c r="D1861" s="548"/>
      <c r="E1861" s="548"/>
      <c r="F1861" s="548"/>
      <c r="G1861" s="548"/>
    </row>
    <row r="1862" spans="3:7">
      <c r="C1862" s="548"/>
      <c r="D1862" s="548"/>
      <c r="E1862" s="548"/>
      <c r="F1862" s="548"/>
      <c r="G1862" s="548"/>
    </row>
    <row r="1863" spans="3:7">
      <c r="C1863" s="548"/>
      <c r="D1863" s="548"/>
      <c r="E1863" s="548"/>
      <c r="F1863" s="548"/>
      <c r="G1863" s="548"/>
    </row>
    <row r="1864" spans="3:7">
      <c r="C1864" s="548"/>
      <c r="D1864" s="548"/>
      <c r="E1864" s="548"/>
      <c r="F1864" s="548"/>
      <c r="G1864" s="548"/>
    </row>
    <row r="1865" spans="3:7">
      <c r="C1865" s="548"/>
      <c r="D1865" s="548"/>
      <c r="E1865" s="548"/>
      <c r="F1865" s="548"/>
      <c r="G1865" s="548"/>
    </row>
    <row r="1866" spans="3:7">
      <c r="C1866" s="548"/>
      <c r="D1866" s="548"/>
      <c r="E1866" s="548"/>
      <c r="F1866" s="548"/>
      <c r="G1866" s="548"/>
    </row>
    <row r="1867" spans="3:7">
      <c r="C1867" s="548"/>
      <c r="D1867" s="548"/>
      <c r="E1867" s="548"/>
      <c r="F1867" s="548"/>
      <c r="G1867" s="548"/>
    </row>
    <row r="1868" spans="3:7">
      <c r="C1868" s="548"/>
      <c r="D1868" s="548"/>
      <c r="E1868" s="548"/>
      <c r="F1868" s="548"/>
      <c r="G1868" s="548"/>
    </row>
    <row r="1869" spans="3:7">
      <c r="C1869" s="548"/>
      <c r="D1869" s="548"/>
      <c r="E1869" s="548"/>
      <c r="F1869" s="548"/>
      <c r="G1869" s="548"/>
    </row>
    <row r="1870" spans="3:7">
      <c r="C1870" s="548"/>
      <c r="D1870" s="548"/>
      <c r="E1870" s="548"/>
      <c r="F1870" s="548"/>
      <c r="G1870" s="548"/>
    </row>
    <row r="1871" spans="3:7">
      <c r="C1871" s="548"/>
      <c r="D1871" s="548"/>
      <c r="E1871" s="548"/>
      <c r="F1871" s="548"/>
      <c r="G1871" s="548"/>
    </row>
    <row r="1872" spans="3:7">
      <c r="C1872" s="548"/>
      <c r="D1872" s="548"/>
      <c r="E1872" s="548"/>
      <c r="F1872" s="548"/>
      <c r="G1872" s="548"/>
    </row>
    <row r="1873" spans="3:7">
      <c r="C1873" s="548"/>
      <c r="D1873" s="548"/>
      <c r="E1873" s="548"/>
      <c r="F1873" s="548"/>
      <c r="G1873" s="548"/>
    </row>
    <row r="1874" spans="3:7">
      <c r="C1874" s="548"/>
      <c r="D1874" s="548"/>
      <c r="E1874" s="548"/>
      <c r="F1874" s="548"/>
      <c r="G1874" s="548"/>
    </row>
    <row r="1875" spans="3:7">
      <c r="C1875" s="548"/>
      <c r="D1875" s="548"/>
      <c r="E1875" s="548"/>
      <c r="F1875" s="548"/>
      <c r="G1875" s="548"/>
    </row>
    <row r="1876" spans="3:7">
      <c r="C1876" s="548"/>
      <c r="D1876" s="548"/>
      <c r="E1876" s="548"/>
      <c r="F1876" s="548"/>
      <c r="G1876" s="548"/>
    </row>
    <row r="1877" spans="3:7">
      <c r="C1877" s="548"/>
      <c r="D1877" s="548"/>
      <c r="E1877" s="548"/>
      <c r="F1877" s="548"/>
      <c r="G1877" s="548"/>
    </row>
    <row r="1878" spans="3:7">
      <c r="C1878" s="548"/>
      <c r="D1878" s="548"/>
      <c r="E1878" s="548"/>
      <c r="F1878" s="548"/>
      <c r="G1878" s="548"/>
    </row>
    <row r="1879" spans="3:7">
      <c r="C1879" s="548"/>
      <c r="D1879" s="548"/>
      <c r="E1879" s="548"/>
      <c r="F1879" s="548"/>
      <c r="G1879" s="548"/>
    </row>
    <row r="1880" spans="3:7">
      <c r="C1880" s="548"/>
      <c r="D1880" s="548"/>
      <c r="E1880" s="548"/>
      <c r="F1880" s="548"/>
      <c r="G1880" s="548"/>
    </row>
    <row r="1881" spans="3:7">
      <c r="C1881" s="548"/>
      <c r="D1881" s="548"/>
      <c r="E1881" s="548"/>
      <c r="F1881" s="548"/>
      <c r="G1881" s="548"/>
    </row>
    <row r="1882" spans="3:7">
      <c r="C1882" s="548"/>
      <c r="D1882" s="548"/>
      <c r="E1882" s="548"/>
      <c r="F1882" s="548"/>
      <c r="G1882" s="548"/>
    </row>
    <row r="1883" spans="3:7">
      <c r="C1883" s="548"/>
      <c r="D1883" s="548"/>
      <c r="E1883" s="548"/>
      <c r="F1883" s="548"/>
      <c r="G1883" s="548"/>
    </row>
    <row r="1884" spans="3:7">
      <c r="C1884" s="548"/>
      <c r="D1884" s="548"/>
      <c r="E1884" s="548"/>
      <c r="F1884" s="548"/>
      <c r="G1884" s="548"/>
    </row>
    <row r="1885" spans="3:7">
      <c r="C1885" s="548"/>
      <c r="D1885" s="548"/>
      <c r="E1885" s="548"/>
      <c r="F1885" s="548"/>
      <c r="G1885" s="548"/>
    </row>
    <row r="1886" spans="3:7">
      <c r="C1886" s="548"/>
      <c r="D1886" s="548"/>
      <c r="E1886" s="548"/>
      <c r="F1886" s="548"/>
      <c r="G1886" s="548"/>
    </row>
    <row r="1887" spans="3:7">
      <c r="C1887" s="548"/>
      <c r="D1887" s="548"/>
      <c r="E1887" s="548"/>
      <c r="F1887" s="548"/>
      <c r="G1887" s="548"/>
    </row>
    <row r="1888" spans="3:7">
      <c r="C1888" s="548"/>
      <c r="D1888" s="548"/>
      <c r="E1888" s="548"/>
      <c r="F1888" s="548"/>
      <c r="G1888" s="548"/>
    </row>
    <row r="1889" spans="3:7">
      <c r="C1889" s="548"/>
      <c r="D1889" s="548"/>
      <c r="E1889" s="548"/>
      <c r="F1889" s="548"/>
      <c r="G1889" s="548"/>
    </row>
    <row r="1890" spans="3:7">
      <c r="C1890" s="548"/>
      <c r="D1890" s="548"/>
      <c r="E1890" s="548"/>
      <c r="F1890" s="548"/>
      <c r="G1890" s="548"/>
    </row>
    <row r="1891" spans="3:7">
      <c r="C1891" s="548"/>
      <c r="D1891" s="548"/>
      <c r="E1891" s="548"/>
      <c r="F1891" s="548"/>
      <c r="G1891" s="548"/>
    </row>
    <row r="1892" spans="3:7">
      <c r="C1892" s="548"/>
      <c r="D1892" s="548"/>
      <c r="E1892" s="548"/>
      <c r="F1892" s="548"/>
      <c r="G1892" s="548"/>
    </row>
    <row r="1893" spans="3:7">
      <c r="C1893" s="548"/>
      <c r="D1893" s="548"/>
      <c r="E1893" s="548"/>
      <c r="F1893" s="548"/>
      <c r="G1893" s="548"/>
    </row>
    <row r="1894" spans="3:7">
      <c r="C1894" s="548"/>
      <c r="D1894" s="548"/>
      <c r="E1894" s="548"/>
      <c r="F1894" s="548"/>
      <c r="G1894" s="548"/>
    </row>
    <row r="1895" spans="3:7">
      <c r="C1895" s="548"/>
      <c r="D1895" s="548"/>
      <c r="E1895" s="548"/>
      <c r="F1895" s="548"/>
      <c r="G1895" s="548"/>
    </row>
    <row r="1896" spans="3:7">
      <c r="C1896" s="548"/>
      <c r="D1896" s="548"/>
      <c r="E1896" s="548"/>
      <c r="F1896" s="548"/>
      <c r="G1896" s="548"/>
    </row>
    <row r="1897" spans="3:7">
      <c r="C1897" s="548"/>
      <c r="D1897" s="548"/>
      <c r="E1897" s="548"/>
      <c r="F1897" s="548"/>
      <c r="G1897" s="548"/>
    </row>
    <row r="1898" spans="3:7">
      <c r="C1898" s="548"/>
      <c r="D1898" s="548"/>
      <c r="E1898" s="548"/>
      <c r="F1898" s="548"/>
      <c r="G1898" s="548"/>
    </row>
    <row r="1899" spans="3:7">
      <c r="C1899" s="548"/>
      <c r="D1899" s="548"/>
      <c r="E1899" s="548"/>
      <c r="F1899" s="548"/>
      <c r="G1899" s="548"/>
    </row>
    <row r="1900" spans="3:7">
      <c r="C1900" s="548"/>
      <c r="D1900" s="548"/>
      <c r="E1900" s="548"/>
      <c r="F1900" s="548"/>
      <c r="G1900" s="548"/>
    </row>
    <row r="1901" spans="3:7">
      <c r="C1901" s="548"/>
      <c r="D1901" s="548"/>
      <c r="E1901" s="548"/>
      <c r="F1901" s="548"/>
      <c r="G1901" s="548"/>
    </row>
    <row r="1902" spans="3:7">
      <c r="C1902" s="548"/>
      <c r="D1902" s="548"/>
      <c r="E1902" s="548"/>
      <c r="F1902" s="548"/>
      <c r="G1902" s="548"/>
    </row>
    <row r="1903" spans="3:7">
      <c r="C1903" s="548"/>
      <c r="D1903" s="548"/>
      <c r="E1903" s="548"/>
      <c r="F1903" s="548"/>
      <c r="G1903" s="548"/>
    </row>
    <row r="1904" spans="3:7">
      <c r="C1904" s="548"/>
      <c r="D1904" s="548"/>
      <c r="E1904" s="548"/>
      <c r="F1904" s="548"/>
      <c r="G1904" s="548"/>
    </row>
    <row r="1905" spans="3:7">
      <c r="C1905" s="548"/>
      <c r="D1905" s="548"/>
      <c r="E1905" s="548"/>
      <c r="F1905" s="548"/>
      <c r="G1905" s="548"/>
    </row>
    <row r="1906" spans="3:7">
      <c r="C1906" s="548"/>
      <c r="D1906" s="548"/>
      <c r="E1906" s="548"/>
      <c r="F1906" s="548"/>
      <c r="G1906" s="548"/>
    </row>
    <row r="1907" spans="3:7">
      <c r="C1907" s="548"/>
      <c r="D1907" s="548"/>
      <c r="E1907" s="548"/>
      <c r="F1907" s="548"/>
      <c r="G1907" s="548"/>
    </row>
    <row r="1908" spans="3:7">
      <c r="C1908" s="548"/>
      <c r="D1908" s="548"/>
      <c r="E1908" s="548"/>
      <c r="F1908" s="548"/>
      <c r="G1908" s="548"/>
    </row>
    <row r="1909" spans="3:7">
      <c r="C1909" s="548"/>
      <c r="D1909" s="548"/>
      <c r="E1909" s="548"/>
      <c r="F1909" s="548"/>
      <c r="G1909" s="548"/>
    </row>
    <row r="1910" spans="3:7">
      <c r="C1910" s="548"/>
      <c r="D1910" s="548"/>
      <c r="E1910" s="548"/>
      <c r="F1910" s="548"/>
      <c r="G1910" s="548"/>
    </row>
    <row r="1911" spans="3:7">
      <c r="C1911" s="548"/>
      <c r="D1911" s="548"/>
      <c r="E1911" s="548"/>
      <c r="F1911" s="548"/>
      <c r="G1911" s="548"/>
    </row>
    <row r="1912" spans="3:7">
      <c r="C1912" s="548"/>
      <c r="D1912" s="548"/>
      <c r="E1912" s="548"/>
      <c r="F1912" s="548"/>
      <c r="G1912" s="548"/>
    </row>
    <row r="1913" spans="3:7">
      <c r="C1913" s="548"/>
      <c r="D1913" s="548"/>
      <c r="E1913" s="548"/>
      <c r="F1913" s="548"/>
      <c r="G1913" s="548"/>
    </row>
    <row r="1914" spans="3:7">
      <c r="C1914" s="548"/>
      <c r="D1914" s="548"/>
      <c r="E1914" s="548"/>
      <c r="F1914" s="548"/>
      <c r="G1914" s="548"/>
    </row>
    <row r="1915" spans="3:7">
      <c r="C1915" s="548"/>
      <c r="D1915" s="548"/>
      <c r="E1915" s="548"/>
      <c r="F1915" s="548"/>
      <c r="G1915" s="548"/>
    </row>
    <row r="1916" spans="3:7">
      <c r="C1916" s="548"/>
      <c r="D1916" s="548"/>
      <c r="E1916" s="548"/>
      <c r="F1916" s="548"/>
      <c r="G1916" s="548"/>
    </row>
    <row r="1917" spans="3:7">
      <c r="C1917" s="548"/>
      <c r="D1917" s="548"/>
      <c r="E1917" s="548"/>
      <c r="F1917" s="548"/>
      <c r="G1917" s="548"/>
    </row>
    <row r="1918" spans="3:7">
      <c r="C1918" s="548"/>
      <c r="D1918" s="548"/>
      <c r="E1918" s="548"/>
      <c r="F1918" s="548"/>
      <c r="G1918" s="548"/>
    </row>
    <row r="1919" spans="3:7">
      <c r="C1919" s="548"/>
      <c r="D1919" s="548"/>
      <c r="E1919" s="548"/>
      <c r="F1919" s="548"/>
      <c r="G1919" s="548"/>
    </row>
    <row r="1920" spans="3:7">
      <c r="C1920" s="548"/>
      <c r="D1920" s="548"/>
      <c r="E1920" s="548"/>
      <c r="F1920" s="548"/>
      <c r="G1920" s="548"/>
    </row>
    <row r="1921" spans="3:7">
      <c r="C1921" s="548"/>
      <c r="D1921" s="548"/>
      <c r="E1921" s="548"/>
      <c r="F1921" s="548"/>
      <c r="G1921" s="548"/>
    </row>
    <row r="1922" spans="3:7">
      <c r="C1922" s="548"/>
      <c r="D1922" s="548"/>
      <c r="E1922" s="548"/>
      <c r="F1922" s="548"/>
      <c r="G1922" s="548"/>
    </row>
    <row r="1923" spans="3:7">
      <c r="C1923" s="548"/>
      <c r="D1923" s="548"/>
      <c r="E1923" s="548"/>
      <c r="F1923" s="548"/>
      <c r="G1923" s="548"/>
    </row>
    <row r="1924" spans="3:7">
      <c r="C1924" s="548"/>
      <c r="D1924" s="548"/>
      <c r="E1924" s="548"/>
      <c r="F1924" s="548"/>
      <c r="G1924" s="548"/>
    </row>
    <row r="1925" spans="3:7">
      <c r="C1925" s="548"/>
      <c r="D1925" s="548"/>
      <c r="E1925" s="548"/>
      <c r="F1925" s="548"/>
      <c r="G1925" s="548"/>
    </row>
    <row r="1926" spans="3:7">
      <c r="C1926" s="548"/>
      <c r="D1926" s="548"/>
      <c r="E1926" s="548"/>
      <c r="F1926" s="548"/>
      <c r="G1926" s="548"/>
    </row>
    <row r="1927" spans="3:7">
      <c r="C1927" s="548"/>
      <c r="D1927" s="548"/>
      <c r="E1927" s="548"/>
      <c r="F1927" s="548"/>
      <c r="G1927" s="548"/>
    </row>
    <row r="1928" spans="3:7">
      <c r="C1928" s="548"/>
      <c r="D1928" s="548"/>
      <c r="E1928" s="548"/>
      <c r="F1928" s="548"/>
      <c r="G1928" s="548"/>
    </row>
    <row r="1929" spans="3:7">
      <c r="C1929" s="548"/>
      <c r="D1929" s="548"/>
      <c r="E1929" s="548"/>
      <c r="F1929" s="548"/>
      <c r="G1929" s="548"/>
    </row>
    <row r="1930" spans="3:7">
      <c r="C1930" s="548"/>
      <c r="D1930" s="548"/>
      <c r="E1930" s="548"/>
      <c r="F1930" s="548"/>
      <c r="G1930" s="548"/>
    </row>
    <row r="1931" spans="3:7">
      <c r="C1931" s="548"/>
      <c r="D1931" s="548"/>
      <c r="E1931" s="548"/>
      <c r="F1931" s="548"/>
      <c r="G1931" s="548"/>
    </row>
    <row r="1932" spans="3:7">
      <c r="C1932" s="548"/>
      <c r="D1932" s="548"/>
      <c r="E1932" s="548"/>
      <c r="F1932" s="548"/>
      <c r="G1932" s="548"/>
    </row>
    <row r="1933" spans="3:7">
      <c r="C1933" s="548"/>
      <c r="D1933" s="548"/>
      <c r="E1933" s="548"/>
      <c r="F1933" s="548"/>
      <c r="G1933" s="548"/>
    </row>
    <row r="1934" spans="3:7">
      <c r="C1934" s="548"/>
      <c r="D1934" s="548"/>
      <c r="E1934" s="548"/>
      <c r="F1934" s="548"/>
      <c r="G1934" s="548"/>
    </row>
    <row r="1935" spans="3:7">
      <c r="C1935" s="548"/>
      <c r="D1935" s="548"/>
      <c r="E1935" s="548"/>
      <c r="F1935" s="548"/>
      <c r="G1935" s="548"/>
    </row>
    <row r="1936" spans="3:7">
      <c r="C1936" s="548"/>
      <c r="D1936" s="548"/>
      <c r="E1936" s="548"/>
      <c r="F1936" s="548"/>
      <c r="G1936" s="548"/>
    </row>
    <row r="1937" spans="3:7">
      <c r="C1937" s="548"/>
      <c r="D1937" s="548"/>
      <c r="E1937" s="548"/>
      <c r="F1937" s="548"/>
      <c r="G1937" s="548"/>
    </row>
    <row r="1938" spans="3:7">
      <c r="C1938" s="548"/>
      <c r="D1938" s="548"/>
      <c r="E1938" s="548"/>
      <c r="F1938" s="548"/>
      <c r="G1938" s="548"/>
    </row>
    <row r="1939" spans="3:7">
      <c r="C1939" s="548"/>
      <c r="D1939" s="548"/>
      <c r="E1939" s="548"/>
      <c r="F1939" s="548"/>
      <c r="G1939" s="548"/>
    </row>
    <row r="1940" spans="3:7">
      <c r="C1940" s="548"/>
      <c r="D1940" s="548"/>
      <c r="E1940" s="548"/>
      <c r="F1940" s="548"/>
      <c r="G1940" s="548"/>
    </row>
    <row r="1941" spans="3:7">
      <c r="C1941" s="548"/>
      <c r="D1941" s="548"/>
      <c r="E1941" s="548"/>
      <c r="F1941" s="548"/>
      <c r="G1941" s="548"/>
    </row>
    <row r="1942" spans="3:7">
      <c r="C1942" s="548"/>
      <c r="D1942" s="548"/>
      <c r="E1942" s="548"/>
      <c r="F1942" s="548"/>
      <c r="G1942" s="548"/>
    </row>
    <row r="1943" spans="3:7">
      <c r="C1943" s="548"/>
      <c r="D1943" s="548"/>
      <c r="E1943" s="548"/>
      <c r="F1943" s="548"/>
      <c r="G1943" s="548"/>
    </row>
    <row r="1944" spans="3:7">
      <c r="C1944" s="548"/>
      <c r="D1944" s="548"/>
      <c r="E1944" s="548"/>
      <c r="F1944" s="548"/>
      <c r="G1944" s="548"/>
    </row>
    <row r="1945" spans="3:7">
      <c r="C1945" s="548"/>
      <c r="D1945" s="548"/>
      <c r="E1945" s="548"/>
      <c r="F1945" s="548"/>
      <c r="G1945" s="548"/>
    </row>
    <row r="1946" spans="3:7">
      <c r="C1946" s="548"/>
      <c r="D1946" s="548"/>
      <c r="E1946" s="548"/>
      <c r="F1946" s="548"/>
      <c r="G1946" s="548"/>
    </row>
    <row r="1947" spans="3:7">
      <c r="C1947" s="548"/>
      <c r="D1947" s="548"/>
      <c r="E1947" s="548"/>
      <c r="F1947" s="548"/>
      <c r="G1947" s="548"/>
    </row>
    <row r="1948" spans="3:7">
      <c r="C1948" s="548"/>
      <c r="D1948" s="548"/>
      <c r="E1948" s="548"/>
      <c r="F1948" s="548"/>
      <c r="G1948" s="548"/>
    </row>
    <row r="1949" spans="3:7">
      <c r="C1949" s="548"/>
      <c r="D1949" s="548"/>
      <c r="E1949" s="548"/>
      <c r="F1949" s="548"/>
      <c r="G1949" s="548"/>
    </row>
    <row r="1950" spans="3:7">
      <c r="C1950" s="548"/>
      <c r="D1950" s="548"/>
      <c r="E1950" s="548"/>
      <c r="F1950" s="548"/>
      <c r="G1950" s="548"/>
    </row>
    <row r="1951" spans="3:7">
      <c r="C1951" s="548"/>
      <c r="D1951" s="548"/>
      <c r="E1951" s="548"/>
      <c r="F1951" s="548"/>
      <c r="G1951" s="548"/>
    </row>
    <row r="1952" spans="3:7">
      <c r="C1952" s="548"/>
      <c r="D1952" s="548"/>
      <c r="E1952" s="548"/>
      <c r="F1952" s="548"/>
      <c r="G1952" s="548"/>
    </row>
    <row r="1953" spans="3:7">
      <c r="C1953" s="548"/>
      <c r="D1953" s="548"/>
      <c r="E1953" s="548"/>
      <c r="F1953" s="548"/>
      <c r="G1953" s="548"/>
    </row>
    <row r="1954" spans="3:7">
      <c r="C1954" s="548"/>
      <c r="D1954" s="548"/>
      <c r="E1954" s="548"/>
      <c r="F1954" s="548"/>
      <c r="G1954" s="548"/>
    </row>
    <row r="1955" spans="3:7">
      <c r="C1955" s="548"/>
      <c r="D1955" s="548"/>
      <c r="E1955" s="548"/>
      <c r="F1955" s="548"/>
      <c r="G1955" s="548"/>
    </row>
    <row r="1956" spans="3:7">
      <c r="C1956" s="548"/>
      <c r="D1956" s="548"/>
      <c r="E1956" s="548"/>
      <c r="F1956" s="548"/>
      <c r="G1956" s="548"/>
    </row>
    <row r="1957" spans="3:7">
      <c r="C1957" s="548"/>
      <c r="D1957" s="548"/>
      <c r="E1957" s="548"/>
      <c r="F1957" s="548"/>
      <c r="G1957" s="548"/>
    </row>
    <row r="1958" spans="3:7">
      <c r="C1958" s="548"/>
      <c r="D1958" s="548"/>
      <c r="E1958" s="548"/>
      <c r="F1958" s="548"/>
      <c r="G1958" s="548"/>
    </row>
    <row r="1959" spans="3:7">
      <c r="C1959" s="548"/>
      <c r="D1959" s="548"/>
      <c r="E1959" s="548"/>
      <c r="F1959" s="548"/>
      <c r="G1959" s="548"/>
    </row>
    <row r="1960" spans="3:7">
      <c r="C1960" s="548"/>
      <c r="D1960" s="548"/>
      <c r="E1960" s="548"/>
      <c r="F1960" s="548"/>
      <c r="G1960" s="548"/>
    </row>
    <row r="1961" spans="3:7">
      <c r="C1961" s="548"/>
      <c r="D1961" s="548"/>
      <c r="E1961" s="548"/>
      <c r="F1961" s="548"/>
      <c r="G1961" s="548"/>
    </row>
    <row r="1962" spans="3:7">
      <c r="C1962" s="548"/>
      <c r="D1962" s="548"/>
      <c r="E1962" s="548"/>
      <c r="F1962" s="548"/>
      <c r="G1962" s="548"/>
    </row>
    <row r="1963" spans="3:7">
      <c r="C1963" s="548"/>
      <c r="D1963" s="548"/>
      <c r="E1963" s="548"/>
      <c r="F1963" s="548"/>
      <c r="G1963" s="548"/>
    </row>
    <row r="1964" spans="3:7">
      <c r="C1964" s="548"/>
      <c r="D1964" s="548"/>
      <c r="E1964" s="548"/>
      <c r="F1964" s="548"/>
      <c r="G1964" s="548"/>
    </row>
    <row r="1965" spans="3:7">
      <c r="C1965" s="548"/>
      <c r="D1965" s="548"/>
      <c r="E1965" s="548"/>
      <c r="F1965" s="548"/>
      <c r="G1965" s="548"/>
    </row>
    <row r="1966" spans="3:7">
      <c r="C1966" s="548"/>
      <c r="D1966" s="548"/>
      <c r="E1966" s="548"/>
      <c r="F1966" s="548"/>
      <c r="G1966" s="548"/>
    </row>
    <row r="1967" spans="3:7">
      <c r="C1967" s="548"/>
      <c r="D1967" s="548"/>
      <c r="E1967" s="548"/>
      <c r="F1967" s="548"/>
      <c r="G1967" s="548"/>
    </row>
    <row r="1968" spans="3:7">
      <c r="C1968" s="548"/>
      <c r="D1968" s="548"/>
      <c r="E1968" s="548"/>
      <c r="F1968" s="548"/>
      <c r="G1968" s="548"/>
    </row>
    <row r="1969" spans="3:7">
      <c r="C1969" s="548"/>
      <c r="D1969" s="548"/>
      <c r="E1969" s="548"/>
      <c r="F1969" s="548"/>
      <c r="G1969" s="548"/>
    </row>
    <row r="1970" spans="3:7">
      <c r="C1970" s="548"/>
      <c r="D1970" s="548"/>
      <c r="E1970" s="548"/>
      <c r="F1970" s="548"/>
      <c r="G1970" s="548"/>
    </row>
    <row r="1971" spans="3:7">
      <c r="C1971" s="548"/>
      <c r="D1971" s="548"/>
      <c r="E1971" s="548"/>
      <c r="F1971" s="548"/>
      <c r="G1971" s="548"/>
    </row>
    <row r="1972" spans="3:7">
      <c r="C1972" s="548"/>
      <c r="D1972" s="548"/>
      <c r="E1972" s="548"/>
      <c r="F1972" s="548"/>
      <c r="G1972" s="548"/>
    </row>
    <row r="1973" spans="3:7">
      <c r="C1973" s="548"/>
      <c r="D1973" s="548"/>
      <c r="E1973" s="548"/>
      <c r="F1973" s="548"/>
      <c r="G1973" s="548"/>
    </row>
    <row r="1974" spans="3:7">
      <c r="C1974" s="548"/>
      <c r="D1974" s="548"/>
      <c r="E1974" s="548"/>
      <c r="F1974" s="548"/>
      <c r="G1974" s="548"/>
    </row>
    <row r="1975" spans="3:7">
      <c r="C1975" s="548"/>
      <c r="D1975" s="548"/>
      <c r="E1975" s="548"/>
      <c r="F1975" s="548"/>
      <c r="G1975" s="548"/>
    </row>
    <row r="1976" spans="3:7">
      <c r="C1976" s="548"/>
      <c r="D1976" s="548"/>
      <c r="E1976" s="548"/>
      <c r="F1976" s="548"/>
      <c r="G1976" s="548"/>
    </row>
    <row r="1977" spans="3:7">
      <c r="C1977" s="548"/>
      <c r="D1977" s="548"/>
      <c r="E1977" s="548"/>
      <c r="F1977" s="548"/>
      <c r="G1977" s="548"/>
    </row>
    <row r="1978" spans="3:7">
      <c r="C1978" s="548"/>
      <c r="D1978" s="548"/>
      <c r="E1978" s="548"/>
      <c r="F1978" s="548"/>
      <c r="G1978" s="548"/>
    </row>
    <row r="1979" spans="3:7">
      <c r="C1979" s="548"/>
      <c r="D1979" s="548"/>
      <c r="E1979" s="548"/>
      <c r="F1979" s="548"/>
      <c r="G1979" s="548"/>
    </row>
    <row r="1980" spans="3:7">
      <c r="C1980" s="548"/>
      <c r="D1980" s="548"/>
      <c r="E1980" s="548"/>
      <c r="F1980" s="548"/>
      <c r="G1980" s="548"/>
    </row>
    <row r="1981" spans="3:7">
      <c r="C1981" s="548"/>
      <c r="D1981" s="548"/>
      <c r="E1981" s="548"/>
      <c r="F1981" s="548"/>
      <c r="G1981" s="548"/>
    </row>
    <row r="1982" spans="3:7">
      <c r="C1982" s="548"/>
      <c r="D1982" s="548"/>
      <c r="E1982" s="548"/>
      <c r="F1982" s="548"/>
      <c r="G1982" s="548"/>
    </row>
    <row r="1983" spans="3:7">
      <c r="C1983" s="548"/>
      <c r="D1983" s="548"/>
      <c r="E1983" s="548"/>
      <c r="F1983" s="548"/>
      <c r="G1983" s="548"/>
    </row>
    <row r="1984" spans="3:7">
      <c r="C1984" s="548"/>
      <c r="D1984" s="548"/>
      <c r="E1984" s="548"/>
      <c r="F1984" s="548"/>
      <c r="G1984" s="548"/>
    </row>
    <row r="1985" spans="3:7">
      <c r="C1985" s="548"/>
      <c r="D1985" s="548"/>
      <c r="E1985" s="548"/>
      <c r="F1985" s="548"/>
      <c r="G1985" s="548"/>
    </row>
    <row r="1986" spans="3:7">
      <c r="C1986" s="548"/>
      <c r="D1986" s="548"/>
      <c r="E1986" s="548"/>
      <c r="F1986" s="548"/>
      <c r="G1986" s="548"/>
    </row>
    <row r="1987" spans="3:7">
      <c r="C1987" s="548"/>
      <c r="D1987" s="548"/>
      <c r="E1987" s="548"/>
      <c r="F1987" s="548"/>
      <c r="G1987" s="548"/>
    </row>
    <row r="1988" spans="3:7">
      <c r="C1988" s="548"/>
      <c r="D1988" s="548"/>
      <c r="E1988" s="548"/>
      <c r="F1988" s="548"/>
      <c r="G1988" s="548"/>
    </row>
    <row r="1989" spans="3:7">
      <c r="C1989" s="548"/>
      <c r="D1989" s="548"/>
      <c r="E1989" s="548"/>
      <c r="F1989" s="548"/>
      <c r="G1989" s="548"/>
    </row>
    <row r="1990" spans="3:7">
      <c r="C1990" s="548"/>
      <c r="D1990" s="548"/>
      <c r="E1990" s="548"/>
      <c r="F1990" s="548"/>
      <c r="G1990" s="548"/>
    </row>
    <row r="1991" spans="3:7">
      <c r="C1991" s="548"/>
      <c r="D1991" s="548"/>
      <c r="E1991" s="548"/>
      <c r="F1991" s="548"/>
      <c r="G1991" s="548"/>
    </row>
    <row r="1992" spans="3:7">
      <c r="C1992" s="548"/>
      <c r="D1992" s="548"/>
      <c r="E1992" s="548"/>
      <c r="F1992" s="548"/>
      <c r="G1992" s="548"/>
    </row>
    <row r="1993" spans="3:7">
      <c r="C1993" s="548"/>
      <c r="D1993" s="548"/>
      <c r="E1993" s="548"/>
      <c r="F1993" s="548"/>
      <c r="G1993" s="548"/>
    </row>
    <row r="1994" spans="3:7">
      <c r="C1994" s="548"/>
      <c r="D1994" s="548"/>
      <c r="E1994" s="548"/>
      <c r="F1994" s="548"/>
      <c r="G1994" s="548"/>
    </row>
    <row r="1995" spans="3:7">
      <c r="C1995" s="548"/>
      <c r="D1995" s="548"/>
      <c r="E1995" s="548"/>
      <c r="F1995" s="548"/>
      <c r="G1995" s="548"/>
    </row>
    <row r="1996" spans="3:7">
      <c r="C1996" s="548"/>
      <c r="D1996" s="548"/>
      <c r="E1996" s="548"/>
      <c r="F1996" s="548"/>
      <c r="G1996" s="548"/>
    </row>
    <row r="1997" spans="3:7">
      <c r="C1997" s="548"/>
      <c r="D1997" s="548"/>
      <c r="E1997" s="548"/>
      <c r="F1997" s="548"/>
      <c r="G1997" s="548"/>
    </row>
    <row r="1998" spans="3:7">
      <c r="C1998" s="548"/>
      <c r="D1998" s="548"/>
      <c r="E1998" s="548"/>
      <c r="F1998" s="548"/>
      <c r="G1998" s="548"/>
    </row>
    <row r="1999" spans="3:7">
      <c r="C1999" s="548"/>
      <c r="D1999" s="548"/>
      <c r="E1999" s="548"/>
      <c r="F1999" s="548"/>
      <c r="G1999" s="548"/>
    </row>
    <row r="2000" spans="3:7">
      <c r="C2000" s="548"/>
      <c r="D2000" s="548"/>
      <c r="E2000" s="548"/>
      <c r="F2000" s="548"/>
      <c r="G2000" s="548"/>
    </row>
    <row r="2001" spans="3:7">
      <c r="C2001" s="548"/>
      <c r="D2001" s="548"/>
      <c r="E2001" s="548"/>
      <c r="F2001" s="548"/>
      <c r="G2001" s="548"/>
    </row>
    <row r="2002" spans="3:7">
      <c r="C2002" s="548"/>
      <c r="D2002" s="548"/>
      <c r="E2002" s="548"/>
      <c r="F2002" s="548"/>
      <c r="G2002" s="548"/>
    </row>
    <row r="2003" spans="3:7">
      <c r="C2003" s="548"/>
      <c r="D2003" s="548"/>
      <c r="E2003" s="548"/>
      <c r="F2003" s="548"/>
      <c r="G2003" s="548"/>
    </row>
    <row r="2004" spans="3:7">
      <c r="C2004" s="548"/>
      <c r="D2004" s="548"/>
      <c r="E2004" s="548"/>
      <c r="F2004" s="548"/>
      <c r="G2004" s="548"/>
    </row>
    <row r="2005" spans="3:7">
      <c r="C2005" s="548"/>
      <c r="D2005" s="548"/>
      <c r="E2005" s="548"/>
      <c r="F2005" s="548"/>
      <c r="G2005" s="548"/>
    </row>
    <row r="2006" spans="3:7">
      <c r="C2006" s="548"/>
      <c r="D2006" s="548"/>
      <c r="E2006" s="548"/>
      <c r="F2006" s="548"/>
      <c r="G2006" s="548"/>
    </row>
    <row r="2007" spans="3:7">
      <c r="C2007" s="548"/>
      <c r="D2007" s="548"/>
      <c r="E2007" s="548"/>
      <c r="F2007" s="548"/>
      <c r="G2007" s="548"/>
    </row>
    <row r="2008" spans="3:7">
      <c r="C2008" s="548"/>
      <c r="D2008" s="548"/>
      <c r="E2008" s="548"/>
      <c r="F2008" s="548"/>
      <c r="G2008" s="548"/>
    </row>
    <row r="2009" spans="3:7">
      <c r="C2009" s="548"/>
      <c r="D2009" s="548"/>
      <c r="E2009" s="548"/>
      <c r="F2009" s="548"/>
      <c r="G2009" s="548"/>
    </row>
    <row r="2010" spans="3:7">
      <c r="C2010" s="548"/>
      <c r="D2010" s="548"/>
      <c r="E2010" s="548"/>
      <c r="F2010" s="548"/>
      <c r="G2010" s="548"/>
    </row>
    <row r="2011" spans="3:7">
      <c r="C2011" s="548"/>
      <c r="D2011" s="548"/>
      <c r="E2011" s="548"/>
      <c r="F2011" s="548"/>
      <c r="G2011" s="548"/>
    </row>
    <row r="2012" spans="3:7">
      <c r="C2012" s="548"/>
      <c r="D2012" s="548"/>
      <c r="E2012" s="548"/>
      <c r="F2012" s="548"/>
      <c r="G2012" s="548"/>
    </row>
    <row r="2013" spans="3:7">
      <c r="C2013" s="548"/>
      <c r="D2013" s="548"/>
      <c r="E2013" s="548"/>
      <c r="F2013" s="548"/>
      <c r="G2013" s="548"/>
    </row>
    <row r="2014" spans="3:7">
      <c r="C2014" s="548"/>
      <c r="D2014" s="548"/>
      <c r="E2014" s="548"/>
      <c r="F2014" s="548"/>
      <c r="G2014" s="548"/>
    </row>
    <row r="2015" spans="3:7">
      <c r="C2015" s="548"/>
      <c r="D2015" s="548"/>
      <c r="E2015" s="548"/>
      <c r="F2015" s="548"/>
      <c r="G2015" s="548"/>
    </row>
    <row r="2016" spans="3:7">
      <c r="C2016" s="548"/>
      <c r="D2016" s="548"/>
      <c r="E2016" s="548"/>
      <c r="F2016" s="548"/>
      <c r="G2016" s="548"/>
    </row>
    <row r="2017" spans="3:7">
      <c r="C2017" s="548"/>
      <c r="D2017" s="548"/>
      <c r="E2017" s="548"/>
      <c r="F2017" s="548"/>
      <c r="G2017" s="548"/>
    </row>
    <row r="2018" spans="3:7">
      <c r="C2018" s="548"/>
      <c r="D2018" s="548"/>
      <c r="E2018" s="548"/>
      <c r="F2018" s="548"/>
      <c r="G2018" s="548"/>
    </row>
    <row r="2019" spans="3:7">
      <c r="C2019" s="548"/>
      <c r="D2019" s="548"/>
      <c r="E2019" s="548"/>
      <c r="F2019" s="548"/>
      <c r="G2019" s="548"/>
    </row>
    <row r="2020" spans="3:7">
      <c r="C2020" s="548"/>
      <c r="D2020" s="548"/>
      <c r="E2020" s="548"/>
      <c r="F2020" s="548"/>
      <c r="G2020" s="548"/>
    </row>
    <row r="2021" spans="3:7">
      <c r="C2021" s="548"/>
      <c r="D2021" s="548"/>
      <c r="E2021" s="548"/>
      <c r="F2021" s="548"/>
      <c r="G2021" s="548"/>
    </row>
    <row r="2022" spans="3:7">
      <c r="C2022" s="548"/>
      <c r="D2022" s="548"/>
      <c r="E2022" s="548"/>
      <c r="F2022" s="548"/>
      <c r="G2022" s="548"/>
    </row>
    <row r="2023" spans="3:7">
      <c r="C2023" s="548"/>
      <c r="D2023" s="548"/>
      <c r="E2023" s="548"/>
      <c r="F2023" s="548"/>
      <c r="G2023" s="548"/>
    </row>
    <row r="2024" spans="3:7">
      <c r="C2024" s="548"/>
      <c r="D2024" s="548"/>
      <c r="E2024" s="548"/>
      <c r="F2024" s="548"/>
      <c r="G2024" s="548"/>
    </row>
    <row r="2025" spans="3:7">
      <c r="C2025" s="548"/>
      <c r="D2025" s="548"/>
      <c r="E2025" s="548"/>
      <c r="F2025" s="548"/>
      <c r="G2025" s="548"/>
    </row>
    <row r="2026" spans="3:7">
      <c r="C2026" s="548"/>
      <c r="D2026" s="548"/>
      <c r="E2026" s="548"/>
      <c r="F2026" s="548"/>
      <c r="G2026" s="548"/>
    </row>
    <row r="2027" spans="3:7">
      <c r="C2027" s="548"/>
      <c r="D2027" s="548"/>
      <c r="E2027" s="548"/>
      <c r="F2027" s="548"/>
      <c r="G2027" s="548"/>
    </row>
    <row r="2028" spans="3:7">
      <c r="C2028" s="548"/>
      <c r="D2028" s="548"/>
      <c r="E2028" s="548"/>
      <c r="F2028" s="548"/>
      <c r="G2028" s="548"/>
    </row>
    <row r="2029" spans="3:7">
      <c r="C2029" s="548"/>
      <c r="D2029" s="548"/>
      <c r="E2029" s="548"/>
      <c r="F2029" s="548"/>
      <c r="G2029" s="548"/>
    </row>
    <row r="2030" spans="3:7">
      <c r="C2030" s="548"/>
      <c r="D2030" s="548"/>
      <c r="E2030" s="548"/>
      <c r="F2030" s="548"/>
      <c r="G2030" s="548"/>
    </row>
    <row r="2031" spans="3:7">
      <c r="C2031" s="548"/>
      <c r="D2031" s="548"/>
      <c r="E2031" s="548"/>
      <c r="F2031" s="548"/>
      <c r="G2031" s="548"/>
    </row>
    <row r="2032" spans="3:7">
      <c r="C2032" s="548"/>
      <c r="D2032" s="548"/>
      <c r="E2032" s="548"/>
      <c r="F2032" s="548"/>
      <c r="G2032" s="548"/>
    </row>
    <row r="2033" spans="3:7">
      <c r="C2033" s="548"/>
      <c r="D2033" s="548"/>
      <c r="E2033" s="548"/>
      <c r="F2033" s="548"/>
      <c r="G2033" s="548"/>
    </row>
    <row r="2034" spans="3:7">
      <c r="C2034" s="548"/>
      <c r="D2034" s="548"/>
      <c r="E2034" s="548"/>
      <c r="F2034" s="548"/>
      <c r="G2034" s="548"/>
    </row>
    <row r="2035" spans="3:7">
      <c r="C2035" s="548"/>
      <c r="D2035" s="548"/>
      <c r="E2035" s="548"/>
      <c r="F2035" s="548"/>
      <c r="G2035" s="548"/>
    </row>
    <row r="2036" spans="3:7">
      <c r="C2036" s="548"/>
      <c r="D2036" s="548"/>
      <c r="E2036" s="548"/>
      <c r="F2036" s="548"/>
      <c r="G2036" s="548"/>
    </row>
    <row r="2037" spans="3:7">
      <c r="C2037" s="548"/>
      <c r="D2037" s="548"/>
      <c r="E2037" s="548"/>
      <c r="F2037" s="548"/>
      <c r="G2037" s="548"/>
    </row>
    <row r="2038" spans="3:7">
      <c r="C2038" s="548"/>
      <c r="D2038" s="548"/>
      <c r="E2038" s="548"/>
      <c r="F2038" s="548"/>
      <c r="G2038" s="548"/>
    </row>
    <row r="2039" spans="3:7">
      <c r="C2039" s="548"/>
      <c r="D2039" s="548"/>
      <c r="E2039" s="548"/>
      <c r="F2039" s="548"/>
      <c r="G2039" s="548"/>
    </row>
    <row r="2040" spans="3:7">
      <c r="C2040" s="548"/>
      <c r="D2040" s="548"/>
      <c r="E2040" s="548"/>
      <c r="F2040" s="548"/>
      <c r="G2040" s="548"/>
    </row>
    <row r="2041" spans="3:7">
      <c r="C2041" s="548"/>
      <c r="D2041" s="548"/>
      <c r="E2041" s="548"/>
      <c r="F2041" s="548"/>
      <c r="G2041" s="548"/>
    </row>
    <row r="2042" spans="3:7">
      <c r="C2042" s="548"/>
      <c r="D2042" s="548"/>
      <c r="E2042" s="548"/>
      <c r="F2042" s="548"/>
      <c r="G2042" s="548"/>
    </row>
    <row r="2043" spans="3:7">
      <c r="C2043" s="548"/>
      <c r="D2043" s="548"/>
      <c r="E2043" s="548"/>
      <c r="F2043" s="548"/>
      <c r="G2043" s="548"/>
    </row>
    <row r="2044" spans="3:7">
      <c r="C2044" s="548"/>
      <c r="D2044" s="548"/>
      <c r="E2044" s="548"/>
      <c r="F2044" s="548"/>
      <c r="G2044" s="548"/>
    </row>
    <row r="2045" spans="3:7">
      <c r="C2045" s="548"/>
      <c r="D2045" s="548"/>
      <c r="E2045" s="548"/>
      <c r="F2045" s="548"/>
      <c r="G2045" s="548"/>
    </row>
    <row r="2046" spans="3:7">
      <c r="C2046" s="548"/>
      <c r="D2046" s="548"/>
      <c r="E2046" s="548"/>
      <c r="F2046" s="548"/>
      <c r="G2046" s="548"/>
    </row>
    <row r="2047" spans="3:7">
      <c r="C2047" s="548"/>
      <c r="D2047" s="548"/>
      <c r="E2047" s="548"/>
      <c r="F2047" s="548"/>
      <c r="G2047" s="548"/>
    </row>
    <row r="2048" spans="3:7">
      <c r="C2048" s="548"/>
      <c r="D2048" s="548"/>
      <c r="E2048" s="548"/>
      <c r="F2048" s="548"/>
      <c r="G2048" s="548"/>
    </row>
    <row r="2049" spans="3:7">
      <c r="C2049" s="548"/>
      <c r="D2049" s="548"/>
      <c r="E2049" s="548"/>
      <c r="F2049" s="548"/>
      <c r="G2049" s="548"/>
    </row>
    <row r="2050" spans="3:7">
      <c r="C2050" s="548"/>
      <c r="D2050" s="548"/>
      <c r="E2050" s="548"/>
      <c r="F2050" s="548"/>
      <c r="G2050" s="548"/>
    </row>
    <row r="2051" spans="3:7">
      <c r="C2051" s="548"/>
      <c r="D2051" s="548"/>
      <c r="E2051" s="548"/>
      <c r="F2051" s="548"/>
      <c r="G2051" s="548"/>
    </row>
    <row r="2052" spans="3:7">
      <c r="C2052" s="548"/>
      <c r="D2052" s="548"/>
      <c r="E2052" s="548"/>
      <c r="F2052" s="548"/>
      <c r="G2052" s="548"/>
    </row>
    <row r="2053" spans="3:7">
      <c r="C2053" s="548"/>
      <c r="D2053" s="548"/>
      <c r="E2053" s="548"/>
      <c r="F2053" s="548"/>
      <c r="G2053" s="548"/>
    </row>
    <row r="2054" spans="3:7">
      <c r="C2054" s="548"/>
      <c r="D2054" s="548"/>
      <c r="E2054" s="548"/>
      <c r="F2054" s="548"/>
      <c r="G2054" s="548"/>
    </row>
    <row r="2055" spans="3:7">
      <c r="C2055" s="548"/>
      <c r="D2055" s="548"/>
      <c r="E2055" s="548"/>
      <c r="F2055" s="548"/>
      <c r="G2055" s="548"/>
    </row>
    <row r="2056" spans="3:7">
      <c r="C2056" s="548"/>
      <c r="D2056" s="548"/>
      <c r="E2056" s="548"/>
      <c r="F2056" s="548"/>
      <c r="G2056" s="548"/>
    </row>
    <row r="2057" spans="3:7">
      <c r="C2057" s="548"/>
      <c r="D2057" s="548"/>
      <c r="E2057" s="548"/>
      <c r="F2057" s="548"/>
      <c r="G2057" s="548"/>
    </row>
    <row r="2058" spans="3:7">
      <c r="C2058" s="548"/>
      <c r="D2058" s="548"/>
      <c r="E2058" s="548"/>
      <c r="F2058" s="548"/>
      <c r="G2058" s="548"/>
    </row>
    <row r="2059" spans="3:7">
      <c r="C2059" s="548"/>
      <c r="D2059" s="548"/>
      <c r="E2059" s="548"/>
      <c r="F2059" s="548"/>
      <c r="G2059" s="548"/>
    </row>
    <row r="2060" spans="3:7">
      <c r="C2060" s="548"/>
      <c r="D2060" s="548"/>
      <c r="E2060" s="548"/>
      <c r="F2060" s="548"/>
      <c r="G2060" s="548"/>
    </row>
    <row r="2061" spans="3:7">
      <c r="C2061" s="548"/>
      <c r="D2061" s="548"/>
      <c r="E2061" s="548"/>
      <c r="F2061" s="548"/>
      <c r="G2061" s="548"/>
    </row>
    <row r="2062" spans="3:7">
      <c r="C2062" s="548"/>
      <c r="D2062" s="548"/>
      <c r="E2062" s="548"/>
      <c r="F2062" s="548"/>
      <c r="G2062" s="548"/>
    </row>
    <row r="2063" spans="3:7">
      <c r="C2063" s="548"/>
      <c r="D2063" s="548"/>
      <c r="E2063" s="548"/>
      <c r="F2063" s="548"/>
      <c r="G2063" s="548"/>
    </row>
    <row r="2064" spans="3:7">
      <c r="C2064" s="548"/>
      <c r="D2064" s="548"/>
      <c r="E2064" s="548"/>
      <c r="F2064" s="548"/>
      <c r="G2064" s="548"/>
    </row>
    <row r="2065" spans="3:7">
      <c r="C2065" s="548"/>
      <c r="D2065" s="548"/>
      <c r="E2065" s="548"/>
      <c r="F2065" s="548"/>
      <c r="G2065" s="548"/>
    </row>
    <row r="2066" spans="3:7">
      <c r="C2066" s="548"/>
      <c r="D2066" s="548"/>
      <c r="E2066" s="548"/>
      <c r="F2066" s="548"/>
      <c r="G2066" s="548"/>
    </row>
    <row r="2067" spans="3:7">
      <c r="C2067" s="548"/>
      <c r="D2067" s="548"/>
      <c r="E2067" s="548"/>
      <c r="F2067" s="548"/>
      <c r="G2067" s="548"/>
    </row>
    <row r="2068" spans="3:7">
      <c r="C2068" s="548"/>
      <c r="D2068" s="548"/>
      <c r="E2068" s="548"/>
      <c r="F2068" s="548"/>
      <c r="G2068" s="548"/>
    </row>
    <row r="2069" spans="3:7">
      <c r="C2069" s="548"/>
      <c r="D2069" s="548"/>
      <c r="E2069" s="548"/>
      <c r="F2069" s="548"/>
      <c r="G2069" s="548"/>
    </row>
    <row r="2070" spans="3:7">
      <c r="C2070" s="548"/>
      <c r="D2070" s="548"/>
      <c r="E2070" s="548"/>
      <c r="F2070" s="548"/>
      <c r="G2070" s="548"/>
    </row>
    <row r="2071" spans="3:7">
      <c r="C2071" s="548"/>
      <c r="D2071" s="548"/>
      <c r="E2071" s="548"/>
      <c r="F2071" s="548"/>
      <c r="G2071" s="548"/>
    </row>
    <row r="2072" spans="3:7">
      <c r="C2072" s="548"/>
      <c r="D2072" s="548"/>
      <c r="E2072" s="548"/>
      <c r="F2072" s="548"/>
      <c r="G2072" s="548"/>
    </row>
    <row r="2073" spans="3:7">
      <c r="C2073" s="548"/>
      <c r="D2073" s="548"/>
      <c r="E2073" s="548"/>
      <c r="F2073" s="548"/>
      <c r="G2073" s="548"/>
    </row>
    <row r="2074" spans="3:7">
      <c r="C2074" s="548"/>
      <c r="D2074" s="548"/>
      <c r="E2074" s="548"/>
      <c r="F2074" s="548"/>
      <c r="G2074" s="548"/>
    </row>
    <row r="2075" spans="3:7">
      <c r="C2075" s="548"/>
      <c r="D2075" s="548"/>
      <c r="E2075" s="548"/>
      <c r="F2075" s="548"/>
      <c r="G2075" s="548"/>
    </row>
    <row r="2076" spans="3:7">
      <c r="C2076" s="548"/>
      <c r="D2076" s="548"/>
      <c r="E2076" s="548"/>
      <c r="F2076" s="548"/>
      <c r="G2076" s="548"/>
    </row>
    <row r="2077" spans="3:7">
      <c r="C2077" s="548"/>
      <c r="D2077" s="548"/>
      <c r="E2077" s="548"/>
      <c r="F2077" s="548"/>
      <c r="G2077" s="548"/>
    </row>
    <row r="2078" spans="3:7">
      <c r="C2078" s="548"/>
      <c r="D2078" s="548"/>
      <c r="E2078" s="548"/>
      <c r="F2078" s="548"/>
      <c r="G2078" s="548"/>
    </row>
    <row r="2079" spans="3:7">
      <c r="C2079" s="548"/>
      <c r="D2079" s="548"/>
      <c r="E2079" s="548"/>
      <c r="F2079" s="548"/>
      <c r="G2079" s="548"/>
    </row>
    <row r="2080" spans="3:7">
      <c r="C2080" s="548"/>
      <c r="D2080" s="548"/>
      <c r="E2080" s="548"/>
      <c r="F2080" s="548"/>
      <c r="G2080" s="548"/>
    </row>
    <row r="2081" spans="3:7">
      <c r="C2081" s="548"/>
      <c r="D2081" s="548"/>
      <c r="E2081" s="548"/>
      <c r="F2081" s="548"/>
      <c r="G2081" s="548"/>
    </row>
    <row r="2082" spans="3:7">
      <c r="C2082" s="548"/>
      <c r="D2082" s="548"/>
      <c r="E2082" s="548"/>
      <c r="F2082" s="548"/>
      <c r="G2082" s="548"/>
    </row>
    <row r="2083" spans="3:7">
      <c r="C2083" s="548"/>
      <c r="D2083" s="548"/>
      <c r="E2083" s="548"/>
      <c r="F2083" s="548"/>
      <c r="G2083" s="548"/>
    </row>
    <row r="2084" spans="3:7">
      <c r="C2084" s="548"/>
      <c r="D2084" s="548"/>
      <c r="E2084" s="548"/>
      <c r="F2084" s="548"/>
      <c r="G2084" s="548"/>
    </row>
    <row r="2085" spans="3:7">
      <c r="C2085" s="548"/>
      <c r="D2085" s="548"/>
      <c r="E2085" s="548"/>
      <c r="F2085" s="548"/>
      <c r="G2085" s="548"/>
    </row>
    <row r="2086" spans="3:7">
      <c r="C2086" s="548"/>
      <c r="D2086" s="548"/>
      <c r="E2086" s="548"/>
      <c r="F2086" s="548"/>
      <c r="G2086" s="548"/>
    </row>
    <row r="2087" spans="3:7">
      <c r="C2087" s="548"/>
      <c r="D2087" s="548"/>
      <c r="E2087" s="548"/>
      <c r="F2087" s="548"/>
      <c r="G2087" s="548"/>
    </row>
    <row r="2088" spans="3:7">
      <c r="C2088" s="548"/>
      <c r="D2088" s="548"/>
      <c r="E2088" s="548"/>
      <c r="F2088" s="548"/>
      <c r="G2088" s="548"/>
    </row>
    <row r="2089" spans="3:7">
      <c r="C2089" s="548"/>
      <c r="D2089" s="548"/>
      <c r="E2089" s="548"/>
      <c r="F2089" s="548"/>
      <c r="G2089" s="548"/>
    </row>
    <row r="2090" spans="3:7">
      <c r="C2090" s="548"/>
      <c r="D2090" s="548"/>
      <c r="E2090" s="548"/>
      <c r="F2090" s="548"/>
      <c r="G2090" s="548"/>
    </row>
    <row r="2091" spans="3:7">
      <c r="C2091" s="548"/>
      <c r="D2091" s="548"/>
      <c r="E2091" s="548"/>
      <c r="F2091" s="548"/>
      <c r="G2091" s="548"/>
    </row>
    <row r="2092" spans="3:7">
      <c r="C2092" s="548"/>
      <c r="D2092" s="548"/>
      <c r="E2092" s="548"/>
      <c r="F2092" s="548"/>
      <c r="G2092" s="548"/>
    </row>
    <row r="2093" spans="3:7">
      <c r="C2093" s="548"/>
      <c r="D2093" s="548"/>
      <c r="E2093" s="548"/>
      <c r="F2093" s="548"/>
      <c r="G2093" s="548"/>
    </row>
    <row r="2094" spans="3:7">
      <c r="C2094" s="548"/>
      <c r="D2094" s="548"/>
      <c r="E2094" s="548"/>
      <c r="F2094" s="548"/>
      <c r="G2094" s="548"/>
    </row>
    <row r="2095" spans="3:7">
      <c r="C2095" s="548"/>
      <c r="D2095" s="548"/>
      <c r="E2095" s="548"/>
      <c r="F2095" s="548"/>
      <c r="G2095" s="548"/>
    </row>
    <row r="2096" spans="3:7">
      <c r="C2096" s="548"/>
      <c r="D2096" s="548"/>
      <c r="E2096" s="548"/>
      <c r="F2096" s="548"/>
      <c r="G2096" s="548"/>
    </row>
    <row r="2097" spans="3:7">
      <c r="C2097" s="548"/>
      <c r="D2097" s="548"/>
      <c r="E2097" s="548"/>
      <c r="F2097" s="548"/>
      <c r="G2097" s="548"/>
    </row>
    <row r="2098" spans="3:7">
      <c r="C2098" s="548"/>
      <c r="D2098" s="548"/>
      <c r="E2098" s="548"/>
      <c r="F2098" s="548"/>
      <c r="G2098" s="548"/>
    </row>
    <row r="2099" spans="3:7">
      <c r="C2099" s="548"/>
      <c r="D2099" s="548"/>
      <c r="E2099" s="548"/>
      <c r="F2099" s="548"/>
      <c r="G2099" s="548"/>
    </row>
    <row r="2100" spans="3:7">
      <c r="C2100" s="548"/>
      <c r="D2100" s="548"/>
      <c r="E2100" s="548"/>
      <c r="F2100" s="548"/>
      <c r="G2100" s="548"/>
    </row>
    <row r="2101" spans="3:7">
      <c r="C2101" s="548"/>
      <c r="D2101" s="548"/>
      <c r="E2101" s="548"/>
      <c r="F2101" s="548"/>
      <c r="G2101" s="548"/>
    </row>
    <row r="2102" spans="3:7">
      <c r="C2102" s="548"/>
      <c r="D2102" s="548"/>
      <c r="E2102" s="548"/>
      <c r="F2102" s="548"/>
      <c r="G2102" s="548"/>
    </row>
    <row r="2103" spans="3:7">
      <c r="C2103" s="548"/>
      <c r="D2103" s="548"/>
      <c r="E2103" s="548"/>
      <c r="F2103" s="548"/>
      <c r="G2103" s="548"/>
    </row>
    <row r="2104" spans="3:7">
      <c r="C2104" s="548"/>
      <c r="D2104" s="548"/>
      <c r="E2104" s="548"/>
      <c r="F2104" s="548"/>
      <c r="G2104" s="548"/>
    </row>
    <row r="2105" spans="3:7">
      <c r="C2105" s="548"/>
      <c r="D2105" s="548"/>
      <c r="E2105" s="548"/>
      <c r="F2105" s="548"/>
      <c r="G2105" s="548"/>
    </row>
    <row r="2106" spans="3:7">
      <c r="C2106" s="548"/>
      <c r="D2106" s="548"/>
      <c r="E2106" s="548"/>
      <c r="F2106" s="548"/>
      <c r="G2106" s="548"/>
    </row>
    <row r="2107" spans="3:7">
      <c r="C2107" s="548"/>
      <c r="D2107" s="548"/>
      <c r="E2107" s="548"/>
      <c r="F2107" s="548"/>
      <c r="G2107" s="548"/>
    </row>
    <row r="2108" spans="3:7">
      <c r="C2108" s="548"/>
      <c r="D2108" s="548"/>
      <c r="E2108" s="548"/>
      <c r="F2108" s="548"/>
      <c r="G2108" s="548"/>
    </row>
    <row r="2109" spans="3:7">
      <c r="C2109" s="548"/>
      <c r="D2109" s="548"/>
      <c r="E2109" s="548"/>
      <c r="F2109" s="548"/>
      <c r="G2109" s="548"/>
    </row>
    <row r="2110" spans="3:7">
      <c r="C2110" s="548"/>
      <c r="D2110" s="548"/>
      <c r="E2110" s="548"/>
      <c r="F2110" s="548"/>
      <c r="G2110" s="548"/>
    </row>
    <row r="2111" spans="3:7">
      <c r="C2111" s="548"/>
      <c r="D2111" s="548"/>
      <c r="E2111" s="548"/>
      <c r="F2111" s="548"/>
      <c r="G2111" s="548"/>
    </row>
    <row r="2112" spans="3:7">
      <c r="C2112" s="548"/>
      <c r="D2112" s="548"/>
      <c r="E2112" s="548"/>
      <c r="F2112" s="548"/>
      <c r="G2112" s="548"/>
    </row>
    <row r="2113" spans="3:7">
      <c r="C2113" s="548"/>
      <c r="D2113" s="548"/>
      <c r="E2113" s="548"/>
      <c r="F2113" s="548"/>
      <c r="G2113" s="548"/>
    </row>
    <row r="2114" spans="3:7">
      <c r="C2114" s="548"/>
      <c r="D2114" s="548"/>
      <c r="E2114" s="548"/>
      <c r="F2114" s="548"/>
      <c r="G2114" s="548"/>
    </row>
    <row r="2115" spans="3:7">
      <c r="C2115" s="548"/>
      <c r="D2115" s="548"/>
      <c r="E2115" s="548"/>
      <c r="F2115" s="548"/>
      <c r="G2115" s="548"/>
    </row>
    <row r="2116" spans="3:7">
      <c r="C2116" s="548"/>
      <c r="D2116" s="548"/>
      <c r="E2116" s="548"/>
      <c r="F2116" s="548"/>
      <c r="G2116" s="548"/>
    </row>
    <row r="2117" spans="3:7">
      <c r="C2117" s="548"/>
      <c r="D2117" s="548"/>
      <c r="E2117" s="548"/>
      <c r="F2117" s="548"/>
      <c r="G2117" s="548"/>
    </row>
    <row r="2118" spans="3:7">
      <c r="C2118" s="548"/>
      <c r="D2118" s="548"/>
      <c r="E2118" s="548"/>
      <c r="F2118" s="548"/>
      <c r="G2118" s="548"/>
    </row>
    <row r="2119" spans="3:7">
      <c r="C2119" s="548"/>
      <c r="D2119" s="548"/>
      <c r="E2119" s="548"/>
      <c r="F2119" s="548"/>
      <c r="G2119" s="548"/>
    </row>
    <row r="2120" spans="3:7">
      <c r="C2120" s="548"/>
      <c r="D2120" s="548"/>
      <c r="E2120" s="548"/>
      <c r="F2120" s="548"/>
      <c r="G2120" s="548"/>
    </row>
    <row r="2121" spans="3:7">
      <c r="C2121" s="548"/>
      <c r="D2121" s="548"/>
      <c r="E2121" s="548"/>
      <c r="F2121" s="548"/>
      <c r="G2121" s="548"/>
    </row>
    <row r="2122" spans="3:7">
      <c r="C2122" s="548"/>
      <c r="D2122" s="548"/>
      <c r="E2122" s="548"/>
      <c r="F2122" s="548"/>
      <c r="G2122" s="548"/>
    </row>
    <row r="2123" spans="3:7">
      <c r="C2123" s="548"/>
      <c r="D2123" s="548"/>
      <c r="E2123" s="548"/>
      <c r="F2123" s="548"/>
      <c r="G2123" s="548"/>
    </row>
    <row r="2124" spans="3:7">
      <c r="C2124" s="548"/>
      <c r="D2124" s="548"/>
      <c r="E2124" s="548"/>
      <c r="F2124" s="548"/>
      <c r="G2124" s="548"/>
    </row>
    <row r="2125" spans="3:7">
      <c r="C2125" s="548"/>
      <c r="D2125" s="548"/>
      <c r="E2125" s="548"/>
      <c r="F2125" s="548"/>
      <c r="G2125" s="548"/>
    </row>
    <row r="2126" spans="3:7">
      <c r="C2126" s="548"/>
      <c r="D2126" s="548"/>
      <c r="E2126" s="548"/>
      <c r="F2126" s="548"/>
      <c r="G2126" s="548"/>
    </row>
    <row r="2127" spans="3:7">
      <c r="C2127" s="548"/>
      <c r="D2127" s="548"/>
      <c r="E2127" s="548"/>
      <c r="F2127" s="548"/>
      <c r="G2127" s="548"/>
    </row>
    <row r="2128" spans="3:7">
      <c r="C2128" s="548"/>
      <c r="D2128" s="548"/>
      <c r="E2128" s="548"/>
      <c r="F2128" s="548"/>
      <c r="G2128" s="548"/>
    </row>
    <row r="2129" spans="3:7">
      <c r="C2129" s="548"/>
      <c r="D2129" s="548"/>
      <c r="E2129" s="548"/>
      <c r="F2129" s="548"/>
      <c r="G2129" s="548"/>
    </row>
    <row r="2130" spans="3:7">
      <c r="C2130" s="548"/>
      <c r="D2130" s="548"/>
      <c r="E2130" s="548"/>
      <c r="F2130" s="548"/>
      <c r="G2130" s="548"/>
    </row>
    <row r="2131" spans="3:7">
      <c r="C2131" s="548"/>
      <c r="D2131" s="548"/>
      <c r="E2131" s="548"/>
      <c r="F2131" s="548"/>
      <c r="G2131" s="548"/>
    </row>
    <row r="2132" spans="3:7">
      <c r="C2132" s="548"/>
      <c r="D2132" s="548"/>
      <c r="E2132" s="548"/>
      <c r="F2132" s="548"/>
      <c r="G2132" s="548"/>
    </row>
    <row r="2133" spans="3:7">
      <c r="C2133" s="548"/>
      <c r="D2133" s="548"/>
      <c r="E2133" s="548"/>
      <c r="F2133" s="548"/>
      <c r="G2133" s="548"/>
    </row>
    <row r="2134" spans="3:7">
      <c r="C2134" s="548"/>
      <c r="D2134" s="548"/>
      <c r="E2134" s="548"/>
      <c r="F2134" s="548"/>
      <c r="G2134" s="548"/>
    </row>
    <row r="2135" spans="3:7">
      <c r="C2135" s="548"/>
      <c r="D2135" s="548"/>
      <c r="E2135" s="548"/>
      <c r="F2135" s="548"/>
      <c r="G2135" s="548"/>
    </row>
    <row r="2136" spans="3:7">
      <c r="C2136" s="548"/>
      <c r="D2136" s="548"/>
      <c r="E2136" s="548"/>
      <c r="F2136" s="548"/>
      <c r="G2136" s="548"/>
    </row>
    <row r="2137" spans="3:7">
      <c r="C2137" s="548"/>
      <c r="D2137" s="548"/>
      <c r="E2137" s="548"/>
      <c r="F2137" s="548"/>
      <c r="G2137" s="548"/>
    </row>
    <row r="2138" spans="3:7">
      <c r="C2138" s="548"/>
      <c r="D2138" s="548"/>
      <c r="E2138" s="548"/>
      <c r="F2138" s="548"/>
      <c r="G2138" s="548"/>
    </row>
    <row r="2139" spans="3:7">
      <c r="C2139" s="548"/>
      <c r="D2139" s="548"/>
      <c r="E2139" s="548"/>
      <c r="F2139" s="548"/>
      <c r="G2139" s="548"/>
    </row>
    <row r="2140" spans="3:7">
      <c r="C2140" s="548"/>
      <c r="D2140" s="548"/>
      <c r="E2140" s="548"/>
      <c r="F2140" s="548"/>
      <c r="G2140" s="548"/>
    </row>
    <row r="2141" spans="3:7">
      <c r="C2141" s="548"/>
      <c r="D2141" s="548"/>
      <c r="E2141" s="548"/>
      <c r="F2141" s="548"/>
      <c r="G2141" s="548"/>
    </row>
    <row r="2142" spans="3:7">
      <c r="C2142" s="548"/>
      <c r="D2142" s="548"/>
      <c r="E2142" s="548"/>
      <c r="F2142" s="548"/>
      <c r="G2142" s="548"/>
    </row>
    <row r="2143" spans="3:7">
      <c r="C2143" s="548"/>
      <c r="D2143" s="548"/>
      <c r="E2143" s="548"/>
      <c r="F2143" s="548"/>
      <c r="G2143" s="548"/>
    </row>
    <row r="2144" spans="3:7">
      <c r="C2144" s="548"/>
      <c r="D2144" s="548"/>
      <c r="E2144" s="548"/>
      <c r="F2144" s="548"/>
      <c r="G2144" s="548"/>
    </row>
    <row r="2145" spans="3:7">
      <c r="C2145" s="548"/>
      <c r="D2145" s="548"/>
      <c r="E2145" s="548"/>
      <c r="F2145" s="548"/>
      <c r="G2145" s="548"/>
    </row>
    <row r="2146" spans="3:7">
      <c r="C2146" s="548"/>
      <c r="D2146" s="548"/>
      <c r="E2146" s="548"/>
      <c r="F2146" s="548"/>
      <c r="G2146" s="548"/>
    </row>
    <row r="2147" spans="3:7">
      <c r="C2147" s="548"/>
      <c r="D2147" s="548"/>
      <c r="E2147" s="548"/>
      <c r="F2147" s="548"/>
      <c r="G2147" s="548"/>
    </row>
    <row r="2148" spans="3:7">
      <c r="C2148" s="548"/>
      <c r="D2148" s="548"/>
      <c r="E2148" s="548"/>
      <c r="F2148" s="548"/>
      <c r="G2148" s="548"/>
    </row>
    <row r="2149" spans="3:7">
      <c r="C2149" s="548"/>
      <c r="D2149" s="548"/>
      <c r="E2149" s="548"/>
      <c r="F2149" s="548"/>
      <c r="G2149" s="548"/>
    </row>
    <row r="2150" spans="3:7">
      <c r="C2150" s="548"/>
      <c r="D2150" s="548"/>
      <c r="E2150" s="548"/>
      <c r="F2150" s="548"/>
      <c r="G2150" s="548"/>
    </row>
    <row r="2151" spans="3:7">
      <c r="C2151" s="548"/>
      <c r="D2151" s="548"/>
      <c r="E2151" s="548"/>
      <c r="F2151" s="548"/>
      <c r="G2151" s="548"/>
    </row>
    <row r="2152" spans="3:7">
      <c r="C2152" s="548"/>
      <c r="D2152" s="548"/>
      <c r="E2152" s="548"/>
      <c r="F2152" s="548"/>
      <c r="G2152" s="548"/>
    </row>
    <row r="2153" spans="3:7">
      <c r="C2153" s="548"/>
      <c r="D2153" s="548"/>
      <c r="E2153" s="548"/>
      <c r="F2153" s="548"/>
      <c r="G2153" s="548"/>
    </row>
    <row r="2154" spans="3:7">
      <c r="C2154" s="548"/>
      <c r="D2154" s="548"/>
      <c r="E2154" s="548"/>
      <c r="F2154" s="548"/>
      <c r="G2154" s="548"/>
    </row>
    <row r="2155" spans="3:7">
      <c r="C2155" s="548"/>
      <c r="D2155" s="548"/>
      <c r="E2155" s="548"/>
      <c r="F2155" s="548"/>
      <c r="G2155" s="548"/>
    </row>
    <row r="2156" spans="3:7">
      <c r="C2156" s="548"/>
      <c r="D2156" s="548"/>
      <c r="E2156" s="548"/>
      <c r="F2156" s="548"/>
      <c r="G2156" s="548"/>
    </row>
    <row r="2157" spans="3:7">
      <c r="C2157" s="548"/>
      <c r="D2157" s="548"/>
      <c r="E2157" s="548"/>
      <c r="F2157" s="548"/>
      <c r="G2157" s="548"/>
    </row>
    <row r="2158" spans="3:7">
      <c r="C2158" s="548"/>
      <c r="D2158" s="548"/>
      <c r="E2158" s="548"/>
      <c r="F2158" s="548"/>
      <c r="G2158" s="548"/>
    </row>
    <row r="2159" spans="3:7">
      <c r="C2159" s="548"/>
      <c r="D2159" s="548"/>
      <c r="E2159" s="548"/>
      <c r="F2159" s="548"/>
      <c r="G2159" s="548"/>
    </row>
    <row r="2160" spans="3:7">
      <c r="C2160" s="548"/>
      <c r="D2160" s="548"/>
      <c r="E2160" s="548"/>
      <c r="F2160" s="548"/>
      <c r="G2160" s="548"/>
    </row>
    <row r="2161" spans="3:7">
      <c r="C2161" s="548"/>
      <c r="D2161" s="548"/>
      <c r="E2161" s="548"/>
      <c r="F2161" s="548"/>
      <c r="G2161" s="548"/>
    </row>
    <row r="2162" spans="3:7">
      <c r="C2162" s="548"/>
      <c r="D2162" s="548"/>
      <c r="E2162" s="548"/>
      <c r="F2162" s="548"/>
      <c r="G2162" s="548"/>
    </row>
    <row r="2163" spans="3:7">
      <c r="C2163" s="548"/>
      <c r="D2163" s="548"/>
      <c r="E2163" s="548"/>
      <c r="F2163" s="548"/>
      <c r="G2163" s="548"/>
    </row>
    <row r="2164" spans="3:7">
      <c r="C2164" s="548"/>
      <c r="D2164" s="548"/>
      <c r="E2164" s="548"/>
      <c r="F2164" s="548"/>
      <c r="G2164" s="548"/>
    </row>
    <row r="2165" spans="3:7">
      <c r="C2165" s="548"/>
      <c r="D2165" s="548"/>
      <c r="E2165" s="548"/>
      <c r="F2165" s="548"/>
      <c r="G2165" s="548"/>
    </row>
    <row r="2166" spans="3:7">
      <c r="C2166" s="548"/>
      <c r="D2166" s="548"/>
      <c r="E2166" s="548"/>
      <c r="F2166" s="548"/>
      <c r="G2166" s="548"/>
    </row>
    <row r="2167" spans="3:7">
      <c r="C2167" s="548"/>
      <c r="D2167" s="548"/>
      <c r="E2167" s="548"/>
      <c r="F2167" s="548"/>
      <c r="G2167" s="548"/>
    </row>
    <row r="2168" spans="3:7">
      <c r="C2168" s="548"/>
      <c r="D2168" s="548"/>
      <c r="E2168" s="548"/>
      <c r="F2168" s="548"/>
      <c r="G2168" s="548"/>
    </row>
    <row r="2169" spans="3:7">
      <c r="C2169" s="548"/>
      <c r="D2169" s="548"/>
      <c r="E2169" s="548"/>
      <c r="F2169" s="548"/>
      <c r="G2169" s="548"/>
    </row>
    <row r="2170" spans="3:7">
      <c r="C2170" s="548"/>
      <c r="D2170" s="548"/>
      <c r="E2170" s="548"/>
      <c r="F2170" s="548"/>
      <c r="G2170" s="548"/>
    </row>
    <row r="2171" spans="3:7">
      <c r="C2171" s="548"/>
      <c r="D2171" s="548"/>
      <c r="E2171" s="548"/>
      <c r="F2171" s="548"/>
      <c r="G2171" s="548"/>
    </row>
    <row r="2172" spans="3:7">
      <c r="C2172" s="548"/>
      <c r="D2172" s="548"/>
      <c r="E2172" s="548"/>
      <c r="F2172" s="548"/>
      <c r="G2172" s="548"/>
    </row>
    <row r="2173" spans="3:7">
      <c r="C2173" s="548"/>
      <c r="D2173" s="548"/>
      <c r="E2173" s="548"/>
      <c r="F2173" s="548"/>
      <c r="G2173" s="548"/>
    </row>
    <row r="2174" spans="3:7">
      <c r="C2174" s="548"/>
      <c r="D2174" s="548"/>
      <c r="E2174" s="548"/>
      <c r="F2174" s="548"/>
      <c r="G2174" s="548"/>
    </row>
    <row r="2175" spans="3:7">
      <c r="C2175" s="548"/>
      <c r="D2175" s="548"/>
      <c r="E2175" s="548"/>
      <c r="F2175" s="548"/>
      <c r="G2175" s="548"/>
    </row>
    <row r="2176" spans="3:7">
      <c r="C2176" s="548"/>
      <c r="D2176" s="548"/>
      <c r="E2176" s="548"/>
      <c r="F2176" s="548"/>
      <c r="G2176" s="548"/>
    </row>
    <row r="2177" spans="3:7">
      <c r="C2177" s="548"/>
      <c r="D2177" s="548"/>
      <c r="E2177" s="548"/>
      <c r="F2177" s="548"/>
      <c r="G2177" s="548"/>
    </row>
    <row r="2178" spans="3:7">
      <c r="C2178" s="548"/>
      <c r="D2178" s="548"/>
      <c r="E2178" s="548"/>
      <c r="F2178" s="548"/>
      <c r="G2178" s="548"/>
    </row>
    <row r="2179" spans="3:7">
      <c r="C2179" s="548"/>
      <c r="D2179" s="548"/>
      <c r="E2179" s="548"/>
      <c r="F2179" s="548"/>
      <c r="G2179" s="548"/>
    </row>
    <row r="2180" spans="3:7">
      <c r="C2180" s="548"/>
      <c r="D2180" s="548"/>
      <c r="E2180" s="548"/>
      <c r="F2180" s="548"/>
      <c r="G2180" s="548"/>
    </row>
    <row r="2181" spans="3:7">
      <c r="C2181" s="548"/>
      <c r="D2181" s="548"/>
      <c r="E2181" s="548"/>
      <c r="F2181" s="548"/>
      <c r="G2181" s="548"/>
    </row>
    <row r="2182" spans="3:7">
      <c r="C2182" s="548"/>
      <c r="D2182" s="548"/>
      <c r="E2182" s="548"/>
      <c r="F2182" s="548"/>
      <c r="G2182" s="548"/>
    </row>
    <row r="2183" spans="3:7">
      <c r="C2183" s="548"/>
      <c r="D2183" s="548"/>
      <c r="E2183" s="548"/>
      <c r="F2183" s="548"/>
      <c r="G2183" s="548"/>
    </row>
    <row r="2184" spans="3:7">
      <c r="C2184" s="548"/>
      <c r="D2184" s="548"/>
      <c r="E2184" s="548"/>
      <c r="F2184" s="548"/>
      <c r="G2184" s="548"/>
    </row>
    <row r="2185" spans="3:7">
      <c r="C2185" s="548"/>
      <c r="D2185" s="548"/>
      <c r="E2185" s="548"/>
      <c r="F2185" s="548"/>
      <c r="G2185" s="548"/>
    </row>
    <row r="2186" spans="3:7">
      <c r="C2186" s="548"/>
      <c r="D2186" s="548"/>
      <c r="E2186" s="548"/>
      <c r="F2186" s="548"/>
      <c r="G2186" s="548"/>
    </row>
    <row r="2187" spans="3:7">
      <c r="C2187" s="548"/>
      <c r="D2187" s="548"/>
      <c r="E2187" s="548"/>
      <c r="F2187" s="548"/>
      <c r="G2187" s="548"/>
    </row>
    <row r="2188" spans="3:7">
      <c r="C2188" s="548"/>
      <c r="D2188" s="548"/>
      <c r="E2188" s="548"/>
      <c r="F2188" s="548"/>
      <c r="G2188" s="548"/>
    </row>
    <row r="2189" spans="3:7">
      <c r="C2189" s="548"/>
      <c r="D2189" s="548"/>
      <c r="E2189" s="548"/>
      <c r="F2189" s="548"/>
      <c r="G2189" s="548"/>
    </row>
    <row r="2190" spans="3:7">
      <c r="C2190" s="548"/>
      <c r="D2190" s="548"/>
      <c r="E2190" s="548"/>
      <c r="F2190" s="548"/>
      <c r="G2190" s="548"/>
    </row>
    <row r="2191" spans="3:7">
      <c r="C2191" s="548"/>
      <c r="D2191" s="548"/>
      <c r="E2191" s="548"/>
      <c r="F2191" s="548"/>
      <c r="G2191" s="548"/>
    </row>
    <row r="2192" spans="3:7">
      <c r="C2192" s="548"/>
      <c r="D2192" s="548"/>
      <c r="E2192" s="548"/>
      <c r="F2192" s="548"/>
      <c r="G2192" s="548"/>
    </row>
    <row r="2193" spans="3:7">
      <c r="C2193" s="548"/>
      <c r="D2193" s="548"/>
      <c r="E2193" s="548"/>
      <c r="F2193" s="548"/>
      <c r="G2193" s="548"/>
    </row>
    <row r="2194" spans="3:7">
      <c r="C2194" s="548"/>
      <c r="D2194" s="548"/>
      <c r="E2194" s="548"/>
      <c r="F2194" s="548"/>
      <c r="G2194" s="548"/>
    </row>
    <row r="2195" spans="3:7">
      <c r="C2195" s="548"/>
      <c r="D2195" s="548"/>
      <c r="E2195" s="548"/>
      <c r="F2195" s="548"/>
      <c r="G2195" s="548"/>
    </row>
    <row r="2196" spans="3:7">
      <c r="C2196" s="548"/>
      <c r="D2196" s="548"/>
      <c r="E2196" s="548"/>
      <c r="F2196" s="548"/>
      <c r="G2196" s="548"/>
    </row>
    <row r="2197" spans="3:7">
      <c r="C2197" s="548"/>
      <c r="D2197" s="548"/>
      <c r="E2197" s="548"/>
      <c r="F2197" s="548"/>
      <c r="G2197" s="548"/>
    </row>
    <row r="2198" spans="3:7">
      <c r="C2198" s="548"/>
      <c r="D2198" s="548"/>
      <c r="E2198" s="548"/>
      <c r="F2198" s="548"/>
      <c r="G2198" s="548"/>
    </row>
    <row r="2199" spans="3:7">
      <c r="C2199" s="548"/>
      <c r="D2199" s="548"/>
      <c r="E2199" s="548"/>
      <c r="F2199" s="548"/>
      <c r="G2199" s="548"/>
    </row>
    <row r="2200" spans="3:7">
      <c r="C2200" s="548"/>
      <c r="D2200" s="548"/>
      <c r="E2200" s="548"/>
      <c r="F2200" s="548"/>
      <c r="G2200" s="548"/>
    </row>
    <row r="2201" spans="3:7">
      <c r="C2201" s="548"/>
      <c r="D2201" s="548"/>
      <c r="E2201" s="548"/>
      <c r="F2201" s="548"/>
      <c r="G2201" s="548"/>
    </row>
    <row r="2202" spans="3:7">
      <c r="C2202" s="548"/>
      <c r="D2202" s="548"/>
      <c r="E2202" s="548"/>
      <c r="F2202" s="548"/>
      <c r="G2202" s="548"/>
    </row>
    <row r="2203" spans="3:7">
      <c r="C2203" s="548"/>
      <c r="D2203" s="548"/>
      <c r="E2203" s="548"/>
      <c r="F2203" s="548"/>
      <c r="G2203" s="548"/>
    </row>
    <row r="2204" spans="3:7">
      <c r="C2204" s="548"/>
      <c r="D2204" s="548"/>
      <c r="E2204" s="548"/>
      <c r="F2204" s="548"/>
      <c r="G2204" s="548"/>
    </row>
    <row r="2205" spans="3:7">
      <c r="C2205" s="548"/>
      <c r="D2205" s="548"/>
      <c r="E2205" s="548"/>
      <c r="F2205" s="548"/>
      <c r="G2205" s="548"/>
    </row>
    <row r="2206" spans="3:7">
      <c r="C2206" s="548"/>
      <c r="D2206" s="548"/>
      <c r="E2206" s="548"/>
      <c r="F2206" s="548"/>
      <c r="G2206" s="548"/>
    </row>
    <row r="2207" spans="3:7">
      <c r="C2207" s="548"/>
      <c r="D2207" s="548"/>
      <c r="E2207" s="548"/>
      <c r="F2207" s="548"/>
      <c r="G2207" s="548"/>
    </row>
    <row r="2208" spans="3:7">
      <c r="C2208" s="548"/>
      <c r="D2208" s="548"/>
      <c r="E2208" s="548"/>
      <c r="F2208" s="548"/>
      <c r="G2208" s="548"/>
    </row>
    <row r="2209" spans="3:7">
      <c r="C2209" s="548"/>
      <c r="D2209" s="548"/>
      <c r="E2209" s="548"/>
      <c r="F2209" s="548"/>
      <c r="G2209" s="548"/>
    </row>
    <row r="2210" spans="3:7">
      <c r="C2210" s="548"/>
      <c r="D2210" s="548"/>
      <c r="E2210" s="548"/>
      <c r="F2210" s="548"/>
      <c r="G2210" s="548"/>
    </row>
    <row r="2211" spans="3:7">
      <c r="C2211" s="548"/>
      <c r="D2211" s="548"/>
      <c r="E2211" s="548"/>
      <c r="F2211" s="548"/>
      <c r="G2211" s="548"/>
    </row>
    <row r="2212" spans="3:7">
      <c r="C2212" s="548"/>
      <c r="D2212" s="548"/>
      <c r="E2212" s="548"/>
      <c r="F2212" s="548"/>
      <c r="G2212" s="548"/>
    </row>
    <row r="2213" spans="3:7">
      <c r="C2213" s="548"/>
      <c r="D2213" s="548"/>
      <c r="E2213" s="548"/>
      <c r="F2213" s="548"/>
      <c r="G2213" s="548"/>
    </row>
    <row r="2214" spans="3:7">
      <c r="C2214" s="548"/>
      <c r="D2214" s="548"/>
      <c r="E2214" s="548"/>
      <c r="F2214" s="548"/>
      <c r="G2214" s="548"/>
    </row>
    <row r="2215" spans="3:7">
      <c r="C2215" s="548"/>
      <c r="D2215" s="548"/>
      <c r="E2215" s="548"/>
      <c r="F2215" s="548"/>
      <c r="G2215" s="548"/>
    </row>
    <row r="2216" spans="3:7">
      <c r="C2216" s="548"/>
      <c r="D2216" s="548"/>
      <c r="E2216" s="548"/>
      <c r="F2216" s="548"/>
      <c r="G2216" s="548"/>
    </row>
    <row r="2217" spans="3:7">
      <c r="C2217" s="548"/>
      <c r="D2217" s="548"/>
      <c r="E2217" s="548"/>
      <c r="F2217" s="548"/>
      <c r="G2217" s="548"/>
    </row>
    <row r="2218" spans="3:7">
      <c r="C2218" s="548"/>
      <c r="D2218" s="548"/>
      <c r="E2218" s="548"/>
      <c r="F2218" s="548"/>
      <c r="G2218" s="548"/>
    </row>
    <row r="2219" spans="3:7">
      <c r="C2219" s="548"/>
      <c r="D2219" s="548"/>
      <c r="E2219" s="548"/>
      <c r="F2219" s="548"/>
      <c r="G2219" s="548"/>
    </row>
    <row r="2220" spans="3:7">
      <c r="C2220" s="548"/>
      <c r="D2220" s="548"/>
      <c r="E2220" s="548"/>
      <c r="F2220" s="548"/>
      <c r="G2220" s="548"/>
    </row>
    <row r="2221" spans="3:7">
      <c r="C2221" s="548"/>
      <c r="D2221" s="548"/>
      <c r="E2221" s="548"/>
      <c r="F2221" s="548"/>
      <c r="G2221" s="548"/>
    </row>
    <row r="2222" spans="3:7">
      <c r="C2222" s="548"/>
      <c r="D2222" s="548"/>
      <c r="E2222" s="548"/>
      <c r="F2222" s="548"/>
      <c r="G2222" s="548"/>
    </row>
    <row r="2223" spans="3:7">
      <c r="C2223" s="548"/>
      <c r="D2223" s="548"/>
      <c r="E2223" s="548"/>
      <c r="F2223" s="548"/>
      <c r="G2223" s="548"/>
    </row>
    <row r="2224" spans="3:7">
      <c r="C2224" s="548"/>
      <c r="D2224" s="548"/>
      <c r="E2224" s="548"/>
      <c r="F2224" s="548"/>
      <c r="G2224" s="548"/>
    </row>
    <row r="2225" spans="3:7">
      <c r="C2225" s="548"/>
      <c r="D2225" s="548"/>
      <c r="E2225" s="548"/>
      <c r="F2225" s="548"/>
      <c r="G2225" s="548"/>
    </row>
    <row r="2226" spans="3:7">
      <c r="C2226" s="548"/>
      <c r="D2226" s="548"/>
      <c r="E2226" s="548"/>
      <c r="F2226" s="548"/>
      <c r="G2226" s="548"/>
    </row>
    <row r="2227" spans="3:7">
      <c r="C2227" s="548"/>
      <c r="D2227" s="548"/>
      <c r="E2227" s="548"/>
      <c r="F2227" s="548"/>
      <c r="G2227" s="548"/>
    </row>
    <row r="2228" spans="3:7">
      <c r="C2228" s="548"/>
      <c r="D2228" s="548"/>
      <c r="E2228" s="548"/>
      <c r="F2228" s="548"/>
      <c r="G2228" s="548"/>
    </row>
    <row r="2229" spans="3:7">
      <c r="C2229" s="548"/>
      <c r="D2229" s="548"/>
      <c r="E2229" s="548"/>
      <c r="F2229" s="548"/>
      <c r="G2229" s="548"/>
    </row>
    <row r="2230" spans="3:7">
      <c r="C2230" s="548"/>
      <c r="D2230" s="548"/>
      <c r="E2230" s="548"/>
      <c r="F2230" s="548"/>
      <c r="G2230" s="548"/>
    </row>
    <row r="2231" spans="3:7">
      <c r="C2231" s="548"/>
      <c r="D2231" s="548"/>
      <c r="E2231" s="548"/>
      <c r="F2231" s="548"/>
      <c r="G2231" s="548"/>
    </row>
    <row r="2232" spans="3:7">
      <c r="C2232" s="548"/>
      <c r="D2232" s="548"/>
      <c r="E2232" s="548"/>
      <c r="F2232" s="548"/>
      <c r="G2232" s="548"/>
    </row>
    <row r="2233" spans="3:7">
      <c r="C2233" s="548"/>
      <c r="D2233" s="548"/>
      <c r="E2233" s="548"/>
      <c r="F2233" s="548"/>
      <c r="G2233" s="548"/>
    </row>
    <row r="2234" spans="3:7">
      <c r="C2234" s="548"/>
      <c r="D2234" s="548"/>
      <c r="E2234" s="548"/>
      <c r="F2234" s="548"/>
      <c r="G2234" s="548"/>
    </row>
    <row r="2235" spans="3:7">
      <c r="C2235" s="548"/>
      <c r="D2235" s="548"/>
      <c r="E2235" s="548"/>
      <c r="F2235" s="548"/>
      <c r="G2235" s="548"/>
    </row>
    <row r="2236" spans="3:7">
      <c r="C2236" s="548"/>
      <c r="D2236" s="548"/>
      <c r="E2236" s="548"/>
      <c r="F2236" s="548"/>
      <c r="G2236" s="548"/>
    </row>
    <row r="2237" spans="3:7">
      <c r="C2237" s="548"/>
      <c r="D2237" s="548"/>
      <c r="E2237" s="548"/>
      <c r="F2237" s="548"/>
      <c r="G2237" s="548"/>
    </row>
    <row r="2238" spans="3:7">
      <c r="C2238" s="548"/>
      <c r="D2238" s="548"/>
      <c r="E2238" s="548"/>
      <c r="F2238" s="548"/>
      <c r="G2238" s="548"/>
    </row>
    <row r="2239" spans="3:7">
      <c r="C2239" s="548"/>
      <c r="D2239" s="548"/>
      <c r="E2239" s="548"/>
      <c r="F2239" s="548"/>
      <c r="G2239" s="548"/>
    </row>
    <row r="2240" spans="3:7">
      <c r="C2240" s="548"/>
      <c r="D2240" s="548"/>
      <c r="E2240" s="548"/>
      <c r="F2240" s="548"/>
      <c r="G2240" s="548"/>
    </row>
    <row r="2241" spans="3:7">
      <c r="C2241" s="548"/>
      <c r="D2241" s="548"/>
      <c r="E2241" s="548"/>
      <c r="F2241" s="548"/>
      <c r="G2241" s="548"/>
    </row>
    <row r="2242" spans="3:7">
      <c r="C2242" s="548"/>
      <c r="D2242" s="548"/>
      <c r="E2242" s="548"/>
      <c r="F2242" s="548"/>
      <c r="G2242" s="548"/>
    </row>
    <row r="2243" spans="3:7">
      <c r="C2243" s="548"/>
      <c r="D2243" s="548"/>
      <c r="E2243" s="548"/>
      <c r="F2243" s="548"/>
      <c r="G2243" s="548"/>
    </row>
    <row r="2244" spans="3:7">
      <c r="C2244" s="548"/>
      <c r="D2244" s="548"/>
      <c r="E2244" s="548"/>
      <c r="F2244" s="548"/>
      <c r="G2244" s="548"/>
    </row>
    <row r="2245" spans="3:7">
      <c r="C2245" s="548"/>
      <c r="D2245" s="548"/>
      <c r="E2245" s="548"/>
      <c r="F2245" s="548"/>
      <c r="G2245" s="548"/>
    </row>
    <row r="2246" spans="3:7">
      <c r="C2246" s="548"/>
      <c r="D2246" s="548"/>
      <c r="E2246" s="548"/>
      <c r="F2246" s="548"/>
      <c r="G2246" s="548"/>
    </row>
    <row r="2247" spans="3:7">
      <c r="C2247" s="548"/>
      <c r="D2247" s="548"/>
      <c r="E2247" s="548"/>
      <c r="F2247" s="548"/>
      <c r="G2247" s="548"/>
    </row>
    <row r="2248" spans="3:7">
      <c r="C2248" s="548"/>
      <c r="D2248" s="548"/>
      <c r="E2248" s="548"/>
      <c r="F2248" s="548"/>
      <c r="G2248" s="548"/>
    </row>
    <row r="2249" spans="3:7">
      <c r="C2249" s="548"/>
      <c r="D2249" s="548"/>
      <c r="E2249" s="548"/>
      <c r="F2249" s="548"/>
      <c r="G2249" s="548"/>
    </row>
    <row r="2250" spans="3:7">
      <c r="C2250" s="548"/>
      <c r="D2250" s="548"/>
      <c r="E2250" s="548"/>
      <c r="F2250" s="548"/>
      <c r="G2250" s="548"/>
    </row>
    <row r="2251" spans="3:7">
      <c r="C2251" s="548"/>
      <c r="D2251" s="548"/>
      <c r="E2251" s="548"/>
      <c r="F2251" s="548"/>
      <c r="G2251" s="548"/>
    </row>
    <row r="2252" spans="3:7">
      <c r="C2252" s="548"/>
      <c r="D2252" s="548"/>
      <c r="E2252" s="548"/>
      <c r="F2252" s="548"/>
      <c r="G2252" s="548"/>
    </row>
    <row r="2253" spans="3:7">
      <c r="C2253" s="548"/>
      <c r="D2253" s="548"/>
      <c r="E2253" s="548"/>
      <c r="F2253" s="548"/>
      <c r="G2253" s="548"/>
    </row>
    <row r="2254" spans="3:7">
      <c r="C2254" s="548"/>
      <c r="D2254" s="548"/>
      <c r="E2254" s="548"/>
      <c r="F2254" s="548"/>
      <c r="G2254" s="548"/>
    </row>
    <row r="2255" spans="3:7">
      <c r="C2255" s="548"/>
      <c r="D2255" s="548"/>
      <c r="E2255" s="548"/>
      <c r="F2255" s="548"/>
      <c r="G2255" s="548"/>
    </row>
    <row r="2256" spans="3:7">
      <c r="C2256" s="548"/>
      <c r="D2256" s="548"/>
      <c r="E2256" s="548"/>
      <c r="F2256" s="548"/>
      <c r="G2256" s="548"/>
    </row>
    <row r="2257" spans="3:7">
      <c r="C2257" s="548"/>
      <c r="D2257" s="548"/>
      <c r="E2257" s="548"/>
      <c r="F2257" s="548"/>
      <c r="G2257" s="548"/>
    </row>
    <row r="2258" spans="3:7">
      <c r="C2258" s="548"/>
      <c r="D2258" s="548"/>
      <c r="E2258" s="548"/>
      <c r="F2258" s="548"/>
      <c r="G2258" s="548"/>
    </row>
    <row r="2259" spans="3:7">
      <c r="C2259" s="548"/>
      <c r="D2259" s="548"/>
      <c r="E2259" s="548"/>
      <c r="F2259" s="548"/>
      <c r="G2259" s="548"/>
    </row>
    <row r="2260" spans="3:7">
      <c r="C2260" s="548"/>
      <c r="D2260" s="548"/>
      <c r="E2260" s="548"/>
      <c r="F2260" s="548"/>
      <c r="G2260" s="548"/>
    </row>
    <row r="2261" spans="3:7">
      <c r="C2261" s="548"/>
      <c r="D2261" s="548"/>
      <c r="E2261" s="548"/>
      <c r="F2261" s="548"/>
      <c r="G2261" s="548"/>
    </row>
    <row r="2262" spans="3:7">
      <c r="C2262" s="548"/>
      <c r="D2262" s="548"/>
      <c r="E2262" s="548"/>
      <c r="F2262" s="548"/>
      <c r="G2262" s="548"/>
    </row>
    <row r="2263" spans="3:7">
      <c r="C2263" s="548"/>
      <c r="D2263" s="548"/>
      <c r="E2263" s="548"/>
      <c r="F2263" s="548"/>
      <c r="G2263" s="548"/>
    </row>
    <row r="2264" spans="3:7">
      <c r="C2264" s="548"/>
      <c r="D2264" s="548"/>
      <c r="E2264" s="548"/>
      <c r="F2264" s="548"/>
      <c r="G2264" s="548"/>
    </row>
    <row r="2265" spans="3:7">
      <c r="C2265" s="548"/>
      <c r="D2265" s="548"/>
      <c r="E2265" s="548"/>
      <c r="F2265" s="548"/>
      <c r="G2265" s="548"/>
    </row>
    <row r="2266" spans="3:7">
      <c r="C2266" s="548"/>
      <c r="D2266" s="548"/>
      <c r="E2266" s="548"/>
      <c r="F2266" s="548"/>
      <c r="G2266" s="548"/>
    </row>
    <row r="2267" spans="3:7">
      <c r="C2267" s="548"/>
      <c r="D2267" s="548"/>
      <c r="E2267" s="548"/>
      <c r="F2267" s="548"/>
      <c r="G2267" s="548"/>
    </row>
    <row r="2268" spans="3:7">
      <c r="C2268" s="548"/>
      <c r="D2268" s="548"/>
      <c r="E2268" s="548"/>
      <c r="F2268" s="548"/>
      <c r="G2268" s="548"/>
    </row>
    <row r="2269" spans="3:7">
      <c r="C2269" s="548"/>
      <c r="D2269" s="548"/>
      <c r="E2269" s="548"/>
      <c r="F2269" s="548"/>
      <c r="G2269" s="548"/>
    </row>
    <row r="2270" spans="3:7">
      <c r="C2270" s="548"/>
      <c r="D2270" s="548"/>
      <c r="E2270" s="548"/>
      <c r="F2270" s="548"/>
      <c r="G2270" s="548"/>
    </row>
    <row r="2271" spans="3:7">
      <c r="C2271" s="548"/>
      <c r="D2271" s="548"/>
      <c r="E2271" s="548"/>
      <c r="F2271" s="548"/>
      <c r="G2271" s="548"/>
    </row>
    <row r="2272" spans="3:7">
      <c r="C2272" s="548"/>
      <c r="D2272" s="548"/>
      <c r="E2272" s="548"/>
      <c r="F2272" s="548"/>
      <c r="G2272" s="548"/>
    </row>
    <row r="2273" spans="3:7">
      <c r="C2273" s="548"/>
      <c r="D2273" s="548"/>
      <c r="E2273" s="548"/>
      <c r="F2273" s="548"/>
      <c r="G2273" s="548"/>
    </row>
    <row r="2274" spans="3:7">
      <c r="C2274" s="548"/>
      <c r="D2274" s="548"/>
      <c r="E2274" s="548"/>
      <c r="F2274" s="548"/>
      <c r="G2274" s="548"/>
    </row>
    <row r="2275" spans="3:7">
      <c r="C2275" s="548"/>
      <c r="D2275" s="548"/>
      <c r="E2275" s="548"/>
      <c r="F2275" s="548"/>
      <c r="G2275" s="548"/>
    </row>
    <row r="2276" spans="3:7">
      <c r="C2276" s="548"/>
      <c r="D2276" s="548"/>
      <c r="E2276" s="548"/>
      <c r="F2276" s="548"/>
      <c r="G2276" s="548"/>
    </row>
    <row r="2277" spans="3:7">
      <c r="C2277" s="548"/>
      <c r="D2277" s="548"/>
      <c r="E2277" s="548"/>
      <c r="F2277" s="548"/>
      <c r="G2277" s="548"/>
    </row>
    <row r="2278" spans="3:7">
      <c r="C2278" s="548"/>
      <c r="D2278" s="548"/>
      <c r="E2278" s="548"/>
      <c r="F2278" s="548"/>
      <c r="G2278" s="548"/>
    </row>
    <row r="2279" spans="3:7">
      <c r="C2279" s="548"/>
      <c r="D2279" s="548"/>
      <c r="E2279" s="548"/>
      <c r="F2279" s="548"/>
      <c r="G2279" s="548"/>
    </row>
    <row r="2280" spans="3:7">
      <c r="C2280" s="548"/>
      <c r="D2280" s="548"/>
      <c r="E2280" s="548"/>
      <c r="F2280" s="548"/>
      <c r="G2280" s="548"/>
    </row>
    <row r="2281" spans="3:7">
      <c r="C2281" s="548"/>
      <c r="D2281" s="548"/>
      <c r="E2281" s="548"/>
      <c r="F2281" s="548"/>
      <c r="G2281" s="548"/>
    </row>
    <row r="2282" spans="3:7">
      <c r="C2282" s="548"/>
      <c r="D2282" s="548"/>
      <c r="E2282" s="548"/>
      <c r="F2282" s="548"/>
      <c r="G2282" s="548"/>
    </row>
    <row r="2283" spans="3:7">
      <c r="C2283" s="548"/>
      <c r="D2283" s="548"/>
      <c r="E2283" s="548"/>
      <c r="F2283" s="548"/>
      <c r="G2283" s="548"/>
    </row>
    <row r="2284" spans="3:7">
      <c r="C2284" s="548"/>
      <c r="D2284" s="548"/>
      <c r="E2284" s="548"/>
      <c r="F2284" s="548"/>
      <c r="G2284" s="548"/>
    </row>
    <row r="2285" spans="3:7">
      <c r="C2285" s="548"/>
      <c r="D2285" s="548"/>
      <c r="E2285" s="548"/>
      <c r="F2285" s="548"/>
      <c r="G2285" s="548"/>
    </row>
    <row r="2286" spans="3:7">
      <c r="C2286" s="548"/>
      <c r="D2286" s="548"/>
      <c r="E2286" s="548"/>
      <c r="F2286" s="548"/>
      <c r="G2286" s="548"/>
    </row>
    <row r="2287" spans="3:7">
      <c r="C2287" s="548"/>
      <c r="D2287" s="548"/>
      <c r="E2287" s="548"/>
      <c r="F2287" s="548"/>
      <c r="G2287" s="548"/>
    </row>
    <row r="2288" spans="3:7">
      <c r="C2288" s="548"/>
      <c r="D2288" s="548"/>
      <c r="E2288" s="548"/>
      <c r="F2288" s="548"/>
      <c r="G2288" s="548"/>
    </row>
    <row r="2289" spans="3:7">
      <c r="C2289" s="548"/>
      <c r="D2289" s="548"/>
      <c r="E2289" s="548"/>
      <c r="F2289" s="548"/>
      <c r="G2289" s="548"/>
    </row>
    <row r="2290" spans="3:7">
      <c r="C2290" s="548"/>
      <c r="D2290" s="548"/>
      <c r="E2290" s="548"/>
      <c r="F2290" s="548"/>
      <c r="G2290" s="548"/>
    </row>
    <row r="2291" spans="3:7">
      <c r="C2291" s="548"/>
      <c r="D2291" s="548"/>
      <c r="E2291" s="548"/>
      <c r="F2291" s="548"/>
      <c r="G2291" s="548"/>
    </row>
    <row r="2292" spans="3:7">
      <c r="C2292" s="548"/>
      <c r="D2292" s="548"/>
      <c r="E2292" s="548"/>
      <c r="F2292" s="548"/>
      <c r="G2292" s="548"/>
    </row>
    <row r="2293" spans="3:7">
      <c r="C2293" s="548"/>
      <c r="D2293" s="548"/>
      <c r="E2293" s="548"/>
      <c r="F2293" s="548"/>
      <c r="G2293" s="548"/>
    </row>
    <row r="2294" spans="3:7">
      <c r="C2294" s="548"/>
      <c r="D2294" s="548"/>
      <c r="E2294" s="548"/>
      <c r="F2294" s="548"/>
      <c r="G2294" s="548"/>
    </row>
    <row r="2295" spans="3:7">
      <c r="C2295" s="548"/>
      <c r="D2295" s="548"/>
      <c r="E2295" s="548"/>
      <c r="F2295" s="548"/>
      <c r="G2295" s="548"/>
    </row>
    <row r="2296" spans="3:7">
      <c r="C2296" s="548"/>
      <c r="D2296" s="548"/>
      <c r="E2296" s="548"/>
      <c r="F2296" s="548"/>
      <c r="G2296" s="548"/>
    </row>
    <row r="2297" spans="3:7">
      <c r="C2297" s="548"/>
      <c r="D2297" s="548"/>
      <c r="E2297" s="548"/>
      <c r="F2297" s="548"/>
      <c r="G2297" s="548"/>
    </row>
    <row r="2298" spans="3:7">
      <c r="C2298" s="548"/>
      <c r="D2298" s="548"/>
      <c r="E2298" s="548"/>
      <c r="F2298" s="548"/>
      <c r="G2298" s="548"/>
    </row>
    <row r="2299" spans="3:7">
      <c r="C2299" s="548"/>
      <c r="D2299" s="548"/>
      <c r="E2299" s="548"/>
      <c r="F2299" s="548"/>
      <c r="G2299" s="548"/>
    </row>
    <row r="2300" spans="3:7">
      <c r="C2300" s="548"/>
      <c r="D2300" s="548"/>
      <c r="E2300" s="548"/>
      <c r="F2300" s="548"/>
      <c r="G2300" s="548"/>
    </row>
    <row r="2301" spans="3:7">
      <c r="C2301" s="548"/>
      <c r="D2301" s="548"/>
      <c r="E2301" s="548"/>
      <c r="F2301" s="548"/>
      <c r="G2301" s="548"/>
    </row>
    <row r="2302" spans="3:7">
      <c r="C2302" s="548"/>
      <c r="D2302" s="548"/>
      <c r="E2302" s="548"/>
      <c r="F2302" s="548"/>
      <c r="G2302" s="548"/>
    </row>
    <row r="2303" spans="3:7">
      <c r="C2303" s="548"/>
      <c r="D2303" s="548"/>
      <c r="E2303" s="548"/>
      <c r="F2303" s="548"/>
      <c r="G2303" s="548"/>
    </row>
    <row r="2304" spans="3:7">
      <c r="C2304" s="548"/>
      <c r="D2304" s="548"/>
      <c r="E2304" s="548"/>
      <c r="F2304" s="548"/>
      <c r="G2304" s="548"/>
    </row>
    <row r="2305" spans="3:7">
      <c r="C2305" s="548"/>
      <c r="D2305" s="548"/>
      <c r="E2305" s="548"/>
      <c r="F2305" s="548"/>
      <c r="G2305" s="548"/>
    </row>
    <row r="2306" spans="3:7">
      <c r="C2306" s="548"/>
      <c r="D2306" s="548"/>
      <c r="E2306" s="548"/>
      <c r="F2306" s="548"/>
      <c r="G2306" s="548"/>
    </row>
    <row r="2307" spans="3:7">
      <c r="C2307" s="548"/>
      <c r="D2307" s="548"/>
      <c r="E2307" s="548"/>
      <c r="F2307" s="548"/>
      <c r="G2307" s="548"/>
    </row>
    <row r="2308" spans="3:7">
      <c r="C2308" s="548"/>
      <c r="D2308" s="548"/>
      <c r="E2308" s="548"/>
      <c r="F2308" s="548"/>
      <c r="G2308" s="548"/>
    </row>
    <row r="2309" spans="3:7">
      <c r="C2309" s="548"/>
      <c r="D2309" s="548"/>
      <c r="E2309" s="548"/>
      <c r="F2309" s="548"/>
      <c r="G2309" s="548"/>
    </row>
    <row r="2310" spans="3:7">
      <c r="C2310" s="548"/>
      <c r="D2310" s="548"/>
      <c r="E2310" s="548"/>
      <c r="F2310" s="548"/>
      <c r="G2310" s="548"/>
    </row>
    <row r="2311" spans="3:7">
      <c r="C2311" s="548"/>
      <c r="D2311" s="548"/>
      <c r="E2311" s="548"/>
      <c r="F2311" s="548"/>
      <c r="G2311" s="548"/>
    </row>
    <row r="2312" spans="3:7">
      <c r="C2312" s="548"/>
      <c r="D2312" s="548"/>
      <c r="E2312" s="548"/>
      <c r="F2312" s="548"/>
      <c r="G2312" s="548"/>
    </row>
    <row r="2313" spans="3:7">
      <c r="C2313" s="548"/>
      <c r="D2313" s="548"/>
      <c r="E2313" s="548"/>
      <c r="F2313" s="548"/>
      <c r="G2313" s="548"/>
    </row>
    <row r="2314" spans="3:7">
      <c r="C2314" s="548"/>
      <c r="D2314" s="548"/>
      <c r="E2314" s="548"/>
      <c r="F2314" s="548"/>
      <c r="G2314" s="548"/>
    </row>
    <row r="2315" spans="3:7">
      <c r="C2315" s="548"/>
      <c r="D2315" s="548"/>
      <c r="E2315" s="548"/>
      <c r="F2315" s="548"/>
      <c r="G2315" s="548"/>
    </row>
    <row r="2316" spans="3:7">
      <c r="C2316" s="548"/>
      <c r="D2316" s="548"/>
      <c r="E2316" s="548"/>
      <c r="F2316" s="548"/>
      <c r="G2316" s="548"/>
    </row>
    <row r="2317" spans="3:7">
      <c r="C2317" s="548"/>
      <c r="D2317" s="548"/>
      <c r="E2317" s="548"/>
      <c r="F2317" s="548"/>
      <c r="G2317" s="548"/>
    </row>
    <row r="2318" spans="3:7">
      <c r="C2318" s="548"/>
      <c r="D2318" s="548"/>
      <c r="E2318" s="548"/>
      <c r="F2318" s="548"/>
      <c r="G2318" s="548"/>
    </row>
    <row r="2319" spans="3:7">
      <c r="C2319" s="548"/>
      <c r="D2319" s="548"/>
      <c r="E2319" s="548"/>
      <c r="F2319" s="548"/>
      <c r="G2319" s="548"/>
    </row>
    <row r="2320" spans="3:7">
      <c r="C2320" s="548"/>
      <c r="D2320" s="548"/>
      <c r="E2320" s="548"/>
      <c r="F2320" s="548"/>
      <c r="G2320" s="548"/>
    </row>
    <row r="2321" spans="3:7">
      <c r="C2321" s="548"/>
      <c r="D2321" s="548"/>
      <c r="E2321" s="548"/>
      <c r="F2321" s="548"/>
      <c r="G2321" s="548"/>
    </row>
    <row r="2322" spans="3:7">
      <c r="C2322" s="548"/>
      <c r="D2322" s="548"/>
      <c r="E2322" s="548"/>
      <c r="F2322" s="548"/>
      <c r="G2322" s="548"/>
    </row>
    <row r="2323" spans="3:7">
      <c r="C2323" s="548"/>
      <c r="D2323" s="548"/>
      <c r="E2323" s="548"/>
      <c r="F2323" s="548"/>
      <c r="G2323" s="548"/>
    </row>
    <row r="2324" spans="3:7">
      <c r="C2324" s="548"/>
      <c r="D2324" s="548"/>
      <c r="E2324" s="548"/>
      <c r="F2324" s="548"/>
      <c r="G2324" s="548"/>
    </row>
    <row r="2325" spans="3:7">
      <c r="C2325" s="548"/>
      <c r="D2325" s="548"/>
      <c r="E2325" s="548"/>
      <c r="F2325" s="548"/>
      <c r="G2325" s="548"/>
    </row>
    <row r="2326" spans="3:7">
      <c r="C2326" s="548"/>
      <c r="D2326" s="548"/>
      <c r="E2326" s="548"/>
      <c r="F2326" s="548"/>
      <c r="G2326" s="548"/>
    </row>
    <row r="2327" spans="3:7">
      <c r="C2327" s="548"/>
      <c r="D2327" s="548"/>
      <c r="E2327" s="548"/>
      <c r="F2327" s="548"/>
      <c r="G2327" s="548"/>
    </row>
    <row r="2328" spans="3:7">
      <c r="C2328" s="548"/>
      <c r="D2328" s="548"/>
      <c r="E2328" s="548"/>
      <c r="F2328" s="548"/>
      <c r="G2328" s="548"/>
    </row>
    <row r="2329" spans="3:7">
      <c r="C2329" s="548"/>
      <c r="D2329" s="548"/>
      <c r="E2329" s="548"/>
      <c r="F2329" s="548"/>
      <c r="G2329" s="548"/>
    </row>
    <row r="2330" spans="3:7">
      <c r="C2330" s="548"/>
      <c r="D2330" s="548"/>
      <c r="E2330" s="548"/>
      <c r="F2330" s="548"/>
      <c r="G2330" s="548"/>
    </row>
    <row r="2331" spans="3:7">
      <c r="C2331" s="548"/>
      <c r="D2331" s="548"/>
      <c r="E2331" s="548"/>
      <c r="F2331" s="548"/>
      <c r="G2331" s="548"/>
    </row>
    <row r="2332" spans="3:7">
      <c r="C2332" s="548"/>
      <c r="D2332" s="548"/>
      <c r="E2332" s="548"/>
      <c r="F2332" s="548"/>
      <c r="G2332" s="548"/>
    </row>
    <row r="2333" spans="3:7">
      <c r="C2333" s="548"/>
      <c r="D2333" s="548"/>
      <c r="E2333" s="548"/>
      <c r="F2333" s="548"/>
      <c r="G2333" s="548"/>
    </row>
    <row r="2334" spans="3:7">
      <c r="C2334" s="548"/>
      <c r="D2334" s="548"/>
      <c r="E2334" s="548"/>
      <c r="F2334" s="548"/>
      <c r="G2334" s="548"/>
    </row>
    <row r="2335" spans="3:7">
      <c r="C2335" s="548"/>
      <c r="D2335" s="548"/>
      <c r="E2335" s="548"/>
      <c r="F2335" s="548"/>
      <c r="G2335" s="548"/>
    </row>
    <row r="2336" spans="3:7">
      <c r="C2336" s="548"/>
      <c r="D2336" s="548"/>
      <c r="E2336" s="548"/>
      <c r="F2336" s="548"/>
      <c r="G2336" s="548"/>
    </row>
    <row r="2337" spans="3:7">
      <c r="C2337" s="548"/>
      <c r="D2337" s="548"/>
      <c r="E2337" s="548"/>
      <c r="F2337" s="548"/>
      <c r="G2337" s="548"/>
    </row>
    <row r="2338" spans="3:7">
      <c r="C2338" s="548"/>
      <c r="D2338" s="548"/>
      <c r="E2338" s="548"/>
      <c r="F2338" s="548"/>
      <c r="G2338" s="548"/>
    </row>
    <row r="2339" spans="3:7">
      <c r="C2339" s="548"/>
      <c r="D2339" s="548"/>
      <c r="E2339" s="548"/>
      <c r="F2339" s="548"/>
      <c r="G2339" s="548"/>
    </row>
    <row r="2340" spans="3:7">
      <c r="C2340" s="548"/>
      <c r="D2340" s="548"/>
      <c r="E2340" s="548"/>
      <c r="F2340" s="548"/>
      <c r="G2340" s="548"/>
    </row>
    <row r="2341" spans="3:7">
      <c r="C2341" s="548"/>
      <c r="D2341" s="548"/>
      <c r="E2341" s="548"/>
      <c r="F2341" s="548"/>
      <c r="G2341" s="548"/>
    </row>
    <row r="2342" spans="3:7">
      <c r="C2342" s="548"/>
      <c r="D2342" s="548"/>
      <c r="E2342" s="548"/>
      <c r="F2342" s="548"/>
      <c r="G2342" s="548"/>
    </row>
    <row r="2343" spans="3:7">
      <c r="C2343" s="548"/>
      <c r="D2343" s="548"/>
      <c r="E2343" s="548"/>
      <c r="F2343" s="548"/>
      <c r="G2343" s="548"/>
    </row>
    <row r="2344" spans="3:7">
      <c r="C2344" s="548"/>
      <c r="D2344" s="548"/>
      <c r="E2344" s="548"/>
      <c r="F2344" s="548"/>
      <c r="G2344" s="548"/>
    </row>
    <row r="2345" spans="3:7">
      <c r="C2345" s="548"/>
      <c r="D2345" s="548"/>
      <c r="E2345" s="548"/>
      <c r="F2345" s="548"/>
      <c r="G2345" s="548"/>
    </row>
    <row r="2346" spans="3:7">
      <c r="C2346" s="548"/>
      <c r="D2346" s="548"/>
      <c r="E2346" s="548"/>
      <c r="F2346" s="548"/>
      <c r="G2346" s="548"/>
    </row>
    <row r="2347" spans="3:7">
      <c r="C2347" s="548"/>
      <c r="D2347" s="548"/>
      <c r="E2347" s="548"/>
      <c r="F2347" s="548"/>
      <c r="G2347" s="548"/>
    </row>
    <row r="2348" spans="3:7">
      <c r="C2348" s="548"/>
      <c r="D2348" s="548"/>
      <c r="E2348" s="548"/>
      <c r="F2348" s="548"/>
      <c r="G2348" s="548"/>
    </row>
    <row r="2349" spans="3:7">
      <c r="C2349" s="548"/>
      <c r="D2349" s="548"/>
      <c r="E2349" s="548"/>
      <c r="F2349" s="548"/>
      <c r="G2349" s="548"/>
    </row>
    <row r="2350" spans="3:7">
      <c r="C2350" s="548"/>
      <c r="D2350" s="548"/>
      <c r="E2350" s="548"/>
      <c r="F2350" s="548"/>
      <c r="G2350" s="548"/>
    </row>
    <row r="2351" spans="3:7">
      <c r="C2351" s="548"/>
      <c r="D2351" s="548"/>
      <c r="E2351" s="548"/>
      <c r="F2351" s="548"/>
      <c r="G2351" s="548"/>
    </row>
    <row r="2352" spans="3:7">
      <c r="C2352" s="548"/>
      <c r="D2352" s="548"/>
      <c r="E2352" s="548"/>
      <c r="F2352" s="548"/>
      <c r="G2352" s="548"/>
    </row>
    <row r="2353" spans="3:7">
      <c r="C2353" s="548"/>
      <c r="D2353" s="548"/>
      <c r="E2353" s="548"/>
      <c r="F2353" s="548"/>
      <c r="G2353" s="548"/>
    </row>
    <row r="2354" spans="3:7">
      <c r="C2354" s="548"/>
      <c r="D2354" s="548"/>
      <c r="E2354" s="548"/>
      <c r="F2354" s="548"/>
      <c r="G2354" s="548"/>
    </row>
    <row r="2355" spans="3:7">
      <c r="C2355" s="548"/>
      <c r="D2355" s="548"/>
      <c r="E2355" s="548"/>
      <c r="F2355" s="548"/>
      <c r="G2355" s="548"/>
    </row>
    <row r="2356" spans="3:7">
      <c r="C2356" s="548"/>
      <c r="D2356" s="548"/>
      <c r="E2356" s="548"/>
      <c r="F2356" s="548"/>
      <c r="G2356" s="548"/>
    </row>
    <row r="2357" spans="3:7">
      <c r="C2357" s="548"/>
      <c r="D2357" s="548"/>
      <c r="E2357" s="548"/>
      <c r="F2357" s="548"/>
      <c r="G2357" s="548"/>
    </row>
    <row r="2358" spans="3:7">
      <c r="C2358" s="548"/>
      <c r="D2358" s="548"/>
      <c r="E2358" s="548"/>
      <c r="F2358" s="548"/>
      <c r="G2358" s="548"/>
    </row>
    <row r="2359" spans="3:7">
      <c r="C2359" s="548"/>
      <c r="D2359" s="548"/>
      <c r="E2359" s="548"/>
      <c r="F2359" s="548"/>
      <c r="G2359" s="548"/>
    </row>
    <row r="2360" spans="3:7">
      <c r="C2360" s="548"/>
      <c r="D2360" s="548"/>
      <c r="E2360" s="548"/>
      <c r="F2360" s="548"/>
      <c r="G2360" s="548"/>
    </row>
    <row r="2361" spans="3:7">
      <c r="C2361" s="548"/>
      <c r="D2361" s="548"/>
      <c r="E2361" s="548"/>
      <c r="F2361" s="548"/>
      <c r="G2361" s="548"/>
    </row>
    <row r="2362" spans="3:7">
      <c r="C2362" s="548"/>
      <c r="D2362" s="548"/>
      <c r="E2362" s="548"/>
      <c r="F2362" s="548"/>
      <c r="G2362" s="548"/>
    </row>
    <row r="2363" spans="3:7">
      <c r="C2363" s="548"/>
      <c r="D2363" s="548"/>
      <c r="E2363" s="548"/>
      <c r="F2363" s="548"/>
      <c r="G2363" s="548"/>
    </row>
    <row r="2364" spans="3:7">
      <c r="C2364" s="548"/>
      <c r="D2364" s="548"/>
      <c r="E2364" s="548"/>
      <c r="F2364" s="548"/>
      <c r="G2364" s="548"/>
    </row>
    <row r="2365" spans="3:7">
      <c r="C2365" s="548"/>
      <c r="D2365" s="548"/>
      <c r="E2365" s="548"/>
      <c r="F2365" s="548"/>
      <c r="G2365" s="548"/>
    </row>
    <row r="2366" spans="3:7">
      <c r="C2366" s="548"/>
      <c r="D2366" s="548"/>
      <c r="E2366" s="548"/>
      <c r="F2366" s="548"/>
      <c r="G2366" s="548"/>
    </row>
    <row r="2367" spans="3:7">
      <c r="C2367" s="548"/>
      <c r="D2367" s="548"/>
      <c r="E2367" s="548"/>
      <c r="F2367" s="548"/>
      <c r="G2367" s="548"/>
    </row>
    <row r="2368" spans="3:7">
      <c r="C2368" s="548"/>
      <c r="D2368" s="548"/>
      <c r="E2368" s="548"/>
      <c r="F2368" s="548"/>
      <c r="G2368" s="548"/>
    </row>
    <row r="2369" spans="3:7">
      <c r="C2369" s="548"/>
      <c r="D2369" s="548"/>
      <c r="E2369" s="548"/>
      <c r="F2369" s="548"/>
      <c r="G2369" s="548"/>
    </row>
    <row r="2370" spans="3:7">
      <c r="C2370" s="548"/>
      <c r="D2370" s="548"/>
      <c r="E2370" s="548"/>
      <c r="F2370" s="548"/>
      <c r="G2370" s="548"/>
    </row>
    <row r="2371" spans="3:7">
      <c r="C2371" s="548"/>
      <c r="D2371" s="548"/>
      <c r="E2371" s="548"/>
      <c r="F2371" s="548"/>
      <c r="G2371" s="548"/>
    </row>
    <row r="2372" spans="3:7">
      <c r="C2372" s="548"/>
      <c r="D2372" s="548"/>
      <c r="E2372" s="548"/>
      <c r="F2372" s="548"/>
      <c r="G2372" s="548"/>
    </row>
    <row r="2373" spans="3:7">
      <c r="C2373" s="548"/>
      <c r="D2373" s="548"/>
      <c r="E2373" s="548"/>
      <c r="F2373" s="548"/>
      <c r="G2373" s="548"/>
    </row>
    <row r="2374" spans="3:7">
      <c r="C2374" s="548"/>
      <c r="D2374" s="548"/>
      <c r="E2374" s="548"/>
      <c r="F2374" s="548"/>
      <c r="G2374" s="548"/>
    </row>
    <row r="2375" spans="3:7">
      <c r="C2375" s="548"/>
      <c r="D2375" s="548"/>
      <c r="E2375" s="548"/>
      <c r="F2375" s="548"/>
      <c r="G2375" s="548"/>
    </row>
    <row r="2376" spans="3:7">
      <c r="C2376" s="548"/>
      <c r="D2376" s="548"/>
      <c r="E2376" s="548"/>
      <c r="F2376" s="548"/>
      <c r="G2376" s="548"/>
    </row>
    <row r="2377" spans="3:7">
      <c r="C2377" s="548"/>
      <c r="D2377" s="548"/>
      <c r="E2377" s="548"/>
      <c r="F2377" s="548"/>
      <c r="G2377" s="548"/>
    </row>
    <row r="2378" spans="3:7">
      <c r="C2378" s="548"/>
      <c r="D2378" s="548"/>
      <c r="E2378" s="548"/>
      <c r="F2378" s="548"/>
      <c r="G2378" s="548"/>
    </row>
    <row r="2379" spans="3:7">
      <c r="C2379" s="548"/>
      <c r="D2379" s="548"/>
      <c r="E2379" s="548"/>
      <c r="F2379" s="548"/>
      <c r="G2379" s="548"/>
    </row>
    <row r="2380" spans="3:7">
      <c r="C2380" s="548"/>
      <c r="D2380" s="548"/>
      <c r="E2380" s="548"/>
      <c r="F2380" s="548"/>
      <c r="G2380" s="548"/>
    </row>
    <row r="2381" spans="3:7">
      <c r="C2381" s="548"/>
      <c r="D2381" s="548"/>
      <c r="E2381" s="548"/>
      <c r="F2381" s="548"/>
      <c r="G2381" s="548"/>
    </row>
    <row r="2382" spans="3:7">
      <c r="C2382" s="548"/>
      <c r="D2382" s="548"/>
      <c r="E2382" s="548"/>
      <c r="F2382" s="548"/>
      <c r="G2382" s="548"/>
    </row>
    <row r="2383" spans="3:7">
      <c r="C2383" s="548"/>
      <c r="D2383" s="548"/>
      <c r="E2383" s="548"/>
      <c r="F2383" s="548"/>
      <c r="G2383" s="548"/>
    </row>
    <row r="2384" spans="3:7">
      <c r="C2384" s="548"/>
      <c r="D2384" s="548"/>
      <c r="E2384" s="548"/>
      <c r="F2384" s="548"/>
      <c r="G2384" s="548"/>
    </row>
    <row r="2385" spans="3:7">
      <c r="C2385" s="548"/>
      <c r="D2385" s="548"/>
      <c r="E2385" s="548"/>
      <c r="F2385" s="548"/>
      <c r="G2385" s="548"/>
    </row>
    <row r="2386" spans="3:7">
      <c r="C2386" s="548"/>
      <c r="D2386" s="548"/>
      <c r="E2386" s="548"/>
      <c r="F2386" s="548"/>
      <c r="G2386" s="548"/>
    </row>
    <row r="2387" spans="3:7">
      <c r="C2387" s="548"/>
      <c r="D2387" s="548"/>
      <c r="E2387" s="548"/>
      <c r="F2387" s="548"/>
      <c r="G2387" s="548"/>
    </row>
    <row r="2388" spans="3:7">
      <c r="C2388" s="548"/>
      <c r="D2388" s="548"/>
      <c r="E2388" s="548"/>
      <c r="F2388" s="548"/>
      <c r="G2388" s="548"/>
    </row>
    <row r="2389" spans="3:7">
      <c r="C2389" s="548"/>
      <c r="D2389" s="548"/>
      <c r="E2389" s="548"/>
      <c r="F2389" s="548"/>
      <c r="G2389" s="548"/>
    </row>
    <row r="2390" spans="3:7">
      <c r="C2390" s="548"/>
      <c r="D2390" s="548"/>
      <c r="E2390" s="548"/>
      <c r="F2390" s="548"/>
      <c r="G2390" s="548"/>
    </row>
    <row r="2391" spans="3:7">
      <c r="C2391" s="548"/>
      <c r="D2391" s="548"/>
      <c r="E2391" s="548"/>
      <c r="F2391" s="548"/>
      <c r="G2391" s="548"/>
    </row>
    <row r="2392" spans="3:7">
      <c r="C2392" s="548"/>
      <c r="D2392" s="548"/>
      <c r="E2392" s="548"/>
      <c r="F2392" s="548"/>
      <c r="G2392" s="548"/>
    </row>
    <row r="2393" spans="3:7">
      <c r="C2393" s="548"/>
      <c r="D2393" s="548"/>
      <c r="E2393" s="548"/>
      <c r="F2393" s="548"/>
      <c r="G2393" s="548"/>
    </row>
    <row r="2394" spans="3:7">
      <c r="C2394" s="548"/>
      <c r="D2394" s="548"/>
      <c r="E2394" s="548"/>
      <c r="F2394" s="548"/>
      <c r="G2394" s="548"/>
    </row>
    <row r="2395" spans="3:7">
      <c r="C2395" s="548"/>
      <c r="D2395" s="548"/>
      <c r="E2395" s="548"/>
      <c r="F2395" s="548"/>
      <c r="G2395" s="548"/>
    </row>
    <row r="2396" spans="3:7">
      <c r="C2396" s="548"/>
      <c r="D2396" s="548"/>
      <c r="E2396" s="548"/>
      <c r="F2396" s="548"/>
      <c r="G2396" s="548"/>
    </row>
    <row r="2397" spans="3:7">
      <c r="C2397" s="548"/>
      <c r="D2397" s="548"/>
      <c r="E2397" s="548"/>
      <c r="F2397" s="548"/>
      <c r="G2397" s="548"/>
    </row>
    <row r="2398" spans="3:7">
      <c r="C2398" s="548"/>
      <c r="D2398" s="548"/>
      <c r="E2398" s="548"/>
      <c r="F2398" s="548"/>
      <c r="G2398" s="548"/>
    </row>
    <row r="2399" spans="3:7">
      <c r="C2399" s="548"/>
      <c r="D2399" s="548"/>
      <c r="E2399" s="548"/>
      <c r="F2399" s="548"/>
      <c r="G2399" s="548"/>
    </row>
    <row r="2400" spans="3:7">
      <c r="C2400" s="548"/>
      <c r="D2400" s="548"/>
      <c r="E2400" s="548"/>
      <c r="F2400" s="548"/>
      <c r="G2400" s="548"/>
    </row>
    <row r="2401" spans="3:7">
      <c r="C2401" s="548"/>
      <c r="D2401" s="548"/>
      <c r="E2401" s="548"/>
      <c r="F2401" s="548"/>
      <c r="G2401" s="548"/>
    </row>
    <row r="2402" spans="3:7">
      <c r="C2402" s="548"/>
      <c r="D2402" s="548"/>
      <c r="E2402" s="548"/>
      <c r="F2402" s="548"/>
      <c r="G2402" s="548"/>
    </row>
    <row r="2403" spans="3:7">
      <c r="C2403" s="548"/>
      <c r="D2403" s="548"/>
      <c r="E2403" s="548"/>
      <c r="F2403" s="548"/>
      <c r="G2403" s="548"/>
    </row>
    <row r="2404" spans="3:7">
      <c r="C2404" s="548"/>
      <c r="D2404" s="548"/>
      <c r="E2404" s="548"/>
      <c r="F2404" s="548"/>
      <c r="G2404" s="548"/>
    </row>
    <row r="2405" spans="3:7">
      <c r="C2405" s="548"/>
      <c r="D2405" s="548"/>
      <c r="E2405" s="548"/>
      <c r="F2405" s="548"/>
      <c r="G2405" s="548"/>
    </row>
    <row r="2406" spans="3:7">
      <c r="C2406" s="548"/>
      <c r="D2406" s="548"/>
      <c r="E2406" s="548"/>
      <c r="F2406" s="548"/>
      <c r="G2406" s="548"/>
    </row>
    <row r="2407" spans="3:7">
      <c r="C2407" s="548"/>
      <c r="D2407" s="548"/>
      <c r="E2407" s="548"/>
      <c r="F2407" s="548"/>
      <c r="G2407" s="548"/>
    </row>
    <row r="2408" spans="3:7">
      <c r="C2408" s="548"/>
      <c r="D2408" s="548"/>
      <c r="E2408" s="548"/>
      <c r="F2408" s="548"/>
      <c r="G2408" s="548"/>
    </row>
    <row r="2409" spans="3:7">
      <c r="C2409" s="548"/>
      <c r="D2409" s="548"/>
      <c r="E2409" s="548"/>
      <c r="F2409" s="548"/>
      <c r="G2409" s="548"/>
    </row>
    <row r="2410" spans="3:7">
      <c r="C2410" s="548"/>
      <c r="D2410" s="548"/>
      <c r="E2410" s="548"/>
      <c r="F2410" s="548"/>
      <c r="G2410" s="548"/>
    </row>
    <row r="2411" spans="3:7">
      <c r="C2411" s="548"/>
      <c r="D2411" s="548"/>
      <c r="E2411" s="548"/>
      <c r="F2411" s="548"/>
      <c r="G2411" s="548"/>
    </row>
    <row r="2412" spans="3:7">
      <c r="C2412" s="548"/>
      <c r="D2412" s="548"/>
      <c r="E2412" s="548"/>
      <c r="F2412" s="548"/>
      <c r="G2412" s="548"/>
    </row>
    <row r="2413" spans="3:7">
      <c r="C2413" s="548"/>
      <c r="D2413" s="548"/>
      <c r="E2413" s="548"/>
      <c r="F2413" s="548"/>
      <c r="G2413" s="548"/>
    </row>
    <row r="2414" spans="3:7">
      <c r="C2414" s="548"/>
      <c r="D2414" s="548"/>
      <c r="E2414" s="548"/>
      <c r="F2414" s="548"/>
      <c r="G2414" s="548"/>
    </row>
    <row r="2415" spans="3:7">
      <c r="C2415" s="548"/>
      <c r="D2415" s="548"/>
      <c r="E2415" s="548"/>
      <c r="F2415" s="548"/>
      <c r="G2415" s="548"/>
    </row>
    <row r="2416" spans="3:7">
      <c r="C2416" s="548"/>
      <c r="D2416" s="548"/>
      <c r="E2416" s="548"/>
      <c r="F2416" s="548"/>
      <c r="G2416" s="548"/>
    </row>
    <row r="2417" spans="3:7">
      <c r="C2417" s="548"/>
      <c r="D2417" s="548"/>
      <c r="E2417" s="548"/>
      <c r="F2417" s="548"/>
      <c r="G2417" s="548"/>
    </row>
    <row r="2418" spans="3:7">
      <c r="C2418" s="548"/>
      <c r="D2418" s="548"/>
      <c r="E2418" s="548"/>
      <c r="F2418" s="548"/>
      <c r="G2418" s="548"/>
    </row>
    <row r="2419" spans="3:7">
      <c r="C2419" s="548"/>
      <c r="D2419" s="548"/>
      <c r="E2419" s="548"/>
      <c r="F2419" s="548"/>
      <c r="G2419" s="548"/>
    </row>
    <row r="2420" spans="3:7">
      <c r="C2420" s="548"/>
      <c r="D2420" s="548"/>
      <c r="E2420" s="548"/>
      <c r="F2420" s="548"/>
      <c r="G2420" s="548"/>
    </row>
    <row r="2421" spans="3:7">
      <c r="C2421" s="548"/>
      <c r="D2421" s="548"/>
      <c r="E2421" s="548"/>
      <c r="F2421" s="548"/>
      <c r="G2421" s="548"/>
    </row>
    <row r="2422" spans="3:7">
      <c r="C2422" s="548"/>
      <c r="D2422" s="548"/>
      <c r="E2422" s="548"/>
      <c r="F2422" s="548"/>
      <c r="G2422" s="548"/>
    </row>
    <row r="2423" spans="3:7">
      <c r="C2423" s="548"/>
      <c r="D2423" s="548"/>
      <c r="E2423" s="548"/>
      <c r="F2423" s="548"/>
      <c r="G2423" s="548"/>
    </row>
    <row r="2424" spans="3:7">
      <c r="C2424" s="548"/>
      <c r="D2424" s="548"/>
      <c r="E2424" s="548"/>
      <c r="F2424" s="548"/>
      <c r="G2424" s="548"/>
    </row>
    <row r="2425" spans="3:7">
      <c r="C2425" s="548"/>
      <c r="D2425" s="548"/>
      <c r="E2425" s="548"/>
      <c r="F2425" s="548"/>
      <c r="G2425" s="548"/>
    </row>
    <row r="2426" spans="3:7">
      <c r="C2426" s="548"/>
      <c r="D2426" s="548"/>
      <c r="E2426" s="548"/>
      <c r="F2426" s="548"/>
      <c r="G2426" s="548"/>
    </row>
    <row r="2427" spans="3:7">
      <c r="C2427" s="548"/>
      <c r="D2427" s="548"/>
      <c r="E2427" s="548"/>
      <c r="F2427" s="548"/>
      <c r="G2427" s="548"/>
    </row>
    <row r="2428" spans="3:7">
      <c r="C2428" s="548"/>
      <c r="D2428" s="548"/>
      <c r="E2428" s="548"/>
      <c r="F2428" s="548"/>
      <c r="G2428" s="548"/>
    </row>
    <row r="2429" spans="3:7">
      <c r="C2429" s="548"/>
      <c r="D2429" s="548"/>
      <c r="E2429" s="548"/>
      <c r="F2429" s="548"/>
      <c r="G2429" s="548"/>
    </row>
    <row r="2430" spans="3:7">
      <c r="C2430" s="548"/>
      <c r="D2430" s="548"/>
      <c r="E2430" s="548"/>
      <c r="F2430" s="548"/>
      <c r="G2430" s="548"/>
    </row>
    <row r="2431" spans="3:7">
      <c r="C2431" s="548"/>
      <c r="D2431" s="548"/>
      <c r="E2431" s="548"/>
      <c r="F2431" s="548"/>
      <c r="G2431" s="548"/>
    </row>
    <row r="2432" spans="3:7">
      <c r="C2432" s="548"/>
      <c r="D2432" s="548"/>
      <c r="E2432" s="548"/>
      <c r="F2432" s="548"/>
      <c r="G2432" s="548"/>
    </row>
    <row r="2433" spans="3:7">
      <c r="C2433" s="548"/>
      <c r="D2433" s="548"/>
      <c r="E2433" s="548"/>
      <c r="F2433" s="548"/>
      <c r="G2433" s="548"/>
    </row>
    <row r="2434" spans="3:7">
      <c r="C2434" s="548"/>
      <c r="D2434" s="548"/>
      <c r="E2434" s="548"/>
      <c r="F2434" s="548"/>
      <c r="G2434" s="548"/>
    </row>
    <row r="2435" spans="3:7">
      <c r="C2435" s="548"/>
      <c r="D2435" s="548"/>
      <c r="E2435" s="548"/>
      <c r="F2435" s="548"/>
      <c r="G2435" s="548"/>
    </row>
    <row r="2436" spans="3:7">
      <c r="C2436" s="548"/>
      <c r="D2436" s="548"/>
      <c r="E2436" s="548"/>
      <c r="F2436" s="548"/>
      <c r="G2436" s="548"/>
    </row>
    <row r="2437" spans="3:7">
      <c r="C2437" s="548"/>
      <c r="D2437" s="548"/>
      <c r="E2437" s="548"/>
      <c r="F2437" s="548"/>
      <c r="G2437" s="548"/>
    </row>
    <row r="2438" spans="3:7">
      <c r="C2438" s="548"/>
      <c r="D2438" s="548"/>
      <c r="E2438" s="548"/>
      <c r="F2438" s="548"/>
      <c r="G2438" s="548"/>
    </row>
    <row r="2439" spans="3:7">
      <c r="C2439" s="548"/>
      <c r="D2439" s="548"/>
      <c r="E2439" s="548"/>
      <c r="F2439" s="548"/>
      <c r="G2439" s="548"/>
    </row>
    <row r="2440" spans="3:7">
      <c r="C2440" s="548"/>
      <c r="D2440" s="548"/>
      <c r="E2440" s="548"/>
      <c r="F2440" s="548"/>
      <c r="G2440" s="548"/>
    </row>
    <row r="2441" spans="3:7">
      <c r="C2441" s="548"/>
      <c r="D2441" s="548"/>
      <c r="E2441" s="548"/>
      <c r="F2441" s="548"/>
      <c r="G2441" s="548"/>
    </row>
    <row r="2442" spans="3:7">
      <c r="C2442" s="548"/>
      <c r="D2442" s="548"/>
      <c r="E2442" s="548"/>
      <c r="F2442" s="548"/>
      <c r="G2442" s="548"/>
    </row>
    <row r="2443" spans="3:7">
      <c r="C2443" s="548"/>
      <c r="D2443" s="548"/>
      <c r="E2443" s="548"/>
      <c r="F2443" s="548"/>
      <c r="G2443" s="548"/>
    </row>
  </sheetData>
  <mergeCells count="8">
    <mergeCell ref="A1:V1"/>
    <mergeCell ref="A3:A5"/>
    <mergeCell ref="B3:B5"/>
    <mergeCell ref="C3:G3"/>
    <mergeCell ref="A94:B94"/>
    <mergeCell ref="H3:N3"/>
    <mergeCell ref="P3:V3"/>
    <mergeCell ref="T2:V2"/>
  </mergeCells>
  <phoneticPr fontId="7" type="noConversion"/>
  <printOptions horizontalCentered="1"/>
  <pageMargins left="0" right="0" top="0.11811023622047245" bottom="0" header="0" footer="0"/>
  <pageSetup paperSize="9" scale="31"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ayfa21">
    <tabColor indexed="22"/>
  </sheetPr>
  <dimension ref="A1:U89"/>
  <sheetViews>
    <sheetView showGridLines="0" topLeftCell="A70" zoomScaleNormal="100" workbookViewId="0">
      <selection activeCell="K95" sqref="K95"/>
    </sheetView>
  </sheetViews>
  <sheetFormatPr defaultRowHeight="14.25"/>
  <cols>
    <col min="1" max="1" width="5.5703125" style="1537" customWidth="1"/>
    <col min="2" max="2" width="15.28515625" style="4" customWidth="1"/>
    <col min="3" max="3" width="12.28515625" style="739" bestFit="1" customWidth="1"/>
    <col min="4" max="4" width="10" style="739" customWidth="1"/>
    <col min="5" max="5" width="9.140625" style="739" customWidth="1"/>
    <col min="6" max="6" width="11.28515625" style="739" bestFit="1" customWidth="1"/>
    <col min="7" max="7" width="10.85546875" style="739" customWidth="1"/>
    <col min="8" max="8" width="13.7109375" style="4" customWidth="1"/>
    <col min="9" max="10" width="12.85546875" style="4" bestFit="1" customWidth="1"/>
    <col min="11" max="11" width="16.5703125" style="4" bestFit="1" customWidth="1"/>
    <col min="12" max="13" width="15.5703125" style="4" bestFit="1" customWidth="1"/>
    <col min="14" max="14" width="14" style="4" bestFit="1" customWidth="1"/>
    <col min="15" max="15" width="10" style="4" customWidth="1"/>
    <col min="16" max="16" width="8.7109375" style="4" customWidth="1"/>
    <col min="17" max="17" width="8.28515625" style="4" bestFit="1" customWidth="1"/>
    <col min="18" max="18" width="9" style="4" bestFit="1" customWidth="1"/>
    <col min="19" max="19" width="8.28515625" style="4" bestFit="1" customWidth="1"/>
    <col min="20" max="20" width="7.28515625" style="4" customWidth="1"/>
    <col min="21" max="21" width="11" style="4" customWidth="1"/>
    <col min="22" max="16384" width="9.140625" style="3"/>
  </cols>
  <sheetData>
    <row r="1" spans="1:21" s="537" customFormat="1" ht="18.75" customHeight="1">
      <c r="A1" s="1982" t="s">
        <v>1077</v>
      </c>
      <c r="B1" s="1983"/>
      <c r="C1" s="1983"/>
      <c r="D1" s="1983"/>
      <c r="E1" s="1983"/>
      <c r="F1" s="1983"/>
      <c r="G1" s="1983"/>
      <c r="H1" s="1983"/>
      <c r="I1" s="1983"/>
      <c r="J1" s="1983"/>
      <c r="K1" s="1983"/>
      <c r="L1" s="1983"/>
      <c r="M1" s="1983"/>
      <c r="N1" s="1983"/>
      <c r="O1" s="1983"/>
      <c r="P1" s="1983"/>
      <c r="Q1" s="1983"/>
      <c r="R1" s="1983"/>
      <c r="S1" s="1983"/>
      <c r="T1" s="1983"/>
      <c r="U1" s="1983"/>
    </row>
    <row r="2" spans="1:21" s="537" customFormat="1" ht="13.5" customHeight="1">
      <c r="A2" s="1493" t="s">
        <v>1078</v>
      </c>
      <c r="B2" s="414"/>
      <c r="C2" s="841"/>
      <c r="D2" s="841"/>
      <c r="E2" s="841"/>
      <c r="F2" s="841"/>
      <c r="G2" s="841"/>
      <c r="H2" s="552"/>
      <c r="I2" s="552"/>
      <c r="J2" s="552"/>
      <c r="K2" s="552"/>
      <c r="L2" s="552"/>
      <c r="M2" s="552"/>
      <c r="N2" s="552" t="s">
        <v>729</v>
      </c>
      <c r="O2" s="552"/>
      <c r="P2" s="552"/>
      <c r="Q2" s="552"/>
      <c r="R2" s="552"/>
      <c r="S2" s="552"/>
      <c r="T2" s="1494"/>
      <c r="U2" s="1494"/>
    </row>
    <row r="3" spans="1:21" s="553" customFormat="1" ht="14.1" customHeight="1" thickBot="1">
      <c r="A3" s="1984"/>
      <c r="B3" s="1984"/>
      <c r="C3" s="1984"/>
      <c r="D3" s="1984"/>
      <c r="E3" s="1495"/>
      <c r="F3" s="1496" t="s">
        <v>729</v>
      </c>
      <c r="G3" s="749"/>
      <c r="H3" s="203"/>
      <c r="I3" s="203"/>
      <c r="J3" s="203"/>
      <c r="K3" s="203"/>
      <c r="L3" s="203"/>
      <c r="M3" s="203"/>
      <c r="N3" s="203"/>
      <c r="O3" s="203"/>
      <c r="P3" s="203"/>
      <c r="Q3" s="203"/>
      <c r="R3" s="1497"/>
      <c r="S3" s="1992" t="s">
        <v>1163</v>
      </c>
      <c r="T3" s="1993"/>
      <c r="U3" s="1993"/>
    </row>
    <row r="4" spans="1:21" s="5" customFormat="1" ht="13.5" customHeight="1">
      <c r="A4" s="1985" t="s">
        <v>1208</v>
      </c>
      <c r="B4" s="1498"/>
      <c r="C4" s="1988" t="s">
        <v>857</v>
      </c>
      <c r="D4" s="1988"/>
      <c r="E4" s="1988"/>
      <c r="F4" s="1988"/>
      <c r="G4" s="1988"/>
      <c r="H4" s="1988" t="s">
        <v>685</v>
      </c>
      <c r="I4" s="1988"/>
      <c r="J4" s="1988"/>
      <c r="K4" s="1988"/>
      <c r="L4" s="1988"/>
      <c r="M4" s="1988"/>
      <c r="N4" s="1988"/>
      <c r="O4" s="1988" t="s">
        <v>397</v>
      </c>
      <c r="P4" s="1988"/>
      <c r="Q4" s="1988"/>
      <c r="R4" s="1988"/>
      <c r="S4" s="1988"/>
      <c r="T4" s="1988"/>
      <c r="U4" s="1989"/>
    </row>
    <row r="5" spans="1:21" s="5" customFormat="1" ht="16.5" customHeight="1">
      <c r="A5" s="1986"/>
      <c r="B5" s="1499"/>
      <c r="C5" s="1990" t="s">
        <v>452</v>
      </c>
      <c r="D5" s="1990"/>
      <c r="E5" s="1990"/>
      <c r="F5" s="1990"/>
      <c r="G5" s="1990"/>
      <c r="H5" s="1990" t="s">
        <v>903</v>
      </c>
      <c r="I5" s="1990"/>
      <c r="J5" s="1990"/>
      <c r="K5" s="1990"/>
      <c r="L5" s="1990"/>
      <c r="M5" s="1990"/>
      <c r="N5" s="1990"/>
      <c r="O5" s="1990" t="s">
        <v>904</v>
      </c>
      <c r="P5" s="1990"/>
      <c r="Q5" s="1990"/>
      <c r="R5" s="1990"/>
      <c r="S5" s="1990"/>
      <c r="T5" s="1990"/>
      <c r="U5" s="1991"/>
    </row>
    <row r="6" spans="1:21" s="5" customFormat="1" ht="26.25" customHeight="1">
      <c r="A6" s="1986"/>
      <c r="B6" s="1500" t="s">
        <v>905</v>
      </c>
      <c r="C6" s="1501" t="s">
        <v>120</v>
      </c>
      <c r="D6" s="1502" t="s">
        <v>121</v>
      </c>
      <c r="E6" s="1502" t="s">
        <v>122</v>
      </c>
      <c r="F6" s="1502" t="s">
        <v>123</v>
      </c>
      <c r="G6" s="1503" t="s">
        <v>692</v>
      </c>
      <c r="H6" s="1501" t="s">
        <v>120</v>
      </c>
      <c r="I6" s="1502" t="s">
        <v>121</v>
      </c>
      <c r="J6" s="1502" t="s">
        <v>122</v>
      </c>
      <c r="K6" s="1502" t="s">
        <v>123</v>
      </c>
      <c r="L6" s="1504" t="s">
        <v>449</v>
      </c>
      <c r="M6" s="1502" t="s">
        <v>448</v>
      </c>
      <c r="N6" s="1503" t="s">
        <v>692</v>
      </c>
      <c r="O6" s="1501" t="s">
        <v>120</v>
      </c>
      <c r="P6" s="1502" t="s">
        <v>121</v>
      </c>
      <c r="Q6" s="1502" t="s">
        <v>122</v>
      </c>
      <c r="R6" s="1502" t="s">
        <v>123</v>
      </c>
      <c r="S6" s="1504" t="s">
        <v>449</v>
      </c>
      <c r="T6" s="1502" t="s">
        <v>448</v>
      </c>
      <c r="U6" s="1505" t="s">
        <v>157</v>
      </c>
    </row>
    <row r="7" spans="1:21" s="5" customFormat="1" ht="23.25" customHeight="1">
      <c r="A7" s="1987"/>
      <c r="B7" s="1506" t="s">
        <v>137</v>
      </c>
      <c r="C7" s="1507" t="s">
        <v>594</v>
      </c>
      <c r="D7" s="1508" t="s">
        <v>595</v>
      </c>
      <c r="E7" s="1508" t="s">
        <v>596</v>
      </c>
      <c r="F7" s="1508" t="s">
        <v>597</v>
      </c>
      <c r="G7" s="1509" t="s">
        <v>879</v>
      </c>
      <c r="H7" s="1507" t="s">
        <v>594</v>
      </c>
      <c r="I7" s="1508" t="s">
        <v>595</v>
      </c>
      <c r="J7" s="1508" t="s">
        <v>596</v>
      </c>
      <c r="K7" s="1508" t="s">
        <v>597</v>
      </c>
      <c r="L7" s="1510" t="s">
        <v>838</v>
      </c>
      <c r="M7" s="1508" t="s">
        <v>168</v>
      </c>
      <c r="N7" s="1509" t="s">
        <v>879</v>
      </c>
      <c r="O7" s="1507" t="s">
        <v>594</v>
      </c>
      <c r="P7" s="1508" t="s">
        <v>595</v>
      </c>
      <c r="Q7" s="1508" t="s">
        <v>596</v>
      </c>
      <c r="R7" s="1508" t="s">
        <v>597</v>
      </c>
      <c r="S7" s="1510" t="s">
        <v>838</v>
      </c>
      <c r="T7" s="1508" t="s">
        <v>168</v>
      </c>
      <c r="U7" s="1511" t="s">
        <v>359</v>
      </c>
    </row>
    <row r="8" spans="1:21" s="553" customFormat="1" ht="20.100000000000001" customHeight="1">
      <c r="A8" s="1512">
        <v>1</v>
      </c>
      <c r="B8" s="1513" t="s">
        <v>196</v>
      </c>
      <c r="C8" s="1514">
        <v>36073</v>
      </c>
      <c r="D8" s="1515">
        <v>4123</v>
      </c>
      <c r="E8" s="1515">
        <v>1016</v>
      </c>
      <c r="F8" s="1515">
        <v>39180</v>
      </c>
      <c r="G8" s="1516">
        <f>+F8+E8</f>
        <v>40196</v>
      </c>
      <c r="H8" s="1517">
        <v>224628</v>
      </c>
      <c r="I8" s="1518">
        <v>74379</v>
      </c>
      <c r="J8" s="1518">
        <v>19729</v>
      </c>
      <c r="K8" s="1518">
        <v>279278</v>
      </c>
      <c r="L8" s="1518">
        <v>222428</v>
      </c>
      <c r="M8" s="1518">
        <v>76579</v>
      </c>
      <c r="N8" s="1519">
        <f>+L8+M8</f>
        <v>299007</v>
      </c>
      <c r="O8" s="1520">
        <v>79.556257826186084</v>
      </c>
      <c r="P8" s="1521">
        <v>76.262692028412289</v>
      </c>
      <c r="Q8" s="1521">
        <v>72.284502058677745</v>
      </c>
      <c r="R8" s="1521">
        <v>79.805091479567508</v>
      </c>
      <c r="S8" s="1521">
        <v>81.521159913202723</v>
      </c>
      <c r="T8" s="1521">
        <v>70.863305557913833</v>
      </c>
      <c r="U8" s="501">
        <v>78.812233997618094</v>
      </c>
    </row>
    <row r="9" spans="1:21" s="5" customFormat="1" ht="20.100000000000001" customHeight="1">
      <c r="A9" s="1522">
        <f>+A8+1</f>
        <v>2</v>
      </c>
      <c r="B9" s="1523" t="s">
        <v>198</v>
      </c>
      <c r="C9" s="1524">
        <v>5353</v>
      </c>
      <c r="D9" s="786">
        <v>1447</v>
      </c>
      <c r="E9" s="786">
        <v>340</v>
      </c>
      <c r="F9" s="786">
        <v>6460</v>
      </c>
      <c r="G9" s="1525">
        <f>+F9+E9</f>
        <v>6800</v>
      </c>
      <c r="H9" s="1526">
        <v>31729</v>
      </c>
      <c r="I9" s="492">
        <v>18015</v>
      </c>
      <c r="J9" s="492">
        <v>5633</v>
      </c>
      <c r="K9" s="492">
        <v>44111</v>
      </c>
      <c r="L9" s="492">
        <v>38902</v>
      </c>
      <c r="M9" s="492">
        <v>10842</v>
      </c>
      <c r="N9" s="1527">
        <f t="shared" ref="N9:N72" si="0">+L9+M9</f>
        <v>49744</v>
      </c>
      <c r="O9" s="1528">
        <v>73.74551721321005</v>
      </c>
      <c r="P9" s="1529">
        <v>66.980396936901101</v>
      </c>
      <c r="Q9" s="1529">
        <v>84.488058385338306</v>
      </c>
      <c r="R9" s="1529">
        <v>67.691830233799152</v>
      </c>
      <c r="S9" s="1530">
        <v>74.057709542640652</v>
      </c>
      <c r="T9" s="1529">
        <v>62.545875719202797</v>
      </c>
      <c r="U9" s="501">
        <v>71.522775082612668</v>
      </c>
    </row>
    <row r="10" spans="1:21" s="5" customFormat="1" ht="25.5" customHeight="1">
      <c r="A10" s="1522">
        <f t="shared" ref="A10:A73" si="1">+A9+1</f>
        <v>3</v>
      </c>
      <c r="B10" s="1523" t="s">
        <v>200</v>
      </c>
      <c r="C10" s="1524">
        <v>10490</v>
      </c>
      <c r="D10" s="786">
        <v>2304</v>
      </c>
      <c r="E10" s="786">
        <v>946</v>
      </c>
      <c r="F10" s="786">
        <v>11848</v>
      </c>
      <c r="G10" s="1525">
        <f t="shared" ref="G10:G73" si="2">+F10+E10</f>
        <v>12794</v>
      </c>
      <c r="H10" s="1526">
        <v>66015</v>
      </c>
      <c r="I10" s="492">
        <v>22549</v>
      </c>
      <c r="J10" s="492">
        <v>8191</v>
      </c>
      <c r="K10" s="492">
        <v>80373</v>
      </c>
      <c r="L10" s="492">
        <v>67411</v>
      </c>
      <c r="M10" s="492">
        <v>21153</v>
      </c>
      <c r="N10" s="1527">
        <f t="shared" si="0"/>
        <v>88564</v>
      </c>
      <c r="O10" s="1528">
        <v>72.820369059041482</v>
      </c>
      <c r="P10" s="1529">
        <v>70.07559429450879</v>
      </c>
      <c r="Q10" s="1529">
        <v>75.936853251807747</v>
      </c>
      <c r="R10" s="1529">
        <v>71.32942632512443</v>
      </c>
      <c r="S10" s="1530">
        <v>74.433279792239034</v>
      </c>
      <c r="T10" s="1529">
        <v>64.459222665932245</v>
      </c>
      <c r="U10" s="501">
        <v>72.17265154464782</v>
      </c>
    </row>
    <row r="11" spans="1:21" s="5" customFormat="1" ht="20.100000000000001" customHeight="1">
      <c r="A11" s="1522">
        <f t="shared" si="1"/>
        <v>4</v>
      </c>
      <c r="B11" s="1523" t="s">
        <v>202</v>
      </c>
      <c r="C11" s="1524">
        <v>1962</v>
      </c>
      <c r="D11" s="786">
        <v>735</v>
      </c>
      <c r="E11" s="786">
        <v>249</v>
      </c>
      <c r="F11" s="786">
        <v>2448</v>
      </c>
      <c r="G11" s="1525">
        <f t="shared" si="2"/>
        <v>2697</v>
      </c>
      <c r="H11" s="1526">
        <v>12981</v>
      </c>
      <c r="I11" s="492">
        <v>11083</v>
      </c>
      <c r="J11" s="492">
        <v>5002</v>
      </c>
      <c r="K11" s="492">
        <v>19062</v>
      </c>
      <c r="L11" s="492">
        <v>18586</v>
      </c>
      <c r="M11" s="492">
        <v>5478</v>
      </c>
      <c r="N11" s="1527">
        <f t="shared" si="0"/>
        <v>24064</v>
      </c>
      <c r="O11" s="1528">
        <v>77.406766889791143</v>
      </c>
      <c r="P11" s="1529">
        <v>66.538712324513739</v>
      </c>
      <c r="Q11" s="1529">
        <v>80.473391295611208</v>
      </c>
      <c r="R11" s="1529">
        <v>67.96535234815839</v>
      </c>
      <c r="S11" s="1530">
        <v>74.68880172960246</v>
      </c>
      <c r="T11" s="1529">
        <v>67.45196557338916</v>
      </c>
      <c r="U11" s="501">
        <v>73.088736850303221</v>
      </c>
    </row>
    <row r="12" spans="1:21" s="5" customFormat="1" ht="20.100000000000001" customHeight="1">
      <c r="A12" s="1522">
        <f t="shared" si="1"/>
        <v>5</v>
      </c>
      <c r="B12" s="1523" t="s">
        <v>186</v>
      </c>
      <c r="C12" s="1524">
        <v>4730</v>
      </c>
      <c r="D12" s="786">
        <v>1071</v>
      </c>
      <c r="E12" s="786">
        <v>337</v>
      </c>
      <c r="F12" s="786">
        <v>5464</v>
      </c>
      <c r="G12" s="1525">
        <f t="shared" si="2"/>
        <v>5801</v>
      </c>
      <c r="H12" s="1526">
        <v>27631</v>
      </c>
      <c r="I12" s="492">
        <v>11844</v>
      </c>
      <c r="J12" s="492">
        <v>3512</v>
      </c>
      <c r="K12" s="492">
        <v>35963</v>
      </c>
      <c r="L12" s="492">
        <v>29185</v>
      </c>
      <c r="M12" s="492">
        <v>10290</v>
      </c>
      <c r="N12" s="1527">
        <f t="shared" si="0"/>
        <v>39475</v>
      </c>
      <c r="O12" s="1528">
        <v>74.014628463193901</v>
      </c>
      <c r="P12" s="1529">
        <v>71.251264088218605</v>
      </c>
      <c r="Q12" s="1529">
        <v>73.532862266787859</v>
      </c>
      <c r="R12" s="1529">
        <v>73.203973092375534</v>
      </c>
      <c r="S12" s="1530">
        <v>76.566061385792054</v>
      </c>
      <c r="T12" s="1529">
        <v>63.578278239398522</v>
      </c>
      <c r="U12" s="501">
        <v>73.263569377720401</v>
      </c>
    </row>
    <row r="13" spans="1:21" s="5" customFormat="1" ht="20.100000000000001" customHeight="1">
      <c r="A13" s="1522">
        <f t="shared" si="1"/>
        <v>6</v>
      </c>
      <c r="B13" s="1523" t="s">
        <v>188</v>
      </c>
      <c r="C13" s="1524">
        <v>125073</v>
      </c>
      <c r="D13" s="786">
        <v>12649</v>
      </c>
      <c r="E13" s="786">
        <v>2976</v>
      </c>
      <c r="F13" s="786">
        <v>134746</v>
      </c>
      <c r="G13" s="1525">
        <f t="shared" si="2"/>
        <v>137722</v>
      </c>
      <c r="H13" s="1526">
        <v>836753</v>
      </c>
      <c r="I13" s="492">
        <v>259711</v>
      </c>
      <c r="J13" s="492">
        <v>147102</v>
      </c>
      <c r="K13" s="492">
        <v>949362</v>
      </c>
      <c r="L13" s="492">
        <v>684854</v>
      </c>
      <c r="M13" s="492">
        <v>411610</v>
      </c>
      <c r="N13" s="1527">
        <f t="shared" si="0"/>
        <v>1096464</v>
      </c>
      <c r="O13" s="1528">
        <v>95.662858076027518</v>
      </c>
      <c r="P13" s="1529">
        <v>80.367494713922085</v>
      </c>
      <c r="Q13" s="1529">
        <v>85.942484808799023</v>
      </c>
      <c r="R13" s="1529">
        <v>94.538992524031599</v>
      </c>
      <c r="S13" s="1530">
        <v>97.060845851872216</v>
      </c>
      <c r="T13" s="1529">
        <v>83.426058552313336</v>
      </c>
      <c r="U13" s="501">
        <v>92.569878329459669</v>
      </c>
    </row>
    <row r="14" spans="1:21" s="5" customFormat="1" ht="20.100000000000001" customHeight="1">
      <c r="A14" s="1522">
        <f t="shared" si="1"/>
        <v>7</v>
      </c>
      <c r="B14" s="1523" t="s">
        <v>190</v>
      </c>
      <c r="C14" s="1524">
        <v>61866</v>
      </c>
      <c r="D14" s="786">
        <v>6469</v>
      </c>
      <c r="E14" s="786">
        <v>889</v>
      </c>
      <c r="F14" s="786">
        <v>67446</v>
      </c>
      <c r="G14" s="1525">
        <f t="shared" si="2"/>
        <v>68335</v>
      </c>
      <c r="H14" s="1526">
        <v>408610</v>
      </c>
      <c r="I14" s="492">
        <v>80809</v>
      </c>
      <c r="J14" s="492">
        <v>18953</v>
      </c>
      <c r="K14" s="492">
        <v>470466</v>
      </c>
      <c r="L14" s="492">
        <v>341267</v>
      </c>
      <c r="M14" s="492">
        <v>148152</v>
      </c>
      <c r="N14" s="1527">
        <f t="shared" si="0"/>
        <v>489419</v>
      </c>
      <c r="O14" s="1528">
        <v>79.541216272442654</v>
      </c>
      <c r="P14" s="1529">
        <v>75.293229494057258</v>
      </c>
      <c r="Q14" s="1529">
        <v>69.016177285318562</v>
      </c>
      <c r="R14" s="1529">
        <v>79.768547428583972</v>
      </c>
      <c r="S14" s="1530">
        <v>81.554071071764341</v>
      </c>
      <c r="T14" s="1529">
        <v>73.019519768636926</v>
      </c>
      <c r="U14" s="501">
        <v>78.874539853213108</v>
      </c>
    </row>
    <row r="15" spans="1:21" s="5" customFormat="1" ht="20.100000000000001" customHeight="1">
      <c r="A15" s="1522">
        <f t="shared" si="1"/>
        <v>8</v>
      </c>
      <c r="B15" s="1523" t="s">
        <v>644</v>
      </c>
      <c r="C15" s="1524">
        <v>3057</v>
      </c>
      <c r="D15" s="786">
        <v>714</v>
      </c>
      <c r="E15" s="786">
        <v>271</v>
      </c>
      <c r="F15" s="786">
        <v>3500</v>
      </c>
      <c r="G15" s="1525">
        <f t="shared" si="2"/>
        <v>3771</v>
      </c>
      <c r="H15" s="1526">
        <v>15931</v>
      </c>
      <c r="I15" s="492">
        <v>8916</v>
      </c>
      <c r="J15" s="492">
        <v>2866</v>
      </c>
      <c r="K15" s="492">
        <v>21981</v>
      </c>
      <c r="L15" s="492">
        <v>19403</v>
      </c>
      <c r="M15" s="492">
        <v>5444</v>
      </c>
      <c r="N15" s="1527">
        <f t="shared" si="0"/>
        <v>24847</v>
      </c>
      <c r="O15" s="1528">
        <v>81.637296908438572</v>
      </c>
      <c r="P15" s="1529">
        <v>88.034166897561335</v>
      </c>
      <c r="Q15" s="1529">
        <v>92.525113437826022</v>
      </c>
      <c r="R15" s="1529">
        <v>81.283593495408169</v>
      </c>
      <c r="S15" s="1530">
        <v>88.956427778640617</v>
      </c>
      <c r="T15" s="1529">
        <v>66.77471702471702</v>
      </c>
      <c r="U15" s="501">
        <v>83.90115498568332</v>
      </c>
    </row>
    <row r="16" spans="1:21" s="5" customFormat="1" ht="20.100000000000001" customHeight="1">
      <c r="A16" s="1522">
        <f t="shared" si="1"/>
        <v>9</v>
      </c>
      <c r="B16" s="1523" t="s">
        <v>476</v>
      </c>
      <c r="C16" s="1524">
        <v>22912</v>
      </c>
      <c r="D16" s="786">
        <v>3682</v>
      </c>
      <c r="E16" s="786">
        <v>788</v>
      </c>
      <c r="F16" s="786">
        <v>25806</v>
      </c>
      <c r="G16" s="1525">
        <f t="shared" si="2"/>
        <v>26594</v>
      </c>
      <c r="H16" s="1526">
        <v>113221</v>
      </c>
      <c r="I16" s="492">
        <v>43679</v>
      </c>
      <c r="J16" s="492">
        <v>8815</v>
      </c>
      <c r="K16" s="492">
        <v>148085</v>
      </c>
      <c r="L16" s="492">
        <v>112137</v>
      </c>
      <c r="M16" s="492">
        <v>44763</v>
      </c>
      <c r="N16" s="1527">
        <f t="shared" si="0"/>
        <v>156900</v>
      </c>
      <c r="O16" s="1528">
        <v>74.249781865694686</v>
      </c>
      <c r="P16" s="1529">
        <v>71.704358328796957</v>
      </c>
      <c r="Q16" s="1529">
        <v>72.998236062892374</v>
      </c>
      <c r="R16" s="1529">
        <v>73.728177574233399</v>
      </c>
      <c r="S16" s="1530">
        <v>76.133045753145979</v>
      </c>
      <c r="T16" s="1529">
        <v>67.728124381944923</v>
      </c>
      <c r="U16" s="501">
        <v>73.641150868728062</v>
      </c>
    </row>
    <row r="17" spans="1:21" s="5" customFormat="1" ht="20.100000000000001" customHeight="1">
      <c r="A17" s="1522">
        <f t="shared" si="1"/>
        <v>10</v>
      </c>
      <c r="B17" s="1523" t="s">
        <v>405</v>
      </c>
      <c r="C17" s="1524">
        <v>23721</v>
      </c>
      <c r="D17" s="786">
        <v>4664</v>
      </c>
      <c r="E17" s="786">
        <v>943</v>
      </c>
      <c r="F17" s="786">
        <v>27442</v>
      </c>
      <c r="G17" s="1525">
        <f t="shared" si="2"/>
        <v>28385</v>
      </c>
      <c r="H17" s="1526">
        <v>123154</v>
      </c>
      <c r="I17" s="492">
        <v>42453</v>
      </c>
      <c r="J17" s="492">
        <v>12097</v>
      </c>
      <c r="K17" s="492">
        <v>153510</v>
      </c>
      <c r="L17" s="492">
        <v>118566</v>
      </c>
      <c r="M17" s="492">
        <v>47041</v>
      </c>
      <c r="N17" s="1527">
        <f t="shared" si="0"/>
        <v>165607</v>
      </c>
      <c r="O17" s="1528">
        <v>76.219960423962092</v>
      </c>
      <c r="P17" s="1529">
        <v>71.036310798606038</v>
      </c>
      <c r="Q17" s="1529">
        <v>75.533533696749089</v>
      </c>
      <c r="R17" s="1529">
        <v>74.938675506625884</v>
      </c>
      <c r="S17" s="1530">
        <v>78.691546499348291</v>
      </c>
      <c r="T17" s="1529">
        <v>65.562578025107086</v>
      </c>
      <c r="U17" s="501">
        <v>75.009928641268203</v>
      </c>
    </row>
    <row r="18" spans="1:21" s="5" customFormat="1" ht="20.100000000000001" customHeight="1">
      <c r="A18" s="1522">
        <f t="shared" si="1"/>
        <v>11</v>
      </c>
      <c r="B18" s="1523" t="s">
        <v>406</v>
      </c>
      <c r="C18" s="1524">
        <v>3765</v>
      </c>
      <c r="D18" s="786">
        <v>881</v>
      </c>
      <c r="E18" s="786">
        <v>307</v>
      </c>
      <c r="F18" s="786">
        <v>4339</v>
      </c>
      <c r="G18" s="1525">
        <f t="shared" si="2"/>
        <v>4646</v>
      </c>
      <c r="H18" s="1526">
        <v>35724</v>
      </c>
      <c r="I18" s="492">
        <v>7514</v>
      </c>
      <c r="J18" s="492">
        <v>2770</v>
      </c>
      <c r="K18" s="492">
        <v>40468</v>
      </c>
      <c r="L18" s="492">
        <v>31569</v>
      </c>
      <c r="M18" s="492">
        <v>11669</v>
      </c>
      <c r="N18" s="1527">
        <f t="shared" si="0"/>
        <v>43238</v>
      </c>
      <c r="O18" s="1528">
        <v>88.673600214706426</v>
      </c>
      <c r="P18" s="1529">
        <v>68.408387765478935</v>
      </c>
      <c r="Q18" s="1529">
        <v>65.670503652392142</v>
      </c>
      <c r="R18" s="1529">
        <v>88.168017866990581</v>
      </c>
      <c r="S18" s="1530">
        <v>91.788389004024936</v>
      </c>
      <c r="T18" s="1529">
        <v>68.09649678992831</v>
      </c>
      <c r="U18" s="501">
        <v>85.349489771382949</v>
      </c>
    </row>
    <row r="19" spans="1:21" s="5" customFormat="1" ht="20.100000000000001" customHeight="1">
      <c r="A19" s="1522">
        <f t="shared" si="1"/>
        <v>12</v>
      </c>
      <c r="B19" s="1523" t="s">
        <v>407</v>
      </c>
      <c r="C19" s="1524">
        <v>1617</v>
      </c>
      <c r="D19" s="786">
        <v>857</v>
      </c>
      <c r="E19" s="786">
        <v>238</v>
      </c>
      <c r="F19" s="786">
        <v>2236</v>
      </c>
      <c r="G19" s="1525">
        <f t="shared" si="2"/>
        <v>2474</v>
      </c>
      <c r="H19" s="1526">
        <v>14376</v>
      </c>
      <c r="I19" s="492">
        <v>14356</v>
      </c>
      <c r="J19" s="492">
        <v>5173</v>
      </c>
      <c r="K19" s="492">
        <v>23559</v>
      </c>
      <c r="L19" s="492">
        <v>22688</v>
      </c>
      <c r="M19" s="492">
        <v>6044</v>
      </c>
      <c r="N19" s="1527">
        <f t="shared" si="0"/>
        <v>28732</v>
      </c>
      <c r="O19" s="1528">
        <v>69.110985781276213</v>
      </c>
      <c r="P19" s="1529">
        <v>78.021087723059082</v>
      </c>
      <c r="Q19" s="1529">
        <v>72.777632765040167</v>
      </c>
      <c r="R19" s="1529">
        <v>73.545953429346056</v>
      </c>
      <c r="S19" s="1530">
        <v>77.008717318252607</v>
      </c>
      <c r="T19" s="1529">
        <v>59.569472110046199</v>
      </c>
      <c r="U19" s="501">
        <v>73.293128246671571</v>
      </c>
    </row>
    <row r="20" spans="1:21" s="5" customFormat="1" ht="20.100000000000001" customHeight="1">
      <c r="A20" s="1522">
        <f t="shared" si="1"/>
        <v>13</v>
      </c>
      <c r="B20" s="1523" t="s">
        <v>408</v>
      </c>
      <c r="C20" s="1524">
        <v>2026</v>
      </c>
      <c r="D20" s="786">
        <v>679</v>
      </c>
      <c r="E20" s="786">
        <v>294</v>
      </c>
      <c r="F20" s="786">
        <v>2411</v>
      </c>
      <c r="G20" s="1525">
        <f t="shared" si="2"/>
        <v>2705</v>
      </c>
      <c r="H20" s="1526">
        <v>14626</v>
      </c>
      <c r="I20" s="492">
        <v>7879</v>
      </c>
      <c r="J20" s="492">
        <v>5271</v>
      </c>
      <c r="K20" s="492">
        <v>17234</v>
      </c>
      <c r="L20" s="492">
        <v>17946</v>
      </c>
      <c r="M20" s="492">
        <v>4559</v>
      </c>
      <c r="N20" s="1527">
        <f t="shared" si="0"/>
        <v>22505</v>
      </c>
      <c r="O20" s="1528">
        <v>73.822386029471403</v>
      </c>
      <c r="P20" s="1529">
        <v>73.838391784219951</v>
      </c>
      <c r="Q20" s="1529">
        <v>79.675033198538515</v>
      </c>
      <c r="R20" s="1529">
        <v>69.639162210817631</v>
      </c>
      <c r="S20" s="1530">
        <v>75.73360546978661</v>
      </c>
      <c r="T20" s="1529">
        <v>66.099698962211832</v>
      </c>
      <c r="U20" s="501">
        <v>73.82965408834572</v>
      </c>
    </row>
    <row r="21" spans="1:21" s="5" customFormat="1" ht="20.100000000000001" customHeight="1">
      <c r="A21" s="1522">
        <f t="shared" si="1"/>
        <v>14</v>
      </c>
      <c r="B21" s="1523" t="s">
        <v>409</v>
      </c>
      <c r="C21" s="1524">
        <v>5953</v>
      </c>
      <c r="D21" s="786">
        <v>1123</v>
      </c>
      <c r="E21" s="786">
        <v>351</v>
      </c>
      <c r="F21" s="786">
        <v>6725</v>
      </c>
      <c r="G21" s="1525">
        <f t="shared" si="2"/>
        <v>7076</v>
      </c>
      <c r="H21" s="1526">
        <v>44876</v>
      </c>
      <c r="I21" s="492">
        <v>11372</v>
      </c>
      <c r="J21" s="492">
        <v>3802</v>
      </c>
      <c r="K21" s="492">
        <v>52446</v>
      </c>
      <c r="L21" s="492">
        <v>38919</v>
      </c>
      <c r="M21" s="492">
        <v>17329</v>
      </c>
      <c r="N21" s="1527">
        <f t="shared" si="0"/>
        <v>56248</v>
      </c>
      <c r="O21" s="1528">
        <v>77.775095719633811</v>
      </c>
      <c r="P21" s="1529">
        <v>72.280368310277581</v>
      </c>
      <c r="Q21" s="1529">
        <v>73.076774999387723</v>
      </c>
      <c r="R21" s="1529">
        <v>77.294310739176822</v>
      </c>
      <c r="S21" s="1530">
        <v>80.865299981429757</v>
      </c>
      <c r="T21" s="1529">
        <v>67.689508844916034</v>
      </c>
      <c r="U21" s="501">
        <v>76.747456468536555</v>
      </c>
    </row>
    <row r="22" spans="1:21" s="5" customFormat="1" ht="20.100000000000001" customHeight="1">
      <c r="A22" s="1522">
        <f t="shared" si="1"/>
        <v>15</v>
      </c>
      <c r="B22" s="1523" t="s">
        <v>410</v>
      </c>
      <c r="C22" s="1524">
        <v>4911</v>
      </c>
      <c r="D22" s="786">
        <v>1018</v>
      </c>
      <c r="E22" s="786">
        <v>345</v>
      </c>
      <c r="F22" s="786">
        <v>5584</v>
      </c>
      <c r="G22" s="1525">
        <f t="shared" si="2"/>
        <v>5929</v>
      </c>
      <c r="H22" s="1526">
        <v>26374</v>
      </c>
      <c r="I22" s="492">
        <v>9667</v>
      </c>
      <c r="J22" s="492">
        <v>3069</v>
      </c>
      <c r="K22" s="492">
        <v>32972</v>
      </c>
      <c r="L22" s="492">
        <v>26941</v>
      </c>
      <c r="M22" s="492">
        <v>9100</v>
      </c>
      <c r="N22" s="1527">
        <f t="shared" si="0"/>
        <v>36041</v>
      </c>
      <c r="O22" s="1528">
        <v>75.683421645012402</v>
      </c>
      <c r="P22" s="1529">
        <v>69.149915902644949</v>
      </c>
      <c r="Q22" s="1529">
        <v>74.099614145208619</v>
      </c>
      <c r="R22" s="1529">
        <v>74.082984193602329</v>
      </c>
      <c r="S22" s="1530">
        <v>77.41756137092689</v>
      </c>
      <c r="T22" s="1529">
        <v>64.282634354545777</v>
      </c>
      <c r="U22" s="501">
        <v>74.085791992774219</v>
      </c>
    </row>
    <row r="23" spans="1:21" s="5" customFormat="1" ht="20.100000000000001" customHeight="1">
      <c r="A23" s="1522">
        <f t="shared" si="1"/>
        <v>16</v>
      </c>
      <c r="B23" s="1523" t="s">
        <v>411</v>
      </c>
      <c r="C23" s="1524">
        <v>66300</v>
      </c>
      <c r="D23" s="786">
        <v>7550</v>
      </c>
      <c r="E23" s="786">
        <v>1070</v>
      </c>
      <c r="F23" s="786">
        <v>72780</v>
      </c>
      <c r="G23" s="1525">
        <f t="shared" si="2"/>
        <v>73850</v>
      </c>
      <c r="H23" s="1526">
        <v>572817</v>
      </c>
      <c r="I23" s="492">
        <v>93139</v>
      </c>
      <c r="J23" s="492">
        <v>26572</v>
      </c>
      <c r="K23" s="492">
        <v>639384</v>
      </c>
      <c r="L23" s="492">
        <v>464730</v>
      </c>
      <c r="M23" s="492">
        <v>201226</v>
      </c>
      <c r="N23" s="1527">
        <f t="shared" si="0"/>
        <v>665956</v>
      </c>
      <c r="O23" s="1528">
        <v>88.391536188242767</v>
      </c>
      <c r="P23" s="1529">
        <v>80.042334864802555</v>
      </c>
      <c r="Q23" s="1529">
        <v>59.25</v>
      </c>
      <c r="R23" s="1529">
        <v>90.341203025118546</v>
      </c>
      <c r="S23" s="1530">
        <v>92.371603118189526</v>
      </c>
      <c r="T23" s="1529">
        <v>75.769632616827877</v>
      </c>
      <c r="U23" s="501">
        <v>87.29280027337559</v>
      </c>
    </row>
    <row r="24" spans="1:21" s="5" customFormat="1" ht="20.100000000000001" customHeight="1">
      <c r="A24" s="1522">
        <f t="shared" si="1"/>
        <v>17</v>
      </c>
      <c r="B24" s="1523" t="s">
        <v>412</v>
      </c>
      <c r="C24" s="1524">
        <v>11776</v>
      </c>
      <c r="D24" s="786">
        <v>2426</v>
      </c>
      <c r="E24" s="786">
        <v>588</v>
      </c>
      <c r="F24" s="786">
        <v>13614</v>
      </c>
      <c r="G24" s="1525">
        <f t="shared" si="2"/>
        <v>14202</v>
      </c>
      <c r="H24" s="1526">
        <v>58219</v>
      </c>
      <c r="I24" s="492">
        <v>25713</v>
      </c>
      <c r="J24" s="492">
        <v>5161</v>
      </c>
      <c r="K24" s="492">
        <v>78771</v>
      </c>
      <c r="L24" s="492">
        <v>61970</v>
      </c>
      <c r="M24" s="492">
        <v>21962</v>
      </c>
      <c r="N24" s="1527">
        <f t="shared" si="0"/>
        <v>83932</v>
      </c>
      <c r="O24" s="1528">
        <v>81.541189616544358</v>
      </c>
      <c r="P24" s="1529">
        <v>88.044494736842111</v>
      </c>
      <c r="Q24" s="1529">
        <v>87.386558641922576</v>
      </c>
      <c r="R24" s="1529">
        <v>82.864648612524491</v>
      </c>
      <c r="S24" s="1530">
        <v>88.863188954304192</v>
      </c>
      <c r="T24" s="1529">
        <v>68.979022122360973</v>
      </c>
      <c r="U24" s="501">
        <v>83.446161424658456</v>
      </c>
    </row>
    <row r="25" spans="1:21" s="5" customFormat="1" ht="20.100000000000001" customHeight="1">
      <c r="A25" s="1522">
        <f t="shared" si="1"/>
        <v>18</v>
      </c>
      <c r="B25" s="1523" t="s">
        <v>413</v>
      </c>
      <c r="C25" s="1524">
        <v>2307</v>
      </c>
      <c r="D25" s="786">
        <v>756</v>
      </c>
      <c r="E25" s="786">
        <v>329</v>
      </c>
      <c r="F25" s="786">
        <v>2734</v>
      </c>
      <c r="G25" s="1525">
        <f t="shared" si="2"/>
        <v>3063</v>
      </c>
      <c r="H25" s="1526">
        <v>16670</v>
      </c>
      <c r="I25" s="492">
        <v>8895</v>
      </c>
      <c r="J25" s="492">
        <v>2498</v>
      </c>
      <c r="K25" s="492">
        <v>23067</v>
      </c>
      <c r="L25" s="492">
        <v>18924</v>
      </c>
      <c r="M25" s="492">
        <v>6641</v>
      </c>
      <c r="N25" s="1527">
        <f t="shared" si="0"/>
        <v>25565</v>
      </c>
      <c r="O25" s="1528">
        <v>83.262499470767196</v>
      </c>
      <c r="P25" s="1529">
        <v>68.813469523334987</v>
      </c>
      <c r="Q25" s="1529">
        <v>90.942696382900991</v>
      </c>
      <c r="R25" s="1529">
        <v>75.710820662309928</v>
      </c>
      <c r="S25" s="1530">
        <v>82.553665397139198</v>
      </c>
      <c r="T25" s="1529">
        <v>66.687685463921397</v>
      </c>
      <c r="U25" s="501">
        <v>78.54013951537479</v>
      </c>
    </row>
    <row r="26" spans="1:21" s="5" customFormat="1" ht="20.100000000000001" customHeight="1">
      <c r="A26" s="1522">
        <f t="shared" si="1"/>
        <v>19</v>
      </c>
      <c r="B26" s="1523" t="s">
        <v>414</v>
      </c>
      <c r="C26" s="1524">
        <v>6944</v>
      </c>
      <c r="D26" s="786">
        <v>1544</v>
      </c>
      <c r="E26" s="786">
        <v>556</v>
      </c>
      <c r="F26" s="786">
        <v>7932</v>
      </c>
      <c r="G26" s="1525">
        <f t="shared" si="2"/>
        <v>8488</v>
      </c>
      <c r="H26" s="1526">
        <v>43484</v>
      </c>
      <c r="I26" s="492">
        <v>15456</v>
      </c>
      <c r="J26" s="492">
        <v>4786</v>
      </c>
      <c r="K26" s="492">
        <v>54154</v>
      </c>
      <c r="L26" s="492">
        <v>43778</v>
      </c>
      <c r="M26" s="492">
        <v>15162</v>
      </c>
      <c r="N26" s="1527">
        <f t="shared" si="0"/>
        <v>58940</v>
      </c>
      <c r="O26" s="1528">
        <v>71.97856010564864</v>
      </c>
      <c r="P26" s="1529">
        <v>70.325732716377445</v>
      </c>
      <c r="Q26" s="1529">
        <v>75.030641558827</v>
      </c>
      <c r="R26" s="1529">
        <v>70.920074346783835</v>
      </c>
      <c r="S26" s="1530">
        <v>73.961928383221505</v>
      </c>
      <c r="T26" s="1529">
        <v>64.641880630789231</v>
      </c>
      <c r="U26" s="501">
        <v>71.571517332061788</v>
      </c>
    </row>
    <row r="27" spans="1:21" s="5" customFormat="1" ht="20.100000000000001" customHeight="1">
      <c r="A27" s="1522">
        <f t="shared" si="1"/>
        <v>20</v>
      </c>
      <c r="B27" s="1523" t="s">
        <v>415</v>
      </c>
      <c r="C27" s="1524">
        <v>21515</v>
      </c>
      <c r="D27" s="786">
        <v>3279</v>
      </c>
      <c r="E27" s="786">
        <v>662</v>
      </c>
      <c r="F27" s="786">
        <v>24132</v>
      </c>
      <c r="G27" s="1525">
        <f t="shared" si="2"/>
        <v>24794</v>
      </c>
      <c r="H27" s="1526">
        <v>156001</v>
      </c>
      <c r="I27" s="492">
        <v>32980</v>
      </c>
      <c r="J27" s="492">
        <v>8644</v>
      </c>
      <c r="K27" s="492">
        <v>180337</v>
      </c>
      <c r="L27" s="492">
        <v>126853</v>
      </c>
      <c r="M27" s="492">
        <v>62128</v>
      </c>
      <c r="N27" s="1527">
        <f t="shared" si="0"/>
        <v>188981</v>
      </c>
      <c r="O27" s="1528">
        <v>73.067774608808463</v>
      </c>
      <c r="P27" s="1529">
        <v>72.479294139528719</v>
      </c>
      <c r="Q27" s="1529">
        <v>59.25</v>
      </c>
      <c r="R27" s="1529">
        <v>74.378828135570828</v>
      </c>
      <c r="S27" s="1530">
        <v>75.974282779953413</v>
      </c>
      <c r="T27" s="1529">
        <v>67.145868815015973</v>
      </c>
      <c r="U27" s="501">
        <v>72.979585516803127</v>
      </c>
    </row>
    <row r="28" spans="1:21" s="5" customFormat="1" ht="20.100000000000001" customHeight="1">
      <c r="A28" s="1522">
        <f t="shared" si="1"/>
        <v>21</v>
      </c>
      <c r="B28" s="1523" t="s">
        <v>502</v>
      </c>
      <c r="C28" s="1524">
        <v>12823</v>
      </c>
      <c r="D28" s="786">
        <v>1818</v>
      </c>
      <c r="E28" s="786">
        <v>657</v>
      </c>
      <c r="F28" s="786">
        <v>13984</v>
      </c>
      <c r="G28" s="1525">
        <f t="shared" si="2"/>
        <v>14641</v>
      </c>
      <c r="H28" s="1526">
        <v>85587</v>
      </c>
      <c r="I28" s="492">
        <v>53436</v>
      </c>
      <c r="J28" s="492">
        <v>15922</v>
      </c>
      <c r="K28" s="492">
        <v>123101</v>
      </c>
      <c r="L28" s="492">
        <v>110072</v>
      </c>
      <c r="M28" s="492">
        <v>28951</v>
      </c>
      <c r="N28" s="1527">
        <f t="shared" si="0"/>
        <v>139023</v>
      </c>
      <c r="O28" s="1528">
        <v>78.384256650169931</v>
      </c>
      <c r="P28" s="1529">
        <v>69.941000286378497</v>
      </c>
      <c r="Q28" s="1529">
        <v>87.423924777001304</v>
      </c>
      <c r="R28" s="1529">
        <v>71.702717373441729</v>
      </c>
      <c r="S28" s="1530">
        <v>77.550868037838967</v>
      </c>
      <c r="T28" s="1529">
        <v>67.257144024888092</v>
      </c>
      <c r="U28" s="501">
        <v>75.315333354566491</v>
      </c>
    </row>
    <row r="29" spans="1:21" s="5" customFormat="1" ht="20.100000000000001" customHeight="1">
      <c r="A29" s="1522">
        <f t="shared" si="1"/>
        <v>22</v>
      </c>
      <c r="B29" s="1523" t="s">
        <v>503</v>
      </c>
      <c r="C29" s="1524">
        <v>8262</v>
      </c>
      <c r="D29" s="786">
        <v>1224</v>
      </c>
      <c r="E29" s="786">
        <v>448</v>
      </c>
      <c r="F29" s="786">
        <v>9038</v>
      </c>
      <c r="G29" s="1525">
        <f t="shared" si="2"/>
        <v>9486</v>
      </c>
      <c r="H29" s="1526">
        <v>43572</v>
      </c>
      <c r="I29" s="492">
        <v>13776</v>
      </c>
      <c r="J29" s="492">
        <v>3806</v>
      </c>
      <c r="K29" s="492">
        <v>53542</v>
      </c>
      <c r="L29" s="492">
        <v>36749</v>
      </c>
      <c r="M29" s="492">
        <v>20599</v>
      </c>
      <c r="N29" s="1527">
        <f t="shared" si="0"/>
        <v>57348</v>
      </c>
      <c r="O29" s="1528">
        <v>74.990641077795587</v>
      </c>
      <c r="P29" s="1529">
        <v>74.384152465496015</v>
      </c>
      <c r="Q29" s="1529">
        <v>77.120282793997063</v>
      </c>
      <c r="R29" s="1529">
        <v>74.515945720067478</v>
      </c>
      <c r="S29" s="1530">
        <v>78.391357082979212</v>
      </c>
      <c r="T29" s="1529">
        <v>68.640365816908698</v>
      </c>
      <c r="U29" s="501">
        <v>74.844160859058022</v>
      </c>
    </row>
    <row r="30" spans="1:21" s="5" customFormat="1" ht="20.100000000000001" customHeight="1">
      <c r="A30" s="1522">
        <f t="shared" si="1"/>
        <v>23</v>
      </c>
      <c r="B30" s="1523" t="s">
        <v>504</v>
      </c>
      <c r="C30" s="1524">
        <v>6141</v>
      </c>
      <c r="D30" s="786">
        <v>1374</v>
      </c>
      <c r="E30" s="786">
        <v>370</v>
      </c>
      <c r="F30" s="786">
        <v>7145</v>
      </c>
      <c r="G30" s="1525">
        <f t="shared" si="2"/>
        <v>7515</v>
      </c>
      <c r="H30" s="1526">
        <v>40196</v>
      </c>
      <c r="I30" s="492">
        <v>24319</v>
      </c>
      <c r="J30" s="492">
        <v>7143</v>
      </c>
      <c r="K30" s="492">
        <v>57372</v>
      </c>
      <c r="L30" s="492">
        <v>50906</v>
      </c>
      <c r="M30" s="492">
        <v>13609</v>
      </c>
      <c r="N30" s="1527">
        <f t="shared" si="0"/>
        <v>64515</v>
      </c>
      <c r="O30" s="1528">
        <v>76.743969428986432</v>
      </c>
      <c r="P30" s="1529">
        <v>70.916653881500494</v>
      </c>
      <c r="Q30" s="1529">
        <v>89.433048562628073</v>
      </c>
      <c r="R30" s="1529">
        <v>70.684580781796384</v>
      </c>
      <c r="S30" s="1530">
        <v>77.369252958124548</v>
      </c>
      <c r="T30" s="1529">
        <v>64.197442406700034</v>
      </c>
      <c r="U30" s="501">
        <v>74.679373133974821</v>
      </c>
    </row>
    <row r="31" spans="1:21" s="5" customFormat="1" ht="20.100000000000001" customHeight="1">
      <c r="A31" s="1522">
        <f t="shared" si="1"/>
        <v>24</v>
      </c>
      <c r="B31" s="1523" t="s">
        <v>700</v>
      </c>
      <c r="C31" s="1524">
        <v>2818</v>
      </c>
      <c r="D31" s="786">
        <v>910</v>
      </c>
      <c r="E31" s="786">
        <v>336</v>
      </c>
      <c r="F31" s="786">
        <v>3392</v>
      </c>
      <c r="G31" s="1525">
        <f t="shared" si="2"/>
        <v>3728</v>
      </c>
      <c r="H31" s="1526">
        <v>16921</v>
      </c>
      <c r="I31" s="492">
        <v>12276</v>
      </c>
      <c r="J31" s="492">
        <v>3798</v>
      </c>
      <c r="K31" s="492">
        <v>25399</v>
      </c>
      <c r="L31" s="492">
        <v>22826</v>
      </c>
      <c r="M31" s="492">
        <v>6371</v>
      </c>
      <c r="N31" s="1527">
        <f t="shared" si="0"/>
        <v>29197</v>
      </c>
      <c r="O31" s="1528">
        <v>86.83325344148237</v>
      </c>
      <c r="P31" s="1529">
        <v>86.663053264558243</v>
      </c>
      <c r="Q31" s="1529">
        <v>86.712837053170375</v>
      </c>
      <c r="R31" s="1529">
        <v>86.78537719909869</v>
      </c>
      <c r="S31" s="1530">
        <v>91.921778985674138</v>
      </c>
      <c r="T31" s="1529">
        <v>68.430605350623878</v>
      </c>
      <c r="U31" s="501">
        <v>86.757266411116433</v>
      </c>
    </row>
    <row r="32" spans="1:21" s="5" customFormat="1" ht="20.100000000000001" customHeight="1">
      <c r="A32" s="1522">
        <f t="shared" si="1"/>
        <v>25</v>
      </c>
      <c r="B32" s="1523" t="s">
        <v>701</v>
      </c>
      <c r="C32" s="1524">
        <v>8027</v>
      </c>
      <c r="D32" s="786">
        <v>2042</v>
      </c>
      <c r="E32" s="786">
        <v>770</v>
      </c>
      <c r="F32" s="786">
        <v>9299</v>
      </c>
      <c r="G32" s="1525">
        <f t="shared" si="2"/>
        <v>10069</v>
      </c>
      <c r="H32" s="1526">
        <v>46374</v>
      </c>
      <c r="I32" s="492">
        <v>35991</v>
      </c>
      <c r="J32" s="492">
        <v>8709</v>
      </c>
      <c r="K32" s="492">
        <v>73656</v>
      </c>
      <c r="L32" s="492">
        <v>66301</v>
      </c>
      <c r="M32" s="492">
        <v>16064</v>
      </c>
      <c r="N32" s="1527">
        <f t="shared" si="0"/>
        <v>82365</v>
      </c>
      <c r="O32" s="1528">
        <v>81.605005239113737</v>
      </c>
      <c r="P32" s="1529">
        <v>78.431663841899578</v>
      </c>
      <c r="Q32" s="1529">
        <v>95.149279347843148</v>
      </c>
      <c r="R32" s="1529">
        <v>76.118661221767383</v>
      </c>
      <c r="S32" s="1530">
        <v>82.064250142824804</v>
      </c>
      <c r="T32" s="1529">
        <v>73.267494240225574</v>
      </c>
      <c r="U32" s="501">
        <v>80.300529233219407</v>
      </c>
    </row>
    <row r="33" spans="1:21" s="5" customFormat="1" ht="20.100000000000001" customHeight="1">
      <c r="A33" s="1522">
        <f t="shared" si="1"/>
        <v>26</v>
      </c>
      <c r="B33" s="1523" t="s">
        <v>26</v>
      </c>
      <c r="C33" s="1524">
        <v>16442</v>
      </c>
      <c r="D33" s="786">
        <v>3632</v>
      </c>
      <c r="E33" s="786">
        <v>689</v>
      </c>
      <c r="F33" s="786">
        <v>19385</v>
      </c>
      <c r="G33" s="1525">
        <f t="shared" si="2"/>
        <v>20074</v>
      </c>
      <c r="H33" s="1526">
        <v>124923</v>
      </c>
      <c r="I33" s="492">
        <v>44110</v>
      </c>
      <c r="J33" s="492">
        <v>11972</v>
      </c>
      <c r="K33" s="492">
        <v>157061</v>
      </c>
      <c r="L33" s="492">
        <v>118424</v>
      </c>
      <c r="M33" s="492">
        <v>50609</v>
      </c>
      <c r="N33" s="1527">
        <f t="shared" si="0"/>
        <v>169033</v>
      </c>
      <c r="O33" s="1528">
        <v>92.187512463704593</v>
      </c>
      <c r="P33" s="1529">
        <v>75.191809168229454</v>
      </c>
      <c r="Q33" s="1529">
        <v>99.624134973701985</v>
      </c>
      <c r="R33" s="1529">
        <v>86.231153267695916</v>
      </c>
      <c r="S33" s="1530">
        <v>94.408560682003369</v>
      </c>
      <c r="T33" s="1529">
        <v>72.84500247585251</v>
      </c>
      <c r="U33" s="501">
        <v>88.057622189029956</v>
      </c>
    </row>
    <row r="34" spans="1:21" s="5" customFormat="1" ht="20.100000000000001" customHeight="1">
      <c r="A34" s="1522">
        <f t="shared" si="1"/>
        <v>27</v>
      </c>
      <c r="B34" s="1523" t="s">
        <v>95</v>
      </c>
      <c r="C34" s="1524">
        <v>30049</v>
      </c>
      <c r="D34" s="786">
        <v>2601</v>
      </c>
      <c r="E34" s="786">
        <v>577</v>
      </c>
      <c r="F34" s="786">
        <v>32073</v>
      </c>
      <c r="G34" s="1525">
        <f t="shared" si="2"/>
        <v>32650</v>
      </c>
      <c r="H34" s="1526">
        <v>220370</v>
      </c>
      <c r="I34" s="492">
        <v>52257</v>
      </c>
      <c r="J34" s="492">
        <v>17150</v>
      </c>
      <c r="K34" s="492">
        <v>255477</v>
      </c>
      <c r="L34" s="492">
        <v>219154</v>
      </c>
      <c r="M34" s="492">
        <v>53473</v>
      </c>
      <c r="N34" s="1527">
        <f t="shared" si="0"/>
        <v>272627</v>
      </c>
      <c r="O34" s="1528">
        <v>73.584572629701242</v>
      </c>
      <c r="P34" s="1529">
        <v>72.733139293385591</v>
      </c>
      <c r="Q34" s="1529">
        <v>59.25</v>
      </c>
      <c r="R34" s="1529">
        <v>76.106213237914659</v>
      </c>
      <c r="S34" s="1530">
        <v>74.633763927019373</v>
      </c>
      <c r="T34" s="1529">
        <v>68.33070020452881</v>
      </c>
      <c r="U34" s="501">
        <v>73.440793580703669</v>
      </c>
    </row>
    <row r="35" spans="1:21" s="5" customFormat="1" ht="20.100000000000001" customHeight="1">
      <c r="A35" s="1522">
        <f t="shared" si="1"/>
        <v>28</v>
      </c>
      <c r="B35" s="1523" t="s">
        <v>773</v>
      </c>
      <c r="C35" s="1524">
        <v>6600</v>
      </c>
      <c r="D35" s="786">
        <v>1879</v>
      </c>
      <c r="E35" s="786">
        <v>611</v>
      </c>
      <c r="F35" s="786">
        <v>7868</v>
      </c>
      <c r="G35" s="1525">
        <f t="shared" si="2"/>
        <v>8479</v>
      </c>
      <c r="H35" s="1526">
        <v>33736</v>
      </c>
      <c r="I35" s="492">
        <v>18940</v>
      </c>
      <c r="J35" s="492">
        <v>5198</v>
      </c>
      <c r="K35" s="492">
        <v>47478</v>
      </c>
      <c r="L35" s="492">
        <v>35704</v>
      </c>
      <c r="M35" s="492">
        <v>16972</v>
      </c>
      <c r="N35" s="1527">
        <f t="shared" si="0"/>
        <v>52676</v>
      </c>
      <c r="O35" s="1528">
        <v>68.771665857570369</v>
      </c>
      <c r="P35" s="1529">
        <v>66.536213324754812</v>
      </c>
      <c r="Q35" s="1529">
        <v>67.678127709710935</v>
      </c>
      <c r="R35" s="1529">
        <v>68.121526843205856</v>
      </c>
      <c r="S35" s="1530">
        <v>70.493065825397338</v>
      </c>
      <c r="T35" s="1529">
        <v>62.944376381936955</v>
      </c>
      <c r="U35" s="501">
        <v>68.030514019011378</v>
      </c>
    </row>
    <row r="36" spans="1:21" s="5" customFormat="1" ht="20.100000000000001" customHeight="1">
      <c r="A36" s="1522">
        <f t="shared" si="1"/>
        <v>29</v>
      </c>
      <c r="B36" s="1523" t="s">
        <v>774</v>
      </c>
      <c r="C36" s="1524">
        <v>1611</v>
      </c>
      <c r="D36" s="786">
        <v>639</v>
      </c>
      <c r="E36" s="786">
        <v>218</v>
      </c>
      <c r="F36" s="786">
        <v>2032</v>
      </c>
      <c r="G36" s="1525">
        <f t="shared" si="2"/>
        <v>2250</v>
      </c>
      <c r="H36" s="1526">
        <v>8566</v>
      </c>
      <c r="I36" s="492">
        <v>6404</v>
      </c>
      <c r="J36" s="492">
        <v>1842</v>
      </c>
      <c r="K36" s="492">
        <v>13128</v>
      </c>
      <c r="L36" s="492">
        <v>11238</v>
      </c>
      <c r="M36" s="492">
        <v>3732</v>
      </c>
      <c r="N36" s="1527">
        <f t="shared" si="0"/>
        <v>14970</v>
      </c>
      <c r="O36" s="1528">
        <v>82.195556231319244</v>
      </c>
      <c r="P36" s="1529">
        <v>74.753302713196646</v>
      </c>
      <c r="Q36" s="1529">
        <v>85.77618884837436</v>
      </c>
      <c r="R36" s="1529">
        <v>76.982992253550321</v>
      </c>
      <c r="S36" s="1530">
        <v>84.273227751918725</v>
      </c>
      <c r="T36" s="1529">
        <v>64.017826128447368</v>
      </c>
      <c r="U36" s="501">
        <v>79.203462862247449</v>
      </c>
    </row>
    <row r="37" spans="1:21" s="5" customFormat="1" ht="20.100000000000001" customHeight="1">
      <c r="A37" s="1522">
        <f t="shared" si="1"/>
        <v>30</v>
      </c>
      <c r="B37" s="1523" t="s">
        <v>775</v>
      </c>
      <c r="C37" s="1524">
        <v>841</v>
      </c>
      <c r="D37" s="786">
        <v>489</v>
      </c>
      <c r="E37" s="786">
        <v>157</v>
      </c>
      <c r="F37" s="786">
        <v>1173</v>
      </c>
      <c r="G37" s="1525">
        <f t="shared" si="2"/>
        <v>1330</v>
      </c>
      <c r="H37" s="1526">
        <v>7951</v>
      </c>
      <c r="I37" s="492">
        <v>7308</v>
      </c>
      <c r="J37" s="492">
        <v>3916</v>
      </c>
      <c r="K37" s="492">
        <v>11343</v>
      </c>
      <c r="L37" s="492">
        <v>10356</v>
      </c>
      <c r="M37" s="492">
        <v>4903</v>
      </c>
      <c r="N37" s="1527">
        <f t="shared" si="0"/>
        <v>15259</v>
      </c>
      <c r="O37" s="1528">
        <v>74.179328223174664</v>
      </c>
      <c r="P37" s="1529">
        <v>77.734892957812093</v>
      </c>
      <c r="Q37" s="1529">
        <v>79.489043301867483</v>
      </c>
      <c r="R37" s="1529">
        <v>71.223541935974453</v>
      </c>
      <c r="S37" s="1530">
        <v>80.663285624510138</v>
      </c>
      <c r="T37" s="1529">
        <v>65.404448261306243</v>
      </c>
      <c r="U37" s="501">
        <v>75.679083223978239</v>
      </c>
    </row>
    <row r="38" spans="1:21" s="5" customFormat="1" ht="20.100000000000001" customHeight="1">
      <c r="A38" s="1522">
        <f t="shared" si="1"/>
        <v>31</v>
      </c>
      <c r="B38" s="1523" t="s">
        <v>371</v>
      </c>
      <c r="C38" s="1524">
        <v>19096</v>
      </c>
      <c r="D38" s="786">
        <v>3170</v>
      </c>
      <c r="E38" s="786">
        <v>696</v>
      </c>
      <c r="F38" s="786">
        <v>21570</v>
      </c>
      <c r="G38" s="1525">
        <f t="shared" si="2"/>
        <v>22266</v>
      </c>
      <c r="H38" s="1526">
        <v>117362</v>
      </c>
      <c r="I38" s="492">
        <v>41903</v>
      </c>
      <c r="J38" s="492">
        <v>14180</v>
      </c>
      <c r="K38" s="492">
        <v>145085</v>
      </c>
      <c r="L38" s="492">
        <v>118782</v>
      </c>
      <c r="M38" s="492">
        <v>40483</v>
      </c>
      <c r="N38" s="1527">
        <f t="shared" si="0"/>
        <v>159265</v>
      </c>
      <c r="O38" s="1528">
        <v>80.029858532100405</v>
      </c>
      <c r="P38" s="1529">
        <v>67.310619068667862</v>
      </c>
      <c r="Q38" s="1529">
        <v>62.556895579965179</v>
      </c>
      <c r="R38" s="1529">
        <v>79.83949766318834</v>
      </c>
      <c r="S38" s="1530">
        <v>80.885284751783075</v>
      </c>
      <c r="T38" s="1529">
        <v>64.541467321285566</v>
      </c>
      <c r="U38" s="501">
        <v>76.937386216110852</v>
      </c>
    </row>
    <row r="39" spans="1:21" s="5" customFormat="1" ht="20.100000000000001" customHeight="1">
      <c r="A39" s="1522">
        <f t="shared" si="1"/>
        <v>32</v>
      </c>
      <c r="B39" s="1523" t="s">
        <v>459</v>
      </c>
      <c r="C39" s="1524">
        <v>7549</v>
      </c>
      <c r="D39" s="786">
        <v>1445</v>
      </c>
      <c r="E39" s="786">
        <v>532</v>
      </c>
      <c r="F39" s="786">
        <v>8462</v>
      </c>
      <c r="G39" s="1525">
        <f t="shared" si="2"/>
        <v>8994</v>
      </c>
      <c r="H39" s="1526">
        <v>41168</v>
      </c>
      <c r="I39" s="492">
        <v>17561</v>
      </c>
      <c r="J39" s="492">
        <v>5311</v>
      </c>
      <c r="K39" s="492">
        <v>53418</v>
      </c>
      <c r="L39" s="492">
        <v>41889</v>
      </c>
      <c r="M39" s="492">
        <v>16840</v>
      </c>
      <c r="N39" s="1527">
        <f t="shared" si="0"/>
        <v>58729</v>
      </c>
      <c r="O39" s="1528">
        <v>74.116687765856184</v>
      </c>
      <c r="P39" s="1529">
        <v>71.017344853454745</v>
      </c>
      <c r="Q39" s="1529">
        <v>72.075708926217601</v>
      </c>
      <c r="R39" s="1529">
        <v>73.494147290149428</v>
      </c>
      <c r="S39" s="1530">
        <v>76.297837560732219</v>
      </c>
      <c r="T39" s="1529">
        <v>65.584557325728497</v>
      </c>
      <c r="U39" s="501">
        <v>73.241626137205401</v>
      </c>
    </row>
    <row r="40" spans="1:21" s="5" customFormat="1" ht="20.100000000000001" customHeight="1">
      <c r="A40" s="1522">
        <f t="shared" si="1"/>
        <v>33</v>
      </c>
      <c r="B40" s="1523" t="s">
        <v>33</v>
      </c>
      <c r="C40" s="1524">
        <v>31720</v>
      </c>
      <c r="D40" s="786">
        <v>4482</v>
      </c>
      <c r="E40" s="786">
        <v>874</v>
      </c>
      <c r="F40" s="786">
        <v>35328</v>
      </c>
      <c r="G40" s="1525">
        <f t="shared" si="2"/>
        <v>36202</v>
      </c>
      <c r="H40" s="1526">
        <v>179244</v>
      </c>
      <c r="I40" s="492">
        <v>57703</v>
      </c>
      <c r="J40" s="492">
        <v>16009</v>
      </c>
      <c r="K40" s="492">
        <v>220938</v>
      </c>
      <c r="L40" s="492">
        <v>174413</v>
      </c>
      <c r="M40" s="492">
        <v>62534</v>
      </c>
      <c r="N40" s="1527">
        <f t="shared" si="0"/>
        <v>236947</v>
      </c>
      <c r="O40" s="1528">
        <v>76.287080185692034</v>
      </c>
      <c r="P40" s="1529">
        <v>72.769248295167174</v>
      </c>
      <c r="Q40" s="1529">
        <v>72.484916504143655</v>
      </c>
      <c r="R40" s="1529">
        <v>76.000092049159733</v>
      </c>
      <c r="S40" s="1530">
        <v>78.333789922550181</v>
      </c>
      <c r="T40" s="1529">
        <v>67.701653240091204</v>
      </c>
      <c r="U40" s="501">
        <v>75.528777852742152</v>
      </c>
    </row>
    <row r="41" spans="1:21" s="5" customFormat="1" ht="20.100000000000001" customHeight="1">
      <c r="A41" s="1522">
        <f t="shared" si="1"/>
        <v>34</v>
      </c>
      <c r="B41" s="1523" t="s">
        <v>34</v>
      </c>
      <c r="C41" s="1524">
        <v>469990</v>
      </c>
      <c r="D41" s="786">
        <v>33317</v>
      </c>
      <c r="E41" s="786">
        <v>5296</v>
      </c>
      <c r="F41" s="786">
        <v>498011</v>
      </c>
      <c r="G41" s="1525">
        <f t="shared" si="2"/>
        <v>503307</v>
      </c>
      <c r="H41" s="1526">
        <v>3397401</v>
      </c>
      <c r="I41" s="492">
        <v>604029</v>
      </c>
      <c r="J41" s="492">
        <v>127005</v>
      </c>
      <c r="K41" s="492">
        <v>3874425</v>
      </c>
      <c r="L41" s="492">
        <v>2766179</v>
      </c>
      <c r="M41" s="492">
        <v>1235251</v>
      </c>
      <c r="N41" s="1527">
        <f t="shared" si="0"/>
        <v>4001430</v>
      </c>
      <c r="O41" s="1528">
        <v>102.54664500864877</v>
      </c>
      <c r="P41" s="1529">
        <v>87.127237435911368</v>
      </c>
      <c r="Q41" s="1529">
        <v>77.404085990069021</v>
      </c>
      <c r="R41" s="1529">
        <v>101.98637613169998</v>
      </c>
      <c r="S41" s="1530">
        <v>101.45854719935195</v>
      </c>
      <c r="T41" s="1529">
        <v>98.156111677585486</v>
      </c>
      <c r="U41" s="501">
        <v>100.40396491550649</v>
      </c>
    </row>
    <row r="42" spans="1:21" s="5" customFormat="1" ht="20.100000000000001" customHeight="1">
      <c r="A42" s="1522">
        <f t="shared" si="1"/>
        <v>35</v>
      </c>
      <c r="B42" s="1523" t="s">
        <v>35</v>
      </c>
      <c r="C42" s="1524">
        <v>112439</v>
      </c>
      <c r="D42" s="786">
        <v>11179</v>
      </c>
      <c r="E42" s="786">
        <v>2434</v>
      </c>
      <c r="F42" s="786">
        <v>121184</v>
      </c>
      <c r="G42" s="1525">
        <f t="shared" si="2"/>
        <v>123618</v>
      </c>
      <c r="H42" s="1526">
        <v>712135</v>
      </c>
      <c r="I42" s="492">
        <v>157567</v>
      </c>
      <c r="J42" s="492">
        <v>37628</v>
      </c>
      <c r="K42" s="492">
        <v>832074</v>
      </c>
      <c r="L42" s="492">
        <v>598080</v>
      </c>
      <c r="M42" s="492">
        <v>271622</v>
      </c>
      <c r="N42" s="1527">
        <f t="shared" si="0"/>
        <v>869702</v>
      </c>
      <c r="O42" s="1528">
        <v>88.633506266604243</v>
      </c>
      <c r="P42" s="1529">
        <v>91.535342205926639</v>
      </c>
      <c r="Q42" s="1529">
        <v>74.38921577853904</v>
      </c>
      <c r="R42" s="1529">
        <v>90.509398965841314</v>
      </c>
      <c r="S42" s="1530">
        <v>94.505952691738656</v>
      </c>
      <c r="T42" s="1529">
        <v>77.633976451910684</v>
      </c>
      <c r="U42" s="501">
        <v>89.10729869826551</v>
      </c>
    </row>
    <row r="43" spans="1:21" s="5" customFormat="1" ht="20.100000000000001" customHeight="1">
      <c r="A43" s="1522">
        <f t="shared" si="1"/>
        <v>36</v>
      </c>
      <c r="B43" s="1523" t="s">
        <v>36</v>
      </c>
      <c r="C43" s="1524">
        <v>2132</v>
      </c>
      <c r="D43" s="786">
        <v>788</v>
      </c>
      <c r="E43" s="786">
        <v>294</v>
      </c>
      <c r="F43" s="786">
        <v>2626</v>
      </c>
      <c r="G43" s="1525">
        <f t="shared" si="2"/>
        <v>2920</v>
      </c>
      <c r="H43" s="1526">
        <v>12740</v>
      </c>
      <c r="I43" s="492">
        <v>10928</v>
      </c>
      <c r="J43" s="492">
        <v>3071</v>
      </c>
      <c r="K43" s="492">
        <v>20597</v>
      </c>
      <c r="L43" s="492">
        <v>18606</v>
      </c>
      <c r="M43" s="492">
        <v>5062</v>
      </c>
      <c r="N43" s="1527">
        <f t="shared" si="0"/>
        <v>23668</v>
      </c>
      <c r="O43" s="1528">
        <v>83.85460617258606</v>
      </c>
      <c r="P43" s="1529">
        <v>82.540752340378972</v>
      </c>
      <c r="Q43" s="1529">
        <v>93.370563482299914</v>
      </c>
      <c r="R43" s="1529">
        <v>79.639190236542689</v>
      </c>
      <c r="S43" s="1530">
        <v>86.387029011489233</v>
      </c>
      <c r="T43" s="1529">
        <v>72.207119136571194</v>
      </c>
      <c r="U43" s="501">
        <v>83.27084486313241</v>
      </c>
    </row>
    <row r="44" spans="1:21" s="5" customFormat="1" ht="20.100000000000001" customHeight="1">
      <c r="A44" s="1522">
        <f t="shared" si="1"/>
        <v>37</v>
      </c>
      <c r="B44" s="1523" t="s">
        <v>37</v>
      </c>
      <c r="C44" s="1524">
        <v>5789</v>
      </c>
      <c r="D44" s="786">
        <v>1617</v>
      </c>
      <c r="E44" s="786">
        <v>652</v>
      </c>
      <c r="F44" s="786">
        <v>6754</v>
      </c>
      <c r="G44" s="1525">
        <f t="shared" si="2"/>
        <v>7406</v>
      </c>
      <c r="H44" s="1526">
        <v>32075</v>
      </c>
      <c r="I44" s="492">
        <v>14428</v>
      </c>
      <c r="J44" s="492">
        <v>4569</v>
      </c>
      <c r="K44" s="492">
        <v>41934</v>
      </c>
      <c r="L44" s="492">
        <v>34091</v>
      </c>
      <c r="M44" s="492">
        <v>12412</v>
      </c>
      <c r="N44" s="1527">
        <f t="shared" si="0"/>
        <v>46503</v>
      </c>
      <c r="O44" s="1528">
        <v>74.163420819201676</v>
      </c>
      <c r="P44" s="1529">
        <v>74.937619197064436</v>
      </c>
      <c r="Q44" s="1529">
        <v>87.785432621191973</v>
      </c>
      <c r="R44" s="1529">
        <v>71.015997789519389</v>
      </c>
      <c r="S44" s="1530">
        <v>78.411790738818965</v>
      </c>
      <c r="T44" s="1529">
        <v>63.293128471625316</v>
      </c>
      <c r="U44" s="501">
        <v>74.381135704518471</v>
      </c>
    </row>
    <row r="45" spans="1:21" s="5" customFormat="1" ht="20.100000000000001" customHeight="1">
      <c r="A45" s="1522">
        <f t="shared" si="1"/>
        <v>38</v>
      </c>
      <c r="B45" s="1523" t="s">
        <v>38</v>
      </c>
      <c r="C45" s="1524">
        <v>26449</v>
      </c>
      <c r="D45" s="786">
        <v>3571</v>
      </c>
      <c r="E45" s="786">
        <v>781</v>
      </c>
      <c r="F45" s="786">
        <v>29239</v>
      </c>
      <c r="G45" s="1525">
        <f t="shared" si="2"/>
        <v>30020</v>
      </c>
      <c r="H45" s="1526">
        <v>171994</v>
      </c>
      <c r="I45" s="492">
        <v>41785</v>
      </c>
      <c r="J45" s="492">
        <v>14139</v>
      </c>
      <c r="K45" s="492">
        <v>199640</v>
      </c>
      <c r="L45" s="492">
        <v>166504</v>
      </c>
      <c r="M45" s="492">
        <v>47275</v>
      </c>
      <c r="N45" s="1527">
        <f t="shared" si="0"/>
        <v>213779</v>
      </c>
      <c r="O45" s="1528">
        <v>81.942058625576422</v>
      </c>
      <c r="P45" s="1529">
        <v>71.525315128581028</v>
      </c>
      <c r="Q45" s="1529">
        <v>79.401184433794228</v>
      </c>
      <c r="R45" s="1529">
        <v>80.166370731464397</v>
      </c>
      <c r="S45" s="1530">
        <v>83.276673667763532</v>
      </c>
      <c r="T45" s="1529">
        <v>68.335464283711275</v>
      </c>
      <c r="U45" s="501">
        <v>80.067977038647115</v>
      </c>
    </row>
    <row r="46" spans="1:21" s="5" customFormat="1" ht="20.100000000000001" customHeight="1">
      <c r="A46" s="1522">
        <f t="shared" si="1"/>
        <v>39</v>
      </c>
      <c r="B46" s="1523" t="s">
        <v>39</v>
      </c>
      <c r="C46" s="1524">
        <v>6682</v>
      </c>
      <c r="D46" s="786">
        <v>1394</v>
      </c>
      <c r="E46" s="786">
        <v>363</v>
      </c>
      <c r="F46" s="786">
        <v>7713</v>
      </c>
      <c r="G46" s="1525">
        <f t="shared" si="2"/>
        <v>8076</v>
      </c>
      <c r="H46" s="1526">
        <v>52920</v>
      </c>
      <c r="I46" s="492">
        <v>13263</v>
      </c>
      <c r="J46" s="492">
        <v>2906</v>
      </c>
      <c r="K46" s="492">
        <v>63277</v>
      </c>
      <c r="L46" s="492">
        <v>46199</v>
      </c>
      <c r="M46" s="492">
        <v>19984</v>
      </c>
      <c r="N46" s="1527">
        <f t="shared" si="0"/>
        <v>66183</v>
      </c>
      <c r="O46" s="1528">
        <v>86.097148772824937</v>
      </c>
      <c r="P46" s="1529">
        <v>80.335144316558228</v>
      </c>
      <c r="Q46" s="1529">
        <v>92.36275974466929</v>
      </c>
      <c r="R46" s="1529">
        <v>84.320479200679628</v>
      </c>
      <c r="S46" s="1530">
        <v>90.926379384519706</v>
      </c>
      <c r="T46" s="1529">
        <v>72.454343837612001</v>
      </c>
      <c r="U46" s="501">
        <v>85.029118865563134</v>
      </c>
    </row>
    <row r="47" spans="1:21" s="5" customFormat="1" ht="20.100000000000001" customHeight="1">
      <c r="A47" s="1522">
        <f t="shared" si="1"/>
        <v>40</v>
      </c>
      <c r="B47" s="1523" t="s">
        <v>40</v>
      </c>
      <c r="C47" s="1524">
        <v>3000</v>
      </c>
      <c r="D47" s="786">
        <v>873</v>
      </c>
      <c r="E47" s="786">
        <v>257</v>
      </c>
      <c r="F47" s="786">
        <v>3616</v>
      </c>
      <c r="G47" s="1525">
        <f t="shared" si="2"/>
        <v>3873</v>
      </c>
      <c r="H47" s="1526">
        <v>16941</v>
      </c>
      <c r="I47" s="492">
        <v>8626</v>
      </c>
      <c r="J47" s="492">
        <v>2506</v>
      </c>
      <c r="K47" s="492">
        <v>23061</v>
      </c>
      <c r="L47" s="492">
        <v>20059</v>
      </c>
      <c r="M47" s="492">
        <v>5508</v>
      </c>
      <c r="N47" s="1527">
        <f t="shared" si="0"/>
        <v>25567</v>
      </c>
      <c r="O47" s="1528">
        <v>78.175456005864319</v>
      </c>
      <c r="P47" s="1529">
        <v>64.592682112293886</v>
      </c>
      <c r="Q47" s="1529">
        <v>68.135543660086981</v>
      </c>
      <c r="R47" s="1529">
        <v>75.2680007031136</v>
      </c>
      <c r="S47" s="1530">
        <v>77.155931175623437</v>
      </c>
      <c r="T47" s="1529">
        <v>61.496630175986695</v>
      </c>
      <c r="U47" s="501">
        <v>73.851908506512757</v>
      </c>
    </row>
    <row r="48" spans="1:21" s="5" customFormat="1" ht="20.100000000000001" customHeight="1">
      <c r="A48" s="1522">
        <f t="shared" si="1"/>
        <v>41</v>
      </c>
      <c r="B48" s="1523" t="s">
        <v>248</v>
      </c>
      <c r="C48" s="1524">
        <v>37590</v>
      </c>
      <c r="D48" s="786">
        <v>7187</v>
      </c>
      <c r="E48" s="786">
        <v>906</v>
      </c>
      <c r="F48" s="786">
        <v>43871</v>
      </c>
      <c r="G48" s="1525">
        <f t="shared" si="2"/>
        <v>44777</v>
      </c>
      <c r="H48" s="1526">
        <v>400711</v>
      </c>
      <c r="I48" s="492">
        <v>77942</v>
      </c>
      <c r="J48" s="492">
        <v>19996</v>
      </c>
      <c r="K48" s="492">
        <v>458657</v>
      </c>
      <c r="L48" s="492">
        <v>359352</v>
      </c>
      <c r="M48" s="492">
        <v>119301</v>
      </c>
      <c r="N48" s="1527">
        <f t="shared" si="0"/>
        <v>478653</v>
      </c>
      <c r="O48" s="1528">
        <v>109.84821950388896</v>
      </c>
      <c r="P48" s="1529">
        <v>79.584202301221879</v>
      </c>
      <c r="Q48" s="1529">
        <v>96.297490409390718</v>
      </c>
      <c r="R48" s="1529">
        <v>106.13768213704179</v>
      </c>
      <c r="S48" s="1530">
        <v>111.17780002258219</v>
      </c>
      <c r="T48" s="1529">
        <v>87.854381203607574</v>
      </c>
      <c r="U48" s="501">
        <v>105.2808668460858</v>
      </c>
    </row>
    <row r="49" spans="1:21" s="5" customFormat="1" ht="20.100000000000001" customHeight="1">
      <c r="A49" s="1522">
        <f t="shared" si="1"/>
        <v>42</v>
      </c>
      <c r="B49" s="1523" t="s">
        <v>781</v>
      </c>
      <c r="C49" s="1524">
        <v>38663</v>
      </c>
      <c r="D49" s="786">
        <v>5842</v>
      </c>
      <c r="E49" s="786">
        <v>1232</v>
      </c>
      <c r="F49" s="786">
        <v>43273</v>
      </c>
      <c r="G49" s="1525">
        <f t="shared" si="2"/>
        <v>44505</v>
      </c>
      <c r="H49" s="1526">
        <v>226289</v>
      </c>
      <c r="I49" s="492">
        <v>73000</v>
      </c>
      <c r="J49" s="492">
        <v>19084</v>
      </c>
      <c r="K49" s="492">
        <v>280205</v>
      </c>
      <c r="L49" s="492">
        <v>237092</v>
      </c>
      <c r="M49" s="492">
        <v>62197</v>
      </c>
      <c r="N49" s="1527">
        <f t="shared" si="0"/>
        <v>299289</v>
      </c>
      <c r="O49" s="1528">
        <v>74.880802149283525</v>
      </c>
      <c r="P49" s="1529">
        <v>73.244450484780714</v>
      </c>
      <c r="Q49" s="1529">
        <v>63.328084671466534</v>
      </c>
      <c r="R49" s="1529">
        <v>76.159442410174393</v>
      </c>
      <c r="S49" s="1530">
        <v>76.588506877827953</v>
      </c>
      <c r="T49" s="1529">
        <v>66.295520918160051</v>
      </c>
      <c r="U49" s="501">
        <v>74.519154391383651</v>
      </c>
    </row>
    <row r="50" spans="1:21" s="5" customFormat="1" ht="20.100000000000001" customHeight="1">
      <c r="A50" s="1522">
        <f t="shared" si="1"/>
        <v>43</v>
      </c>
      <c r="B50" s="1523" t="s">
        <v>240</v>
      </c>
      <c r="C50" s="1524">
        <v>8434</v>
      </c>
      <c r="D50" s="786">
        <v>1999</v>
      </c>
      <c r="E50" s="786">
        <v>614</v>
      </c>
      <c r="F50" s="786">
        <v>9819</v>
      </c>
      <c r="G50" s="1525">
        <f t="shared" si="2"/>
        <v>10433</v>
      </c>
      <c r="H50" s="1526">
        <v>60932</v>
      </c>
      <c r="I50" s="492">
        <v>22078</v>
      </c>
      <c r="J50" s="492">
        <v>7425</v>
      </c>
      <c r="K50" s="492">
        <v>75585</v>
      </c>
      <c r="L50" s="492">
        <v>62625</v>
      </c>
      <c r="M50" s="492">
        <v>20385</v>
      </c>
      <c r="N50" s="1527">
        <f t="shared" si="0"/>
        <v>83010</v>
      </c>
      <c r="O50" s="1528">
        <v>78.172087314517199</v>
      </c>
      <c r="P50" s="1529">
        <v>73.234586162165812</v>
      </c>
      <c r="Q50" s="1529">
        <v>75.559727631393869</v>
      </c>
      <c r="R50" s="1529">
        <v>77.262568210227371</v>
      </c>
      <c r="S50" s="1530">
        <v>80.325698398637144</v>
      </c>
      <c r="T50" s="1529">
        <v>66.228305309849745</v>
      </c>
      <c r="U50" s="501">
        <v>76.956864892672527</v>
      </c>
    </row>
    <row r="51" spans="1:21" s="5" customFormat="1" ht="20.100000000000001" customHeight="1">
      <c r="A51" s="1522">
        <f t="shared" si="1"/>
        <v>44</v>
      </c>
      <c r="B51" s="1523" t="s">
        <v>241</v>
      </c>
      <c r="C51" s="1524">
        <v>9927</v>
      </c>
      <c r="D51" s="786">
        <v>1759</v>
      </c>
      <c r="E51" s="786">
        <v>600</v>
      </c>
      <c r="F51" s="786">
        <v>11086</v>
      </c>
      <c r="G51" s="1525">
        <f t="shared" si="2"/>
        <v>11686</v>
      </c>
      <c r="H51" s="1526">
        <v>64146</v>
      </c>
      <c r="I51" s="492">
        <v>29126</v>
      </c>
      <c r="J51" s="492">
        <v>10727</v>
      </c>
      <c r="K51" s="492">
        <v>82545</v>
      </c>
      <c r="L51" s="492">
        <v>69984</v>
      </c>
      <c r="M51" s="492">
        <v>23288</v>
      </c>
      <c r="N51" s="1527">
        <f t="shared" si="0"/>
        <v>93272</v>
      </c>
      <c r="O51" s="1528">
        <v>70.165193322769795</v>
      </c>
      <c r="P51" s="1529">
        <v>67.596184578630599</v>
      </c>
      <c r="Q51" s="1529">
        <v>67.46967285617049</v>
      </c>
      <c r="R51" s="1529">
        <v>69.97356650260356</v>
      </c>
      <c r="S51" s="1530">
        <v>71.755271696194171</v>
      </c>
      <c r="T51" s="1529">
        <v>61.793822295274545</v>
      </c>
      <c r="U51" s="501">
        <v>69.426454100605227</v>
      </c>
    </row>
    <row r="52" spans="1:21" s="5" customFormat="1" ht="20.100000000000001" customHeight="1">
      <c r="A52" s="1522">
        <f t="shared" si="1"/>
        <v>45</v>
      </c>
      <c r="B52" s="1523" t="s">
        <v>242</v>
      </c>
      <c r="C52" s="1524">
        <v>23145</v>
      </c>
      <c r="D52" s="786">
        <v>4152</v>
      </c>
      <c r="E52" s="786">
        <v>957</v>
      </c>
      <c r="F52" s="786">
        <v>26340</v>
      </c>
      <c r="G52" s="1525">
        <f t="shared" si="2"/>
        <v>27297</v>
      </c>
      <c r="H52" s="1526">
        <v>185601</v>
      </c>
      <c r="I52" s="492">
        <v>49234</v>
      </c>
      <c r="J52" s="492">
        <v>13374</v>
      </c>
      <c r="K52" s="492">
        <v>221461</v>
      </c>
      <c r="L52" s="492">
        <v>171933</v>
      </c>
      <c r="M52" s="492">
        <v>62902</v>
      </c>
      <c r="N52" s="1527">
        <f t="shared" si="0"/>
        <v>234835</v>
      </c>
      <c r="O52" s="1528">
        <v>86.752713734922452</v>
      </c>
      <c r="P52" s="1529">
        <v>76.84107942794499</v>
      </c>
      <c r="Q52" s="1529">
        <v>59.829866663663594</v>
      </c>
      <c r="R52" s="1529">
        <v>87.980876274238739</v>
      </c>
      <c r="S52" s="1530">
        <v>89.585965415414407</v>
      </c>
      <c r="T52" s="1529">
        <v>72.066383068477379</v>
      </c>
      <c r="U52" s="501">
        <v>84.919060963907484</v>
      </c>
    </row>
    <row r="53" spans="1:21" s="5" customFormat="1" ht="20.100000000000001" customHeight="1">
      <c r="A53" s="1522">
        <f t="shared" si="1"/>
        <v>46</v>
      </c>
      <c r="B53" s="1523" t="s">
        <v>243</v>
      </c>
      <c r="C53" s="1524">
        <v>12585</v>
      </c>
      <c r="D53" s="786">
        <v>2577</v>
      </c>
      <c r="E53" s="786">
        <v>612</v>
      </c>
      <c r="F53" s="786">
        <v>14550</v>
      </c>
      <c r="G53" s="1525">
        <f t="shared" si="2"/>
        <v>15162</v>
      </c>
      <c r="H53" s="1526">
        <v>101829</v>
      </c>
      <c r="I53" s="492">
        <v>38183</v>
      </c>
      <c r="J53" s="492">
        <v>12492</v>
      </c>
      <c r="K53" s="492">
        <v>127520</v>
      </c>
      <c r="L53" s="492">
        <v>113277</v>
      </c>
      <c r="M53" s="492">
        <v>26735</v>
      </c>
      <c r="N53" s="1527">
        <f t="shared" si="0"/>
        <v>140012</v>
      </c>
      <c r="O53" s="1528">
        <v>71.832987257605154</v>
      </c>
      <c r="P53" s="1529">
        <v>76.211974942158704</v>
      </c>
      <c r="Q53" s="1529">
        <v>75.015287800952677</v>
      </c>
      <c r="R53" s="1529">
        <v>72.532026413044122</v>
      </c>
      <c r="S53" s="1530">
        <v>74.989662310907931</v>
      </c>
      <c r="T53" s="1529">
        <v>63.857040197741377</v>
      </c>
      <c r="U53" s="501">
        <v>72.943713064860319</v>
      </c>
    </row>
    <row r="54" spans="1:21" s="5" customFormat="1" ht="20.100000000000001" customHeight="1">
      <c r="A54" s="1522">
        <f t="shared" si="1"/>
        <v>47</v>
      </c>
      <c r="B54" s="1523" t="s">
        <v>244</v>
      </c>
      <c r="C54" s="1524">
        <v>4393</v>
      </c>
      <c r="D54" s="786">
        <v>1155</v>
      </c>
      <c r="E54" s="786">
        <v>357</v>
      </c>
      <c r="F54" s="786">
        <v>5191</v>
      </c>
      <c r="G54" s="1525">
        <f t="shared" si="2"/>
        <v>5548</v>
      </c>
      <c r="H54" s="1526">
        <v>40590</v>
      </c>
      <c r="I54" s="492">
        <v>26674</v>
      </c>
      <c r="J54" s="492">
        <v>9748</v>
      </c>
      <c r="K54" s="492">
        <v>57516</v>
      </c>
      <c r="L54" s="492">
        <v>54920</v>
      </c>
      <c r="M54" s="492">
        <v>12344</v>
      </c>
      <c r="N54" s="1527">
        <f t="shared" si="0"/>
        <v>67264</v>
      </c>
      <c r="O54" s="1528">
        <v>66.702816893218241</v>
      </c>
      <c r="P54" s="1529">
        <v>73.065140596107568</v>
      </c>
      <c r="Q54" s="1529">
        <v>69.371276101225334</v>
      </c>
      <c r="R54" s="1529">
        <v>69.037965040327165</v>
      </c>
      <c r="S54" s="1530">
        <v>70.627528393386598</v>
      </c>
      <c r="T54" s="1529">
        <v>62.402866417486671</v>
      </c>
      <c r="U54" s="501">
        <v>69.131440206261331</v>
      </c>
    </row>
    <row r="55" spans="1:21" s="5" customFormat="1" ht="20.100000000000001" customHeight="1">
      <c r="A55" s="1522">
        <f t="shared" si="1"/>
        <v>48</v>
      </c>
      <c r="B55" s="1523" t="s">
        <v>491</v>
      </c>
      <c r="C55" s="1524">
        <v>29351</v>
      </c>
      <c r="D55" s="786">
        <v>4080</v>
      </c>
      <c r="E55" s="786">
        <v>815</v>
      </c>
      <c r="F55" s="786">
        <v>32616</v>
      </c>
      <c r="G55" s="1525">
        <f t="shared" si="2"/>
        <v>33431</v>
      </c>
      <c r="H55" s="1526">
        <v>146198</v>
      </c>
      <c r="I55" s="492">
        <v>41882</v>
      </c>
      <c r="J55" s="492">
        <v>8866</v>
      </c>
      <c r="K55" s="492">
        <v>179214</v>
      </c>
      <c r="L55" s="492">
        <v>137630</v>
      </c>
      <c r="M55" s="492">
        <v>50450</v>
      </c>
      <c r="N55" s="1527">
        <f t="shared" si="0"/>
        <v>188080</v>
      </c>
      <c r="O55" s="1528">
        <v>79.354407631379431</v>
      </c>
      <c r="P55" s="1529">
        <v>73.802693289192362</v>
      </c>
      <c r="Q55" s="1529">
        <v>80.742194527164401</v>
      </c>
      <c r="R55" s="1529">
        <v>77.87316926896537</v>
      </c>
      <c r="S55" s="1530">
        <v>80.632014937779246</v>
      </c>
      <c r="T55" s="1529">
        <v>71.999049992871363</v>
      </c>
      <c r="U55" s="501">
        <v>78.171233448805637</v>
      </c>
    </row>
    <row r="56" spans="1:21" s="5" customFormat="1" ht="20.100000000000001" customHeight="1">
      <c r="A56" s="1522">
        <f t="shared" si="1"/>
        <v>49</v>
      </c>
      <c r="B56" s="1523" t="s">
        <v>492</v>
      </c>
      <c r="C56" s="1524">
        <v>1674</v>
      </c>
      <c r="D56" s="786">
        <v>617</v>
      </c>
      <c r="E56" s="786">
        <v>273</v>
      </c>
      <c r="F56" s="786">
        <v>2018</v>
      </c>
      <c r="G56" s="1525">
        <f t="shared" si="2"/>
        <v>2291</v>
      </c>
      <c r="H56" s="1526">
        <v>13894</v>
      </c>
      <c r="I56" s="492">
        <v>10099</v>
      </c>
      <c r="J56" s="492">
        <v>5990</v>
      </c>
      <c r="K56" s="492">
        <v>18003</v>
      </c>
      <c r="L56" s="492">
        <v>18898</v>
      </c>
      <c r="M56" s="492">
        <v>5095</v>
      </c>
      <c r="N56" s="1527">
        <f t="shared" si="0"/>
        <v>23993</v>
      </c>
      <c r="O56" s="1528">
        <v>80.726843037229884</v>
      </c>
      <c r="P56" s="1529">
        <v>69.172955078506746</v>
      </c>
      <c r="Q56" s="1529">
        <v>85.211664533756249</v>
      </c>
      <c r="R56" s="1529">
        <v>69.392859990659204</v>
      </c>
      <c r="S56" s="1530">
        <v>79.280657476957884</v>
      </c>
      <c r="T56" s="1529">
        <v>65.178818421014796</v>
      </c>
      <c r="U56" s="501">
        <v>76.042934294617865</v>
      </c>
    </row>
    <row r="57" spans="1:21" s="5" customFormat="1" ht="20.100000000000001" customHeight="1">
      <c r="A57" s="1522">
        <f t="shared" si="1"/>
        <v>50</v>
      </c>
      <c r="B57" s="1523" t="s">
        <v>493</v>
      </c>
      <c r="C57" s="1524">
        <v>5176</v>
      </c>
      <c r="D57" s="786">
        <v>903</v>
      </c>
      <c r="E57" s="786">
        <v>310</v>
      </c>
      <c r="F57" s="786">
        <v>5769</v>
      </c>
      <c r="G57" s="1525">
        <f t="shared" si="2"/>
        <v>6079</v>
      </c>
      <c r="H57" s="1526">
        <v>28015</v>
      </c>
      <c r="I57" s="492">
        <v>9090</v>
      </c>
      <c r="J57" s="492">
        <v>2828</v>
      </c>
      <c r="K57" s="492">
        <v>34277</v>
      </c>
      <c r="L57" s="492">
        <v>27815</v>
      </c>
      <c r="M57" s="492">
        <v>9290</v>
      </c>
      <c r="N57" s="1527">
        <f t="shared" si="0"/>
        <v>37105</v>
      </c>
      <c r="O57" s="1528">
        <v>70.672524491822756</v>
      </c>
      <c r="P57" s="1529">
        <v>66.735833163271948</v>
      </c>
      <c r="Q57" s="1529">
        <v>75.891692393862812</v>
      </c>
      <c r="R57" s="1529">
        <v>68.756758105303746</v>
      </c>
      <c r="S57" s="1530">
        <v>71.105336891345573</v>
      </c>
      <c r="T57" s="1529">
        <v>65.569610101596993</v>
      </c>
      <c r="U57" s="501">
        <v>69.794027107919916</v>
      </c>
    </row>
    <row r="58" spans="1:21" s="5" customFormat="1" ht="20.100000000000001" customHeight="1">
      <c r="A58" s="1522">
        <f t="shared" si="1"/>
        <v>51</v>
      </c>
      <c r="B58" s="1523" t="s">
        <v>494</v>
      </c>
      <c r="C58" s="1524">
        <v>4660</v>
      </c>
      <c r="D58" s="786">
        <v>1259</v>
      </c>
      <c r="E58" s="786">
        <v>346</v>
      </c>
      <c r="F58" s="786">
        <v>5573</v>
      </c>
      <c r="G58" s="1525">
        <f t="shared" si="2"/>
        <v>5919</v>
      </c>
      <c r="H58" s="1526">
        <v>25404</v>
      </c>
      <c r="I58" s="492">
        <v>12340</v>
      </c>
      <c r="J58" s="492">
        <v>4342</v>
      </c>
      <c r="K58" s="492">
        <v>33402</v>
      </c>
      <c r="L58" s="492">
        <v>29099</v>
      </c>
      <c r="M58" s="492">
        <v>8645</v>
      </c>
      <c r="N58" s="1527">
        <f t="shared" si="0"/>
        <v>37744</v>
      </c>
      <c r="O58" s="1528">
        <v>70.54358339541615</v>
      </c>
      <c r="P58" s="1529">
        <v>65.604892634203395</v>
      </c>
      <c r="Q58" s="1529">
        <v>67.787616310150071</v>
      </c>
      <c r="R58" s="1529">
        <v>69.513663981094808</v>
      </c>
      <c r="S58" s="1530">
        <v>71.433555056900147</v>
      </c>
      <c r="T58" s="1529">
        <v>60.95348574517611</v>
      </c>
      <c r="U58" s="501">
        <v>69.116855621974054</v>
      </c>
    </row>
    <row r="59" spans="1:21" s="5" customFormat="1" ht="20.100000000000001" customHeight="1">
      <c r="A59" s="1522">
        <f t="shared" si="1"/>
        <v>52</v>
      </c>
      <c r="B59" s="1523" t="s">
        <v>495</v>
      </c>
      <c r="C59" s="1524">
        <v>10383</v>
      </c>
      <c r="D59" s="786">
        <v>2018</v>
      </c>
      <c r="E59" s="786">
        <v>569</v>
      </c>
      <c r="F59" s="786">
        <v>11832</v>
      </c>
      <c r="G59" s="1525">
        <f t="shared" si="2"/>
        <v>12401</v>
      </c>
      <c r="H59" s="1526">
        <v>56706</v>
      </c>
      <c r="I59" s="492">
        <v>24530</v>
      </c>
      <c r="J59" s="492">
        <v>6658</v>
      </c>
      <c r="K59" s="492">
        <v>74578</v>
      </c>
      <c r="L59" s="492">
        <v>54763</v>
      </c>
      <c r="M59" s="492">
        <v>26473</v>
      </c>
      <c r="N59" s="1527">
        <f t="shared" si="0"/>
        <v>81236</v>
      </c>
      <c r="O59" s="1528">
        <v>67.75259056681962</v>
      </c>
      <c r="P59" s="1529">
        <v>67.618753641752662</v>
      </c>
      <c r="Q59" s="1529">
        <v>60.689232937480988</v>
      </c>
      <c r="R59" s="1529">
        <v>69.094995192194943</v>
      </c>
      <c r="S59" s="1530">
        <v>69.976964688365655</v>
      </c>
      <c r="T59" s="1529">
        <v>63.020958457062854</v>
      </c>
      <c r="U59" s="501">
        <v>67.717148852107911</v>
      </c>
    </row>
    <row r="60" spans="1:21" s="5" customFormat="1" ht="20.100000000000001" customHeight="1">
      <c r="A60" s="1522">
        <f t="shared" si="1"/>
        <v>53</v>
      </c>
      <c r="B60" s="1523" t="s">
        <v>496</v>
      </c>
      <c r="C60" s="1524">
        <v>5585</v>
      </c>
      <c r="D60" s="786">
        <v>1100</v>
      </c>
      <c r="E60" s="786">
        <v>469</v>
      </c>
      <c r="F60" s="786">
        <v>6216</v>
      </c>
      <c r="G60" s="1525">
        <f t="shared" si="2"/>
        <v>6685</v>
      </c>
      <c r="H60" s="1526">
        <v>38459</v>
      </c>
      <c r="I60" s="492">
        <v>14158</v>
      </c>
      <c r="J60" s="492">
        <v>10320</v>
      </c>
      <c r="K60" s="492">
        <v>42297</v>
      </c>
      <c r="L60" s="492">
        <v>38345</v>
      </c>
      <c r="M60" s="492">
        <v>14272</v>
      </c>
      <c r="N60" s="1527">
        <f t="shared" si="0"/>
        <v>52617</v>
      </c>
      <c r="O60" s="1528">
        <v>69.368885348250359</v>
      </c>
      <c r="P60" s="1529">
        <v>75.643222700510691</v>
      </c>
      <c r="Q60" s="1529">
        <v>66.666899395220256</v>
      </c>
      <c r="R60" s="1529">
        <v>73.387502949694309</v>
      </c>
      <c r="S60" s="1530">
        <v>74.432854751059267</v>
      </c>
      <c r="T60" s="1529">
        <v>61.455987989669083</v>
      </c>
      <c r="U60" s="501">
        <v>70.94488774899547</v>
      </c>
    </row>
    <row r="61" spans="1:21" s="5" customFormat="1" ht="20.100000000000001" customHeight="1">
      <c r="A61" s="1522">
        <f t="shared" si="1"/>
        <v>54</v>
      </c>
      <c r="B61" s="1523" t="s">
        <v>901</v>
      </c>
      <c r="C61" s="1524">
        <v>19270</v>
      </c>
      <c r="D61" s="786">
        <v>3249</v>
      </c>
      <c r="E61" s="786">
        <v>725</v>
      </c>
      <c r="F61" s="786">
        <v>21794</v>
      </c>
      <c r="G61" s="1525">
        <f t="shared" si="2"/>
        <v>22519</v>
      </c>
      <c r="H61" s="1526">
        <v>147630</v>
      </c>
      <c r="I61" s="492">
        <v>30955</v>
      </c>
      <c r="J61" s="492">
        <v>10344</v>
      </c>
      <c r="K61" s="492">
        <v>168241</v>
      </c>
      <c r="L61" s="492">
        <v>129727</v>
      </c>
      <c r="M61" s="492">
        <v>48858</v>
      </c>
      <c r="N61" s="1527">
        <f t="shared" si="0"/>
        <v>178585</v>
      </c>
      <c r="O61" s="1528">
        <v>86.790464818102407</v>
      </c>
      <c r="P61" s="1529">
        <v>72.982196225146694</v>
      </c>
      <c r="Q61" s="1529">
        <v>77.701005291465009</v>
      </c>
      <c r="R61" s="1529">
        <v>85.434447214017979</v>
      </c>
      <c r="S61" s="1530">
        <v>89.886478313722151</v>
      </c>
      <c r="T61" s="1529">
        <v>70.139267630707266</v>
      </c>
      <c r="U61" s="501">
        <v>84.557542279576808</v>
      </c>
    </row>
    <row r="62" spans="1:21" s="5" customFormat="1" ht="20.100000000000001" customHeight="1">
      <c r="A62" s="1522">
        <f t="shared" si="1"/>
        <v>55</v>
      </c>
      <c r="B62" s="1523" t="s">
        <v>902</v>
      </c>
      <c r="C62" s="1524">
        <v>20723</v>
      </c>
      <c r="D62" s="786">
        <v>3950</v>
      </c>
      <c r="E62" s="786">
        <v>927</v>
      </c>
      <c r="F62" s="786">
        <v>23746</v>
      </c>
      <c r="G62" s="1525">
        <f t="shared" si="2"/>
        <v>24673</v>
      </c>
      <c r="H62" s="1526">
        <v>115781</v>
      </c>
      <c r="I62" s="492">
        <v>45172</v>
      </c>
      <c r="J62" s="492">
        <v>12405</v>
      </c>
      <c r="K62" s="492">
        <v>148548</v>
      </c>
      <c r="L62" s="492">
        <v>112541</v>
      </c>
      <c r="M62" s="492">
        <v>48412</v>
      </c>
      <c r="N62" s="1527">
        <f t="shared" si="0"/>
        <v>160953</v>
      </c>
      <c r="O62" s="1528">
        <v>75.703784624337956</v>
      </c>
      <c r="P62" s="1529">
        <v>71.623358484264216</v>
      </c>
      <c r="Q62" s="1529">
        <v>70.76871996298361</v>
      </c>
      <c r="R62" s="1529">
        <v>75.322748644643525</v>
      </c>
      <c r="S62" s="1530">
        <v>77.75111947607013</v>
      </c>
      <c r="T62" s="1529">
        <v>67.247422581824523</v>
      </c>
      <c r="U62" s="501">
        <v>74.654845808195603</v>
      </c>
    </row>
    <row r="63" spans="1:21" s="5" customFormat="1" ht="20.100000000000001" customHeight="1">
      <c r="A63" s="1522">
        <f t="shared" si="1"/>
        <v>56</v>
      </c>
      <c r="B63" s="1523" t="s">
        <v>642</v>
      </c>
      <c r="C63" s="1524">
        <v>1778</v>
      </c>
      <c r="D63" s="786">
        <v>529</v>
      </c>
      <c r="E63" s="786">
        <v>266</v>
      </c>
      <c r="F63" s="786">
        <v>2041</v>
      </c>
      <c r="G63" s="1525">
        <f t="shared" si="2"/>
        <v>2307</v>
      </c>
      <c r="H63" s="1526">
        <v>14733</v>
      </c>
      <c r="I63" s="492">
        <v>8817</v>
      </c>
      <c r="J63" s="492">
        <v>4433</v>
      </c>
      <c r="K63" s="492">
        <v>19117</v>
      </c>
      <c r="L63" s="492">
        <v>19694</v>
      </c>
      <c r="M63" s="492">
        <v>3856</v>
      </c>
      <c r="N63" s="1527">
        <f t="shared" si="0"/>
        <v>23550</v>
      </c>
      <c r="O63" s="1528">
        <v>79.106804375432077</v>
      </c>
      <c r="P63" s="1529">
        <v>69.124680450284785</v>
      </c>
      <c r="Q63" s="1529">
        <v>84.128514769694036</v>
      </c>
      <c r="R63" s="1529">
        <v>70.834275263908978</v>
      </c>
      <c r="S63" s="1530">
        <v>77.255909467419315</v>
      </c>
      <c r="T63" s="1529">
        <v>67.593027620364182</v>
      </c>
      <c r="U63" s="501">
        <v>75.582571694460867</v>
      </c>
    </row>
    <row r="64" spans="1:21" s="5" customFormat="1" ht="20.100000000000001" customHeight="1">
      <c r="A64" s="1522">
        <f t="shared" si="1"/>
        <v>57</v>
      </c>
      <c r="B64" s="1523" t="s">
        <v>109</v>
      </c>
      <c r="C64" s="1524">
        <v>3249</v>
      </c>
      <c r="D64" s="786">
        <v>815</v>
      </c>
      <c r="E64" s="786">
        <v>333</v>
      </c>
      <c r="F64" s="786">
        <v>3731</v>
      </c>
      <c r="G64" s="1525">
        <f t="shared" si="2"/>
        <v>4064</v>
      </c>
      <c r="H64" s="1526">
        <v>16119</v>
      </c>
      <c r="I64" s="492">
        <v>7907</v>
      </c>
      <c r="J64" s="492">
        <v>2528</v>
      </c>
      <c r="K64" s="492">
        <v>21498</v>
      </c>
      <c r="L64" s="492">
        <v>16644</v>
      </c>
      <c r="M64" s="492">
        <v>7382</v>
      </c>
      <c r="N64" s="1527">
        <f t="shared" si="0"/>
        <v>24026</v>
      </c>
      <c r="O64" s="1528">
        <v>70.409816879639223</v>
      </c>
      <c r="P64" s="1529">
        <v>68.137275597403914</v>
      </c>
      <c r="Q64" s="1529">
        <v>79.947312317103808</v>
      </c>
      <c r="R64" s="1529">
        <v>66.901954507098552</v>
      </c>
      <c r="S64" s="1530">
        <v>72.886905699116383</v>
      </c>
      <c r="T64" s="1529">
        <v>62.504455897734424</v>
      </c>
      <c r="U64" s="501">
        <v>69.696615912627436</v>
      </c>
    </row>
    <row r="65" spans="1:21" s="5" customFormat="1" ht="20.100000000000001" customHeight="1">
      <c r="A65" s="1522">
        <f t="shared" si="1"/>
        <v>58</v>
      </c>
      <c r="B65" s="1523" t="s">
        <v>110</v>
      </c>
      <c r="C65" s="1524">
        <v>7693</v>
      </c>
      <c r="D65" s="786">
        <v>2066</v>
      </c>
      <c r="E65" s="786">
        <v>607</v>
      </c>
      <c r="F65" s="786">
        <v>9152</v>
      </c>
      <c r="G65" s="1525">
        <f t="shared" si="2"/>
        <v>9759</v>
      </c>
      <c r="H65" s="1526">
        <v>47781</v>
      </c>
      <c r="I65" s="492">
        <v>28895</v>
      </c>
      <c r="J65" s="492">
        <v>8076</v>
      </c>
      <c r="K65" s="492">
        <v>68600</v>
      </c>
      <c r="L65" s="492">
        <v>59724</v>
      </c>
      <c r="M65" s="492">
        <v>16952</v>
      </c>
      <c r="N65" s="1527">
        <f t="shared" si="0"/>
        <v>76676</v>
      </c>
      <c r="O65" s="1528">
        <v>85.824931670433457</v>
      </c>
      <c r="P65" s="1529">
        <v>77.990386701603882</v>
      </c>
      <c r="Q65" s="1529">
        <v>105.36437359011924</v>
      </c>
      <c r="R65" s="1529">
        <v>77.1411196750242</v>
      </c>
      <c r="S65" s="1530">
        <v>87.600280165803426</v>
      </c>
      <c r="T65" s="1529">
        <v>65.803938320620034</v>
      </c>
      <c r="U65" s="501">
        <v>83.029405457419756</v>
      </c>
    </row>
    <row r="66" spans="1:21" s="5" customFormat="1" ht="20.100000000000001" customHeight="1">
      <c r="A66" s="1522">
        <f t="shared" si="1"/>
        <v>59</v>
      </c>
      <c r="B66" s="1523" t="s">
        <v>111</v>
      </c>
      <c r="C66" s="1524">
        <v>19900</v>
      </c>
      <c r="D66" s="786">
        <v>3592</v>
      </c>
      <c r="E66" s="786">
        <v>479</v>
      </c>
      <c r="F66" s="786">
        <v>23013</v>
      </c>
      <c r="G66" s="1525">
        <f t="shared" si="2"/>
        <v>23492</v>
      </c>
      <c r="H66" s="1526">
        <v>223487</v>
      </c>
      <c r="I66" s="492">
        <v>34376</v>
      </c>
      <c r="J66" s="492">
        <v>7036</v>
      </c>
      <c r="K66" s="492">
        <v>250827</v>
      </c>
      <c r="L66" s="492">
        <v>184411</v>
      </c>
      <c r="M66" s="492">
        <v>73452</v>
      </c>
      <c r="N66" s="1527">
        <f t="shared" si="0"/>
        <v>257863</v>
      </c>
      <c r="O66" s="1528">
        <v>93.345956744229497</v>
      </c>
      <c r="P66" s="1529">
        <v>74.75043546345384</v>
      </c>
      <c r="Q66" s="1529">
        <v>79.857927324755352</v>
      </c>
      <c r="R66" s="1529">
        <v>91.741717311500153</v>
      </c>
      <c r="S66" s="1530">
        <v>96.275643349513203</v>
      </c>
      <c r="T66" s="1529">
        <v>78.847773059515745</v>
      </c>
      <c r="U66" s="501">
        <v>91.045345989171238</v>
      </c>
    </row>
    <row r="67" spans="1:21" s="5" customFormat="1" ht="20.100000000000001" customHeight="1">
      <c r="A67" s="1522">
        <f t="shared" si="1"/>
        <v>60</v>
      </c>
      <c r="B67" s="1523" t="s">
        <v>528</v>
      </c>
      <c r="C67" s="1524">
        <v>6930</v>
      </c>
      <c r="D67" s="786">
        <v>1517</v>
      </c>
      <c r="E67" s="786">
        <v>555</v>
      </c>
      <c r="F67" s="786">
        <v>7892</v>
      </c>
      <c r="G67" s="1525">
        <f t="shared" si="2"/>
        <v>8447</v>
      </c>
      <c r="H67" s="1526">
        <v>38180</v>
      </c>
      <c r="I67" s="492">
        <v>17478</v>
      </c>
      <c r="J67" s="492">
        <v>6974</v>
      </c>
      <c r="K67" s="492">
        <v>48684</v>
      </c>
      <c r="L67" s="492">
        <v>40113</v>
      </c>
      <c r="M67" s="492">
        <v>15545</v>
      </c>
      <c r="N67" s="1527">
        <f t="shared" si="0"/>
        <v>55658</v>
      </c>
      <c r="O67" s="1528">
        <v>69.107998369625065</v>
      </c>
      <c r="P67" s="1529">
        <v>70.103338938060645</v>
      </c>
      <c r="Q67" s="1529">
        <v>67.577620404714509</v>
      </c>
      <c r="R67" s="1529">
        <v>69.982504176575176</v>
      </c>
      <c r="S67" s="1530">
        <v>72.253875085894933</v>
      </c>
      <c r="T67" s="1529">
        <v>61.509935408729824</v>
      </c>
      <c r="U67" s="501">
        <v>69.385899834285311</v>
      </c>
    </row>
    <row r="68" spans="1:21" s="5" customFormat="1" ht="20.100000000000001" customHeight="1">
      <c r="A68" s="1522">
        <f t="shared" si="1"/>
        <v>61</v>
      </c>
      <c r="B68" s="1523" t="s">
        <v>529</v>
      </c>
      <c r="C68" s="1524">
        <v>14753</v>
      </c>
      <c r="D68" s="786">
        <v>2767</v>
      </c>
      <c r="E68" s="786">
        <v>726</v>
      </c>
      <c r="F68" s="786">
        <v>16794</v>
      </c>
      <c r="G68" s="1525">
        <f t="shared" si="2"/>
        <v>17520</v>
      </c>
      <c r="H68" s="1526">
        <v>81336</v>
      </c>
      <c r="I68" s="492">
        <v>39399</v>
      </c>
      <c r="J68" s="492">
        <v>10114</v>
      </c>
      <c r="K68" s="492">
        <v>110621</v>
      </c>
      <c r="L68" s="492">
        <v>85872</v>
      </c>
      <c r="M68" s="492">
        <v>34863</v>
      </c>
      <c r="N68" s="1527">
        <f t="shared" si="0"/>
        <v>120735</v>
      </c>
      <c r="O68" s="1528">
        <v>74.509679080704757</v>
      </c>
      <c r="P68" s="1529">
        <v>72.181234094693522</v>
      </c>
      <c r="Q68" s="1529">
        <v>69.961529289522545</v>
      </c>
      <c r="R68" s="1529">
        <v>74.616718453878306</v>
      </c>
      <c r="S68" s="1530">
        <v>76.767406901956548</v>
      </c>
      <c r="T68" s="1529">
        <v>66.849404659086176</v>
      </c>
      <c r="U68" s="501">
        <v>73.807729520692462</v>
      </c>
    </row>
    <row r="69" spans="1:21" s="5" customFormat="1" ht="20.100000000000001" customHeight="1">
      <c r="A69" s="1522">
        <f t="shared" si="1"/>
        <v>62</v>
      </c>
      <c r="B69" s="1523" t="s">
        <v>530</v>
      </c>
      <c r="C69" s="1524">
        <v>819</v>
      </c>
      <c r="D69" s="786">
        <v>371</v>
      </c>
      <c r="E69" s="786">
        <v>166</v>
      </c>
      <c r="F69" s="786">
        <v>1024</v>
      </c>
      <c r="G69" s="1525">
        <f t="shared" si="2"/>
        <v>1190</v>
      </c>
      <c r="H69" s="1526">
        <v>4455</v>
      </c>
      <c r="I69" s="492">
        <v>3585</v>
      </c>
      <c r="J69" s="492">
        <v>1256</v>
      </c>
      <c r="K69" s="492">
        <v>6784</v>
      </c>
      <c r="L69" s="492">
        <v>5932</v>
      </c>
      <c r="M69" s="492">
        <v>2108</v>
      </c>
      <c r="N69" s="1527">
        <f t="shared" si="0"/>
        <v>8040</v>
      </c>
      <c r="O69" s="1528">
        <v>88.871867794004615</v>
      </c>
      <c r="P69" s="1529">
        <v>69.764525865682899</v>
      </c>
      <c r="Q69" s="1529">
        <v>101.49593868147448</v>
      </c>
      <c r="R69" s="1529">
        <v>70.376990759285604</v>
      </c>
      <c r="S69" s="1530">
        <v>84.188979015467467</v>
      </c>
      <c r="T69" s="1529">
        <v>70.430177445909763</v>
      </c>
      <c r="U69" s="501">
        <v>80.293569255977317</v>
      </c>
    </row>
    <row r="70" spans="1:21" s="5" customFormat="1" ht="20.100000000000001" customHeight="1">
      <c r="A70" s="1522">
        <f t="shared" si="1"/>
        <v>63</v>
      </c>
      <c r="B70" s="1523" t="s">
        <v>510</v>
      </c>
      <c r="C70" s="1524">
        <v>9670</v>
      </c>
      <c r="D70" s="786">
        <v>2925</v>
      </c>
      <c r="E70" s="786">
        <v>561</v>
      </c>
      <c r="F70" s="786">
        <v>12034</v>
      </c>
      <c r="G70" s="1525">
        <f t="shared" si="2"/>
        <v>12595</v>
      </c>
      <c r="H70" s="1526">
        <v>74541</v>
      </c>
      <c r="I70" s="492">
        <v>45282</v>
      </c>
      <c r="J70" s="492">
        <v>14506</v>
      </c>
      <c r="K70" s="492">
        <v>105317</v>
      </c>
      <c r="L70" s="492">
        <v>97146</v>
      </c>
      <c r="M70" s="492">
        <v>22677</v>
      </c>
      <c r="N70" s="1527">
        <f t="shared" si="0"/>
        <v>119823</v>
      </c>
      <c r="O70" s="1528">
        <v>73.12271459480192</v>
      </c>
      <c r="P70" s="1529">
        <v>70.611586767527712</v>
      </c>
      <c r="Q70" s="1529">
        <v>81.292515460446694</v>
      </c>
      <c r="R70" s="1529">
        <v>69.541666635268868</v>
      </c>
      <c r="S70" s="1530">
        <v>73.379143031326961</v>
      </c>
      <c r="T70" s="1529">
        <v>67.488332939229139</v>
      </c>
      <c r="U70" s="501">
        <v>72.301359705048725</v>
      </c>
    </row>
    <row r="71" spans="1:21" s="5" customFormat="1" ht="20.100000000000001" customHeight="1">
      <c r="A71" s="1522">
        <f t="shared" si="1"/>
        <v>64</v>
      </c>
      <c r="B71" s="1523" t="s">
        <v>511</v>
      </c>
      <c r="C71" s="1524">
        <v>7155</v>
      </c>
      <c r="D71" s="786">
        <v>1391</v>
      </c>
      <c r="E71" s="786">
        <v>384</v>
      </c>
      <c r="F71" s="786">
        <v>8162</v>
      </c>
      <c r="G71" s="1525">
        <f t="shared" si="2"/>
        <v>8546</v>
      </c>
      <c r="H71" s="1526">
        <v>48779</v>
      </c>
      <c r="I71" s="492">
        <v>12045</v>
      </c>
      <c r="J71" s="492">
        <v>3305</v>
      </c>
      <c r="K71" s="492">
        <v>57519</v>
      </c>
      <c r="L71" s="492">
        <v>43882</v>
      </c>
      <c r="M71" s="492">
        <v>16942</v>
      </c>
      <c r="N71" s="1527">
        <f t="shared" si="0"/>
        <v>60824</v>
      </c>
      <c r="O71" s="1528">
        <v>72.714120350336657</v>
      </c>
      <c r="P71" s="1529">
        <v>69.815564577772761</v>
      </c>
      <c r="Q71" s="1529">
        <v>70.115795927071119</v>
      </c>
      <c r="R71" s="1529">
        <v>72.425709268441764</v>
      </c>
      <c r="S71" s="1530">
        <v>75.084175654286454</v>
      </c>
      <c r="T71" s="1529">
        <v>64.789400882535048</v>
      </c>
      <c r="U71" s="501">
        <v>72.169022458693988</v>
      </c>
    </row>
    <row r="72" spans="1:21" s="5" customFormat="1" ht="20.100000000000001" customHeight="1">
      <c r="A72" s="1522">
        <f t="shared" si="1"/>
        <v>65</v>
      </c>
      <c r="B72" s="1523" t="s">
        <v>512</v>
      </c>
      <c r="C72" s="1524">
        <v>6989</v>
      </c>
      <c r="D72" s="786">
        <v>1444</v>
      </c>
      <c r="E72" s="786">
        <v>532</v>
      </c>
      <c r="F72" s="786">
        <v>7901</v>
      </c>
      <c r="G72" s="1525">
        <f t="shared" si="2"/>
        <v>8433</v>
      </c>
      <c r="H72" s="1526">
        <v>45638</v>
      </c>
      <c r="I72" s="492">
        <v>30220</v>
      </c>
      <c r="J72" s="492">
        <v>14927</v>
      </c>
      <c r="K72" s="492">
        <v>60931</v>
      </c>
      <c r="L72" s="492">
        <v>59793</v>
      </c>
      <c r="M72" s="492">
        <v>16065</v>
      </c>
      <c r="N72" s="1527">
        <f t="shared" si="0"/>
        <v>75858</v>
      </c>
      <c r="O72" s="1528">
        <v>76.313677986025084</v>
      </c>
      <c r="P72" s="1529">
        <v>69.018577334610882</v>
      </c>
      <c r="Q72" s="1529">
        <v>78.923481150253807</v>
      </c>
      <c r="R72" s="1529">
        <v>71.028809406458436</v>
      </c>
      <c r="S72" s="1530">
        <v>76.259684690406303</v>
      </c>
      <c r="T72" s="1529">
        <v>64.068168917763714</v>
      </c>
      <c r="U72" s="501">
        <v>73.795896414360982</v>
      </c>
    </row>
    <row r="73" spans="1:21" s="5" customFormat="1" ht="20.100000000000001" customHeight="1">
      <c r="A73" s="1522">
        <f t="shared" si="1"/>
        <v>66</v>
      </c>
      <c r="B73" s="1523" t="s">
        <v>427</v>
      </c>
      <c r="C73" s="1524">
        <v>4600</v>
      </c>
      <c r="D73" s="786">
        <v>1346</v>
      </c>
      <c r="E73" s="786">
        <v>577</v>
      </c>
      <c r="F73" s="786">
        <v>5369</v>
      </c>
      <c r="G73" s="1525">
        <f t="shared" si="2"/>
        <v>5946</v>
      </c>
      <c r="H73" s="1526">
        <v>22329</v>
      </c>
      <c r="I73" s="492">
        <v>15281</v>
      </c>
      <c r="J73" s="492">
        <v>5093</v>
      </c>
      <c r="K73" s="492">
        <v>32517</v>
      </c>
      <c r="L73" s="492">
        <v>29157</v>
      </c>
      <c r="M73" s="492">
        <v>8453</v>
      </c>
      <c r="N73" s="1527">
        <f t="shared" ref="N73:N88" si="3">+L73+M73</f>
        <v>37610</v>
      </c>
      <c r="O73" s="1528">
        <v>80.571634115913426</v>
      </c>
      <c r="P73" s="1529">
        <v>68.93212124658487</v>
      </c>
      <c r="Q73" s="1529">
        <v>81.099126159561564</v>
      </c>
      <c r="R73" s="1529">
        <v>74.804955424021017</v>
      </c>
      <c r="S73" s="1530">
        <v>79.354931486239522</v>
      </c>
      <c r="T73" s="1529">
        <v>64.817565197585694</v>
      </c>
      <c r="U73" s="501">
        <v>76.391624819860638</v>
      </c>
    </row>
    <row r="74" spans="1:21" s="5" customFormat="1" ht="20.100000000000001" customHeight="1">
      <c r="A74" s="1522">
        <f t="shared" ref="A74:A88" si="4">+A73+1</f>
        <v>67</v>
      </c>
      <c r="B74" s="1523" t="s">
        <v>428</v>
      </c>
      <c r="C74" s="1524">
        <v>9583</v>
      </c>
      <c r="D74" s="786">
        <v>1537</v>
      </c>
      <c r="E74" s="786">
        <v>584</v>
      </c>
      <c r="F74" s="786">
        <v>10536</v>
      </c>
      <c r="G74" s="1525">
        <f t="shared" ref="G74:G88" si="5">+F74+E74</f>
        <v>11120</v>
      </c>
      <c r="H74" s="1526">
        <v>65490</v>
      </c>
      <c r="I74" s="492">
        <v>18490</v>
      </c>
      <c r="J74" s="492">
        <v>8661</v>
      </c>
      <c r="K74" s="492">
        <v>75319</v>
      </c>
      <c r="L74" s="492">
        <v>64330</v>
      </c>
      <c r="M74" s="492">
        <v>19650</v>
      </c>
      <c r="N74" s="1527">
        <f t="shared" si="3"/>
        <v>83980</v>
      </c>
      <c r="O74" s="1528">
        <v>107.21391513017599</v>
      </c>
      <c r="P74" s="1529">
        <v>73.15956442112558</v>
      </c>
      <c r="Q74" s="1529">
        <v>99.452820511849993</v>
      </c>
      <c r="R74" s="1529">
        <v>100.26572472162813</v>
      </c>
      <c r="S74" s="1530">
        <v>109.40154391504591</v>
      </c>
      <c r="T74" s="1529">
        <v>69.010498017919588</v>
      </c>
      <c r="U74" s="501">
        <v>100.08881194473113</v>
      </c>
    </row>
    <row r="75" spans="1:21" s="5" customFormat="1" ht="20.100000000000001" customHeight="1">
      <c r="A75" s="1522">
        <f t="shared" si="4"/>
        <v>68</v>
      </c>
      <c r="B75" s="1523" t="s">
        <v>429</v>
      </c>
      <c r="C75" s="1524">
        <v>5632</v>
      </c>
      <c r="D75" s="786">
        <v>1296</v>
      </c>
      <c r="E75" s="786">
        <v>308</v>
      </c>
      <c r="F75" s="786">
        <v>6620</v>
      </c>
      <c r="G75" s="1525">
        <f t="shared" si="5"/>
        <v>6928</v>
      </c>
      <c r="H75" s="1526">
        <v>33327</v>
      </c>
      <c r="I75" s="492">
        <v>14277</v>
      </c>
      <c r="J75" s="492">
        <v>3304</v>
      </c>
      <c r="K75" s="492">
        <v>44300</v>
      </c>
      <c r="L75" s="492">
        <v>38005</v>
      </c>
      <c r="M75" s="492">
        <v>9599</v>
      </c>
      <c r="N75" s="1527">
        <f t="shared" si="3"/>
        <v>47604</v>
      </c>
      <c r="O75" s="1528">
        <v>74.996495527731696</v>
      </c>
      <c r="P75" s="1529">
        <v>69.829674919268029</v>
      </c>
      <c r="Q75" s="1529">
        <v>66.118005699264401</v>
      </c>
      <c r="R75" s="1529">
        <v>74.83030685884701</v>
      </c>
      <c r="S75" s="1530">
        <v>75.704590584014724</v>
      </c>
      <c r="T75" s="1529">
        <v>65.298999233664404</v>
      </c>
      <c r="U75" s="501">
        <v>73.644604326224595</v>
      </c>
    </row>
    <row r="76" spans="1:21" s="5" customFormat="1" ht="20.100000000000001" customHeight="1">
      <c r="A76" s="1522">
        <f t="shared" si="4"/>
        <v>69</v>
      </c>
      <c r="B76" s="1523" t="s">
        <v>705</v>
      </c>
      <c r="C76" s="1524">
        <v>834</v>
      </c>
      <c r="D76" s="786">
        <v>305</v>
      </c>
      <c r="E76" s="786">
        <v>130</v>
      </c>
      <c r="F76" s="786">
        <v>1009</v>
      </c>
      <c r="G76" s="1525">
        <f t="shared" si="5"/>
        <v>1139</v>
      </c>
      <c r="H76" s="1526">
        <v>3722</v>
      </c>
      <c r="I76" s="492">
        <v>5220</v>
      </c>
      <c r="J76" s="492">
        <v>1909</v>
      </c>
      <c r="K76" s="492">
        <v>7033</v>
      </c>
      <c r="L76" s="492">
        <v>6814</v>
      </c>
      <c r="M76" s="492">
        <v>2128</v>
      </c>
      <c r="N76" s="1527">
        <f t="shared" si="3"/>
        <v>8942</v>
      </c>
      <c r="O76" s="1528">
        <v>77.496018768042006</v>
      </c>
      <c r="P76" s="1529">
        <v>65.253808262862677</v>
      </c>
      <c r="Q76" s="1529">
        <v>72.894969162457585</v>
      </c>
      <c r="R76" s="1529">
        <v>69.01001323711516</v>
      </c>
      <c r="S76" s="1530">
        <v>72.994347843750631</v>
      </c>
      <c r="T76" s="1529">
        <v>63.132437586983045</v>
      </c>
      <c r="U76" s="501">
        <v>70.744505462199697</v>
      </c>
    </row>
    <row r="77" spans="1:21" s="5" customFormat="1" ht="20.100000000000001" customHeight="1">
      <c r="A77" s="1522">
        <f t="shared" si="4"/>
        <v>70</v>
      </c>
      <c r="B77" s="1523" t="s">
        <v>706</v>
      </c>
      <c r="C77" s="1524">
        <v>3644</v>
      </c>
      <c r="D77" s="786">
        <v>879</v>
      </c>
      <c r="E77" s="786">
        <v>314</v>
      </c>
      <c r="F77" s="786">
        <v>4209</v>
      </c>
      <c r="G77" s="1525">
        <f t="shared" si="5"/>
        <v>4523</v>
      </c>
      <c r="H77" s="1526">
        <v>31618</v>
      </c>
      <c r="I77" s="492">
        <v>11560</v>
      </c>
      <c r="J77" s="492">
        <v>3234</v>
      </c>
      <c r="K77" s="492">
        <v>39944</v>
      </c>
      <c r="L77" s="492">
        <v>29680</v>
      </c>
      <c r="M77" s="492">
        <v>13498</v>
      </c>
      <c r="N77" s="1527">
        <f t="shared" si="3"/>
        <v>43178</v>
      </c>
      <c r="O77" s="1528">
        <v>75.568423297901106</v>
      </c>
      <c r="P77" s="1529">
        <v>70.652622922807467</v>
      </c>
      <c r="Q77" s="1529">
        <v>66.935910771728345</v>
      </c>
      <c r="R77" s="1529">
        <v>75.62373472949389</v>
      </c>
      <c r="S77" s="1530">
        <v>79.004126321858081</v>
      </c>
      <c r="T77" s="1529">
        <v>63.816147972997875</v>
      </c>
      <c r="U77" s="501">
        <v>74.376234724149185</v>
      </c>
    </row>
    <row r="78" spans="1:21" s="5" customFormat="1" ht="20.100000000000001" customHeight="1">
      <c r="A78" s="1522">
        <f t="shared" si="4"/>
        <v>71</v>
      </c>
      <c r="B78" s="1523" t="s">
        <v>707</v>
      </c>
      <c r="C78" s="1524">
        <v>3916</v>
      </c>
      <c r="D78" s="786">
        <v>980</v>
      </c>
      <c r="E78" s="786">
        <v>342</v>
      </c>
      <c r="F78" s="786">
        <v>4554</v>
      </c>
      <c r="G78" s="1525">
        <f t="shared" si="5"/>
        <v>4896</v>
      </c>
      <c r="H78" s="1526">
        <v>23882</v>
      </c>
      <c r="I78" s="492">
        <v>13869</v>
      </c>
      <c r="J78" s="492">
        <v>4517</v>
      </c>
      <c r="K78" s="492">
        <v>33234</v>
      </c>
      <c r="L78" s="492">
        <v>29539</v>
      </c>
      <c r="M78" s="492">
        <v>8212</v>
      </c>
      <c r="N78" s="1527">
        <f t="shared" si="3"/>
        <v>37751</v>
      </c>
      <c r="O78" s="1528">
        <v>89.103619021571916</v>
      </c>
      <c r="P78" s="1529">
        <v>80.547844809186373</v>
      </c>
      <c r="Q78" s="1529">
        <v>94.178474099204053</v>
      </c>
      <c r="R78" s="1529">
        <v>83.651496199824308</v>
      </c>
      <c r="S78" s="1530">
        <v>91.223205166391068</v>
      </c>
      <c r="T78" s="1529">
        <v>67.069435739405975</v>
      </c>
      <c r="U78" s="501">
        <v>86.205826057316656</v>
      </c>
    </row>
    <row r="79" spans="1:21" s="5" customFormat="1" ht="20.100000000000001" customHeight="1">
      <c r="A79" s="1522">
        <f t="shared" si="4"/>
        <v>72</v>
      </c>
      <c r="B79" s="1523" t="s">
        <v>708</v>
      </c>
      <c r="C79" s="1524">
        <v>3305</v>
      </c>
      <c r="D79" s="786">
        <v>682</v>
      </c>
      <c r="E79" s="786">
        <v>226</v>
      </c>
      <c r="F79" s="786">
        <v>3761</v>
      </c>
      <c r="G79" s="1525">
        <f t="shared" si="5"/>
        <v>3987</v>
      </c>
      <c r="H79" s="1526">
        <v>37635</v>
      </c>
      <c r="I79" s="492">
        <v>13887</v>
      </c>
      <c r="J79" s="492">
        <v>7109</v>
      </c>
      <c r="K79" s="492">
        <v>44413</v>
      </c>
      <c r="L79" s="492">
        <v>40926</v>
      </c>
      <c r="M79" s="492">
        <v>10596</v>
      </c>
      <c r="N79" s="1527">
        <f t="shared" si="3"/>
        <v>51522</v>
      </c>
      <c r="O79" s="1528">
        <v>79.199513370913024</v>
      </c>
      <c r="P79" s="1529">
        <v>71.195975263931118</v>
      </c>
      <c r="Q79" s="1529">
        <v>93.993642518834037</v>
      </c>
      <c r="R79" s="1529">
        <v>71.359164020731413</v>
      </c>
      <c r="S79" s="1530">
        <v>79.703748114273338</v>
      </c>
      <c r="T79" s="1529">
        <v>66.863504890671152</v>
      </c>
      <c r="U79" s="501">
        <v>77.138382513749946</v>
      </c>
    </row>
    <row r="80" spans="1:21" s="5" customFormat="1" ht="20.100000000000001" customHeight="1">
      <c r="A80" s="1522">
        <f t="shared" si="4"/>
        <v>73</v>
      </c>
      <c r="B80" s="1523" t="s">
        <v>709</v>
      </c>
      <c r="C80" s="1524">
        <v>1778</v>
      </c>
      <c r="D80" s="786">
        <v>573</v>
      </c>
      <c r="E80" s="786">
        <v>203</v>
      </c>
      <c r="F80" s="786">
        <v>2148</v>
      </c>
      <c r="G80" s="1525">
        <f t="shared" si="5"/>
        <v>2351</v>
      </c>
      <c r="H80" s="1526">
        <v>26494</v>
      </c>
      <c r="I80" s="492">
        <v>16102</v>
      </c>
      <c r="J80" s="492">
        <v>7717</v>
      </c>
      <c r="K80" s="492">
        <v>34879</v>
      </c>
      <c r="L80" s="492">
        <v>36154</v>
      </c>
      <c r="M80" s="492">
        <v>6442</v>
      </c>
      <c r="N80" s="1527">
        <f t="shared" si="3"/>
        <v>42596</v>
      </c>
      <c r="O80" s="1528">
        <v>73.8558428792917</v>
      </c>
      <c r="P80" s="1529">
        <v>64.655398253021033</v>
      </c>
      <c r="Q80" s="1529">
        <v>75.192677605504699</v>
      </c>
      <c r="R80" s="1529">
        <v>67.847359741763441</v>
      </c>
      <c r="S80" s="1530">
        <v>70.874220382117215</v>
      </c>
      <c r="T80" s="1529">
        <v>68.155859824359581</v>
      </c>
      <c r="U80" s="501">
        <v>70.433693447915246</v>
      </c>
    </row>
    <row r="81" spans="1:21" s="5" customFormat="1" ht="20.100000000000001" customHeight="1">
      <c r="A81" s="1522">
        <f t="shared" si="4"/>
        <v>74</v>
      </c>
      <c r="B81" s="1523" t="s">
        <v>710</v>
      </c>
      <c r="C81" s="1524">
        <v>3411</v>
      </c>
      <c r="D81" s="786">
        <v>730</v>
      </c>
      <c r="E81" s="786">
        <v>201</v>
      </c>
      <c r="F81" s="786">
        <v>3940</v>
      </c>
      <c r="G81" s="1525">
        <f t="shared" si="5"/>
        <v>4141</v>
      </c>
      <c r="H81" s="1526">
        <v>19909</v>
      </c>
      <c r="I81" s="492">
        <v>8267</v>
      </c>
      <c r="J81" s="492">
        <v>2201</v>
      </c>
      <c r="K81" s="492">
        <v>25975</v>
      </c>
      <c r="L81" s="492">
        <v>20525</v>
      </c>
      <c r="M81" s="492">
        <v>7651</v>
      </c>
      <c r="N81" s="1527">
        <f t="shared" si="3"/>
        <v>28176</v>
      </c>
      <c r="O81" s="1528">
        <v>73.059031931373482</v>
      </c>
      <c r="P81" s="1529">
        <v>78.218510883242757</v>
      </c>
      <c r="Q81" s="1529">
        <v>84.41068351991116</v>
      </c>
      <c r="R81" s="1529">
        <v>72.382924711281262</v>
      </c>
      <c r="S81" s="1530">
        <v>78.431656179447018</v>
      </c>
      <c r="T81" s="1529">
        <v>63.86596555618295</v>
      </c>
      <c r="U81" s="501">
        <v>74.322604624490765</v>
      </c>
    </row>
    <row r="82" spans="1:21" s="5" customFormat="1" ht="20.100000000000001" customHeight="1">
      <c r="A82" s="1522">
        <f t="shared" si="4"/>
        <v>75</v>
      </c>
      <c r="B82" s="1523" t="s">
        <v>711</v>
      </c>
      <c r="C82" s="1524">
        <v>916</v>
      </c>
      <c r="D82" s="786">
        <v>336</v>
      </c>
      <c r="E82" s="786">
        <v>183</v>
      </c>
      <c r="F82" s="786">
        <v>1069</v>
      </c>
      <c r="G82" s="1525">
        <f t="shared" si="5"/>
        <v>1252</v>
      </c>
      <c r="H82" s="1526">
        <v>4095</v>
      </c>
      <c r="I82" s="492">
        <v>5517</v>
      </c>
      <c r="J82" s="492">
        <v>1632</v>
      </c>
      <c r="K82" s="492">
        <v>7980</v>
      </c>
      <c r="L82" s="492">
        <v>7316</v>
      </c>
      <c r="M82" s="492">
        <v>2296</v>
      </c>
      <c r="N82" s="1527">
        <f t="shared" si="3"/>
        <v>9612</v>
      </c>
      <c r="O82" s="1528">
        <v>78.406353275931053</v>
      </c>
      <c r="P82" s="1529">
        <v>85.223971324822614</v>
      </c>
      <c r="Q82" s="1529">
        <v>73.824647676780174</v>
      </c>
      <c r="R82" s="1529">
        <v>86.214190472126816</v>
      </c>
      <c r="S82" s="1530">
        <v>86.666967363639287</v>
      </c>
      <c r="T82" s="1529">
        <v>66.84026039804553</v>
      </c>
      <c r="U82" s="501">
        <v>81.987211718664838</v>
      </c>
    </row>
    <row r="83" spans="1:21" s="5" customFormat="1" ht="20.100000000000001" customHeight="1">
      <c r="A83" s="1522">
        <f t="shared" si="4"/>
        <v>76</v>
      </c>
      <c r="B83" s="1523" t="s">
        <v>712</v>
      </c>
      <c r="C83" s="1524">
        <v>1465</v>
      </c>
      <c r="D83" s="786">
        <v>416</v>
      </c>
      <c r="E83" s="786">
        <v>207</v>
      </c>
      <c r="F83" s="786">
        <v>1674</v>
      </c>
      <c r="G83" s="1525">
        <f t="shared" si="5"/>
        <v>1881</v>
      </c>
      <c r="H83" s="1526">
        <v>10500</v>
      </c>
      <c r="I83" s="492">
        <v>5023</v>
      </c>
      <c r="J83" s="492">
        <v>2824</v>
      </c>
      <c r="K83" s="492">
        <v>12699</v>
      </c>
      <c r="L83" s="492">
        <v>11333</v>
      </c>
      <c r="M83" s="492">
        <v>4190</v>
      </c>
      <c r="N83" s="1527">
        <f t="shared" si="3"/>
        <v>15523</v>
      </c>
      <c r="O83" s="1528">
        <v>71.84801993631109</v>
      </c>
      <c r="P83" s="1529">
        <v>68.16487537498611</v>
      </c>
      <c r="Q83" s="1529">
        <v>77.460374172164563</v>
      </c>
      <c r="R83" s="1529">
        <v>67.173819330547033</v>
      </c>
      <c r="S83" s="1530">
        <v>73.293484187974343</v>
      </c>
      <c r="T83" s="1529">
        <v>63.619442332277714</v>
      </c>
      <c r="U83" s="501">
        <v>70.750498598652243</v>
      </c>
    </row>
    <row r="84" spans="1:21" s="5" customFormat="1" ht="20.100000000000001" customHeight="1">
      <c r="A84" s="1522">
        <f t="shared" si="4"/>
        <v>77</v>
      </c>
      <c r="B84" s="1523" t="s">
        <v>713</v>
      </c>
      <c r="C84" s="1524">
        <v>5484</v>
      </c>
      <c r="D84" s="786">
        <v>1327</v>
      </c>
      <c r="E84" s="786">
        <v>243</v>
      </c>
      <c r="F84" s="786">
        <v>6568</v>
      </c>
      <c r="G84" s="1525">
        <f t="shared" si="5"/>
        <v>6811</v>
      </c>
      <c r="H84" s="1526">
        <v>39727</v>
      </c>
      <c r="I84" s="492">
        <v>12667</v>
      </c>
      <c r="J84" s="492">
        <v>2475</v>
      </c>
      <c r="K84" s="492">
        <v>49919</v>
      </c>
      <c r="L84" s="492">
        <v>39581</v>
      </c>
      <c r="M84" s="492">
        <v>12813</v>
      </c>
      <c r="N84" s="1527">
        <f t="shared" si="3"/>
        <v>52394</v>
      </c>
      <c r="O84" s="1528">
        <v>82.728924159276417</v>
      </c>
      <c r="P84" s="1529">
        <v>75.433459779022101</v>
      </c>
      <c r="Q84" s="1529">
        <v>72.548983830720189</v>
      </c>
      <c r="R84" s="1529">
        <v>81.988123951889207</v>
      </c>
      <c r="S84" s="1530">
        <v>84.792819947710726</v>
      </c>
      <c r="T84" s="1529">
        <v>70.6360272851296</v>
      </c>
      <c r="U84" s="501">
        <v>81.045775853228392</v>
      </c>
    </row>
    <row r="85" spans="1:21" s="5" customFormat="1" ht="20.100000000000001" customHeight="1">
      <c r="A85" s="1522">
        <f t="shared" si="4"/>
        <v>78</v>
      </c>
      <c r="B85" s="1523" t="s">
        <v>714</v>
      </c>
      <c r="C85" s="1524">
        <v>4358</v>
      </c>
      <c r="D85" s="786">
        <v>864</v>
      </c>
      <c r="E85" s="786">
        <v>275</v>
      </c>
      <c r="F85" s="786">
        <v>4947</v>
      </c>
      <c r="G85" s="1525">
        <f t="shared" si="5"/>
        <v>5222</v>
      </c>
      <c r="H85" s="1526">
        <v>26434</v>
      </c>
      <c r="I85" s="492">
        <v>9362</v>
      </c>
      <c r="J85" s="492">
        <v>3370</v>
      </c>
      <c r="K85" s="492">
        <v>32426</v>
      </c>
      <c r="L85" s="492">
        <v>25420</v>
      </c>
      <c r="M85" s="492">
        <v>10376</v>
      </c>
      <c r="N85" s="1527">
        <f t="shared" si="3"/>
        <v>35796</v>
      </c>
      <c r="O85" s="1528">
        <v>88.189126336202634</v>
      </c>
      <c r="P85" s="1529">
        <v>72.765310196815676</v>
      </c>
      <c r="Q85" s="1529">
        <v>67.528599780611373</v>
      </c>
      <c r="R85" s="1529">
        <v>87.667101373270654</v>
      </c>
      <c r="S85" s="1530">
        <v>91.485141007983103</v>
      </c>
      <c r="T85" s="1529">
        <v>65.475158719935223</v>
      </c>
      <c r="U85" s="501">
        <v>84.553508216981271</v>
      </c>
    </row>
    <row r="86" spans="1:21" s="5" customFormat="1" ht="20.100000000000001" customHeight="1">
      <c r="A86" s="1522">
        <f t="shared" si="4"/>
        <v>79</v>
      </c>
      <c r="B86" s="1523" t="s">
        <v>715</v>
      </c>
      <c r="C86" s="1524">
        <v>1221</v>
      </c>
      <c r="D86" s="786">
        <v>368</v>
      </c>
      <c r="E86" s="786">
        <v>202</v>
      </c>
      <c r="F86" s="786">
        <v>1387</v>
      </c>
      <c r="G86" s="1525">
        <f t="shared" si="5"/>
        <v>1589</v>
      </c>
      <c r="H86" s="1526">
        <v>6995</v>
      </c>
      <c r="I86" s="492">
        <v>6809</v>
      </c>
      <c r="J86" s="492">
        <v>2764</v>
      </c>
      <c r="K86" s="492">
        <v>11040</v>
      </c>
      <c r="L86" s="492">
        <v>9721</v>
      </c>
      <c r="M86" s="492">
        <v>4083</v>
      </c>
      <c r="N86" s="1527">
        <f t="shared" si="3"/>
        <v>13804</v>
      </c>
      <c r="O86" s="1528">
        <v>70.216902872900704</v>
      </c>
      <c r="P86" s="1529">
        <v>66.118499507440248</v>
      </c>
      <c r="Q86" s="1529">
        <v>66.658421508667857</v>
      </c>
      <c r="R86" s="1529">
        <v>69.326857111602507</v>
      </c>
      <c r="S86" s="1530">
        <v>69.754422487018232</v>
      </c>
      <c r="T86" s="1529">
        <v>64.539071554931979</v>
      </c>
      <c r="U86" s="501">
        <v>68.308910020603022</v>
      </c>
    </row>
    <row r="87" spans="1:21" s="5" customFormat="1" ht="20.100000000000001" customHeight="1">
      <c r="A87" s="1522">
        <f t="shared" si="4"/>
        <v>80</v>
      </c>
      <c r="B87" s="1523" t="s">
        <v>227</v>
      </c>
      <c r="C87" s="1524">
        <v>5505</v>
      </c>
      <c r="D87" s="786">
        <v>1149</v>
      </c>
      <c r="E87" s="786">
        <v>375</v>
      </c>
      <c r="F87" s="786">
        <v>6279</v>
      </c>
      <c r="G87" s="1525">
        <f t="shared" si="5"/>
        <v>6654</v>
      </c>
      <c r="H87" s="1526">
        <v>37192</v>
      </c>
      <c r="I87" s="492">
        <v>13088</v>
      </c>
      <c r="J87" s="492">
        <v>6207</v>
      </c>
      <c r="K87" s="492">
        <v>44073</v>
      </c>
      <c r="L87" s="492">
        <v>37566</v>
      </c>
      <c r="M87" s="492">
        <v>12714</v>
      </c>
      <c r="N87" s="1527">
        <f t="shared" si="3"/>
        <v>50280</v>
      </c>
      <c r="O87" s="1528">
        <v>73.67940039995932</v>
      </c>
      <c r="P87" s="1529">
        <v>67.215911543836128</v>
      </c>
      <c r="Q87" s="1529">
        <v>59.25</v>
      </c>
      <c r="R87" s="1529">
        <v>76.306576231856283</v>
      </c>
      <c r="S87" s="1530">
        <v>76.02922289037771</v>
      </c>
      <c r="T87" s="1529">
        <v>59.994009703515815</v>
      </c>
      <c r="U87" s="501">
        <v>72.195617592554512</v>
      </c>
    </row>
    <row r="88" spans="1:21" s="5" customFormat="1" ht="20.100000000000001" customHeight="1">
      <c r="A88" s="1522">
        <f t="shared" si="4"/>
        <v>81</v>
      </c>
      <c r="B88" s="1523" t="s">
        <v>883</v>
      </c>
      <c r="C88" s="1524">
        <v>6666</v>
      </c>
      <c r="D88" s="786">
        <v>1185</v>
      </c>
      <c r="E88" s="786">
        <v>312</v>
      </c>
      <c r="F88" s="786">
        <v>7539</v>
      </c>
      <c r="G88" s="1525">
        <f t="shared" si="5"/>
        <v>7851</v>
      </c>
      <c r="H88" s="1526">
        <v>57075</v>
      </c>
      <c r="I88" s="492">
        <v>10800</v>
      </c>
      <c r="J88" s="492">
        <v>3919</v>
      </c>
      <c r="K88" s="492">
        <v>63956</v>
      </c>
      <c r="L88" s="492">
        <v>46576</v>
      </c>
      <c r="M88" s="492">
        <v>21299</v>
      </c>
      <c r="N88" s="1527">
        <f t="shared" si="3"/>
        <v>67875</v>
      </c>
      <c r="O88" s="1528">
        <v>74.842322216016612</v>
      </c>
      <c r="P88" s="1529">
        <v>69.85957909374217</v>
      </c>
      <c r="Q88" s="1529">
        <v>59.25</v>
      </c>
      <c r="R88" s="1529">
        <v>76.200033877964685</v>
      </c>
      <c r="S88" s="1530">
        <v>77.402505665883041</v>
      </c>
      <c r="T88" s="1529">
        <v>66.918986149891339</v>
      </c>
      <c r="U88" s="501">
        <v>74.12369409610433</v>
      </c>
    </row>
    <row r="89" spans="1:21" s="5" customFormat="1" ht="33" customHeight="1" thickBot="1">
      <c r="A89" s="1980" t="s">
        <v>1209</v>
      </c>
      <c r="B89" s="1981"/>
      <c r="C89" s="1531">
        <f t="shared" ref="C89:N89" si="6">SUM(C8:C88)</f>
        <v>1573624</v>
      </c>
      <c r="D89" s="1532">
        <f t="shared" si="6"/>
        <v>209652</v>
      </c>
      <c r="E89" s="1532">
        <f t="shared" si="6"/>
        <v>49510</v>
      </c>
      <c r="F89" s="1532">
        <f t="shared" si="6"/>
        <v>1733766</v>
      </c>
      <c r="G89" s="1533">
        <f t="shared" si="6"/>
        <v>1783276</v>
      </c>
      <c r="H89" s="1531">
        <f t="shared" si="6"/>
        <v>10899654</v>
      </c>
      <c r="I89" s="1532">
        <f>SUM(I8:I88)</f>
        <v>2949705</v>
      </c>
      <c r="J89" s="1532">
        <f t="shared" si="6"/>
        <v>901116</v>
      </c>
      <c r="K89" s="1532">
        <f t="shared" si="6"/>
        <v>12948243</v>
      </c>
      <c r="L89" s="1532">
        <f t="shared" si="6"/>
        <v>9877444</v>
      </c>
      <c r="M89" s="1532">
        <f t="shared" si="6"/>
        <v>3971915</v>
      </c>
      <c r="N89" s="1533">
        <f t="shared" si="6"/>
        <v>13849359</v>
      </c>
      <c r="O89" s="1534">
        <v>89.736857180395958</v>
      </c>
      <c r="P89" s="1535">
        <v>77.858776287401142</v>
      </c>
      <c r="Q89" s="1535">
        <v>77.175968253705392</v>
      </c>
      <c r="R89" s="1535">
        <v>88.920914954375121</v>
      </c>
      <c r="S89" s="1535">
        <v>90.059807132622183</v>
      </c>
      <c r="T89" s="1535">
        <v>80.850408761437336</v>
      </c>
      <c r="U89" s="1536">
        <v>87.416258086660164</v>
      </c>
    </row>
  </sheetData>
  <mergeCells count="11">
    <mergeCell ref="A89:B89"/>
    <mergeCell ref="A1:U1"/>
    <mergeCell ref="A3:D3"/>
    <mergeCell ref="A4:A7"/>
    <mergeCell ref="C4:G4"/>
    <mergeCell ref="H4:N4"/>
    <mergeCell ref="O4:U4"/>
    <mergeCell ref="C5:G5"/>
    <mergeCell ref="H5:N5"/>
    <mergeCell ref="O5:U5"/>
    <mergeCell ref="S3:U3"/>
  </mergeCells>
  <phoneticPr fontId="7" type="noConversion"/>
  <printOptions horizontalCentered="1"/>
  <pageMargins left="0.39370078740157483" right="0" top="0.39370078740157483" bottom="0" header="0" footer="0"/>
  <pageSetup paperSize="9" scale="42"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ayfa22">
    <tabColor theme="8" tint="0.59999389629810485"/>
  </sheetPr>
  <dimension ref="A1:R95"/>
  <sheetViews>
    <sheetView showGridLines="0" topLeftCell="A85" zoomScaleNormal="100" workbookViewId="0">
      <selection activeCell="Q121" sqref="Q121"/>
    </sheetView>
  </sheetViews>
  <sheetFormatPr defaultRowHeight="12.75"/>
  <cols>
    <col min="1" max="1" width="4.5703125" style="5" customWidth="1"/>
    <col min="2" max="2" width="35.5703125" style="5" customWidth="1"/>
    <col min="3" max="3" width="10.7109375" customWidth="1"/>
    <col min="4" max="4" width="9.140625" bestFit="1" customWidth="1"/>
    <col min="5" max="5" width="10.42578125" customWidth="1"/>
    <col min="6" max="6" width="9.7109375" customWidth="1"/>
    <col min="7" max="7" width="10.7109375" customWidth="1"/>
    <col min="8" max="8" width="10.140625" customWidth="1"/>
    <col min="9" max="9" width="10.5703125" customWidth="1"/>
    <col min="10" max="10" width="10" style="586" customWidth="1"/>
    <col min="11" max="11" width="11.28515625" customWidth="1"/>
    <col min="12" max="12" width="9.140625" bestFit="1" customWidth="1"/>
    <col min="13" max="14" width="8.140625" customWidth="1"/>
    <col min="15" max="15" width="9.140625" bestFit="1" customWidth="1"/>
    <col min="16" max="16" width="12.140625" style="5" customWidth="1"/>
  </cols>
  <sheetData>
    <row r="1" spans="1:18" s="586" customFormat="1" ht="15" customHeight="1">
      <c r="A1" s="1997" t="s">
        <v>1079</v>
      </c>
      <c r="B1" s="1997"/>
      <c r="C1" s="1997"/>
      <c r="D1" s="1997"/>
      <c r="E1" s="1997"/>
      <c r="F1" s="1997"/>
      <c r="G1" s="1997"/>
      <c r="H1" s="1997"/>
      <c r="I1" s="1997"/>
      <c r="J1" s="1997"/>
      <c r="K1" s="1997"/>
      <c r="L1" s="1997"/>
      <c r="M1" s="1997"/>
      <c r="N1" s="1997"/>
      <c r="O1" s="1997"/>
      <c r="P1" s="1997"/>
    </row>
    <row r="2" spans="1:18" s="586" customFormat="1" ht="11.25" customHeight="1">
      <c r="A2" s="1998" t="s">
        <v>1080</v>
      </c>
      <c r="B2" s="1998"/>
      <c r="C2" s="1998"/>
      <c r="D2" s="1998"/>
      <c r="E2" s="1998"/>
      <c r="F2" s="1998"/>
      <c r="G2" s="1998"/>
      <c r="H2" s="1998"/>
      <c r="I2" s="1998"/>
      <c r="J2" s="1998"/>
      <c r="K2" s="1998"/>
      <c r="L2" s="1998"/>
      <c r="M2" s="1998"/>
      <c r="N2" s="1998"/>
      <c r="O2" s="1998"/>
      <c r="P2" s="1998"/>
    </row>
    <row r="3" spans="1:18" s="586" customFormat="1" ht="16.5" customHeight="1" thickBot="1">
      <c r="A3" s="554"/>
      <c r="B3" s="1561"/>
      <c r="C3" s="554">
        <v>1</v>
      </c>
      <c r="D3" s="554">
        <v>2</v>
      </c>
      <c r="E3" s="554">
        <v>4</v>
      </c>
      <c r="F3" s="554">
        <v>7</v>
      </c>
      <c r="G3" s="554">
        <v>10</v>
      </c>
      <c r="H3" s="554">
        <v>20</v>
      </c>
      <c r="I3" s="554">
        <v>30</v>
      </c>
      <c r="J3" s="1735">
        <v>50</v>
      </c>
      <c r="K3" s="554">
        <v>100</v>
      </c>
      <c r="L3" s="554">
        <v>250</v>
      </c>
      <c r="M3" s="554">
        <v>500</v>
      </c>
      <c r="N3" s="1722">
        <v>750</v>
      </c>
      <c r="O3" s="1722">
        <v>1000</v>
      </c>
      <c r="P3" s="1722">
        <v>749</v>
      </c>
    </row>
    <row r="4" spans="1:18" ht="18.75" customHeight="1">
      <c r="A4" s="2008" t="s">
        <v>461</v>
      </c>
      <c r="B4" s="2005" t="s">
        <v>1003</v>
      </c>
      <c r="C4" s="2001" t="s">
        <v>1210</v>
      </c>
      <c r="D4" s="2001"/>
      <c r="E4" s="2001"/>
      <c r="F4" s="2001"/>
      <c r="G4" s="2001"/>
      <c r="H4" s="2001"/>
      <c r="I4" s="2001"/>
      <c r="J4" s="2001"/>
      <c r="K4" s="2001"/>
      <c r="L4" s="2001"/>
      <c r="M4" s="2001"/>
      <c r="N4" s="2001"/>
      <c r="O4" s="2001"/>
      <c r="P4" s="1994" t="s">
        <v>1211</v>
      </c>
    </row>
    <row r="5" spans="1:18" ht="14.25" customHeight="1">
      <c r="A5" s="2009"/>
      <c r="B5" s="2006"/>
      <c r="C5" s="2002" t="s">
        <v>1212</v>
      </c>
      <c r="D5" s="2003"/>
      <c r="E5" s="2003"/>
      <c r="F5" s="2003"/>
      <c r="G5" s="2003"/>
      <c r="H5" s="2003"/>
      <c r="I5" s="2003"/>
      <c r="J5" s="2003"/>
      <c r="K5" s="2003"/>
      <c r="L5" s="2003"/>
      <c r="M5" s="2003"/>
      <c r="N5" s="2003"/>
      <c r="O5" s="2004"/>
      <c r="P5" s="1995"/>
    </row>
    <row r="6" spans="1:18" ht="25.5" customHeight="1">
      <c r="A6" s="2010"/>
      <c r="B6" s="2007"/>
      <c r="C6" s="1538" t="s">
        <v>381</v>
      </c>
      <c r="D6" s="1538" t="s">
        <v>382</v>
      </c>
      <c r="E6" s="1539" t="s">
        <v>782</v>
      </c>
      <c r="F6" s="1539" t="s">
        <v>783</v>
      </c>
      <c r="G6" s="1539" t="s">
        <v>784</v>
      </c>
      <c r="H6" s="1539" t="s">
        <v>785</v>
      </c>
      <c r="I6" s="1539" t="s">
        <v>786</v>
      </c>
      <c r="J6" s="1736" t="s">
        <v>260</v>
      </c>
      <c r="K6" s="1539" t="s">
        <v>383</v>
      </c>
      <c r="L6" s="1539" t="s">
        <v>384</v>
      </c>
      <c r="M6" s="1539" t="s">
        <v>385</v>
      </c>
      <c r="N6" s="1539" t="s">
        <v>727</v>
      </c>
      <c r="O6" s="1540" t="s">
        <v>640</v>
      </c>
      <c r="P6" s="1996"/>
    </row>
    <row r="7" spans="1:18" ht="18" customHeight="1">
      <c r="A7" s="1541" t="s">
        <v>195</v>
      </c>
      <c r="B7" s="1562" t="s">
        <v>672</v>
      </c>
      <c r="C7" s="1542">
        <v>6871</v>
      </c>
      <c r="D7" s="1542">
        <v>4769</v>
      </c>
      <c r="E7" s="1543">
        <v>2030</v>
      </c>
      <c r="F7" s="1543">
        <v>842</v>
      </c>
      <c r="G7" s="1543">
        <v>1104</v>
      </c>
      <c r="H7" s="1543">
        <v>406</v>
      </c>
      <c r="I7" s="1543">
        <v>323</v>
      </c>
      <c r="J7" s="1737">
        <v>183</v>
      </c>
      <c r="K7" s="1543">
        <v>100</v>
      </c>
      <c r="L7" s="1543">
        <v>14</v>
      </c>
      <c r="M7" s="1543">
        <v>3</v>
      </c>
      <c r="N7" s="1544">
        <v>0</v>
      </c>
      <c r="O7" s="1544">
        <v>1</v>
      </c>
      <c r="P7" s="1545">
        <f>SUM(C7:O7)</f>
        <v>16646</v>
      </c>
      <c r="R7" s="792"/>
    </row>
    <row r="8" spans="1:18" ht="18" customHeight="1">
      <c r="A8" s="1546" t="s">
        <v>197</v>
      </c>
      <c r="B8" s="1563" t="s">
        <v>833</v>
      </c>
      <c r="C8" s="1547">
        <v>785</v>
      </c>
      <c r="D8" s="1547">
        <v>649</v>
      </c>
      <c r="E8" s="1548">
        <v>393</v>
      </c>
      <c r="F8" s="1548">
        <v>208</v>
      </c>
      <c r="G8" s="1548">
        <v>366</v>
      </c>
      <c r="H8" s="1549">
        <v>177</v>
      </c>
      <c r="I8" s="1549">
        <v>184</v>
      </c>
      <c r="J8" s="1738">
        <v>157</v>
      </c>
      <c r="K8" s="1549">
        <v>62</v>
      </c>
      <c r="L8" s="1549">
        <v>8</v>
      </c>
      <c r="M8" s="1549">
        <v>0</v>
      </c>
      <c r="N8" s="1550">
        <v>0</v>
      </c>
      <c r="O8" s="1549">
        <v>0</v>
      </c>
      <c r="P8" s="1551">
        <f t="shared" ref="P8:P71" si="0">SUM(C8:O8)</f>
        <v>2989</v>
      </c>
    </row>
    <row r="9" spans="1:18" ht="18" customHeight="1">
      <c r="A9" s="1552" t="s">
        <v>199</v>
      </c>
      <c r="B9" s="1563" t="s">
        <v>641</v>
      </c>
      <c r="C9" s="1553">
        <v>327</v>
      </c>
      <c r="D9" s="1553">
        <v>363</v>
      </c>
      <c r="E9" s="1549">
        <v>225</v>
      </c>
      <c r="F9" s="1549">
        <v>96</v>
      </c>
      <c r="G9" s="1549">
        <v>102</v>
      </c>
      <c r="H9" s="1549">
        <v>46</v>
      </c>
      <c r="I9" s="1549">
        <v>25</v>
      </c>
      <c r="J9" s="1738">
        <v>12</v>
      </c>
      <c r="K9" s="1549">
        <v>6</v>
      </c>
      <c r="L9" s="1549">
        <v>1</v>
      </c>
      <c r="M9" s="1549">
        <v>0</v>
      </c>
      <c r="N9" s="1550">
        <v>0</v>
      </c>
      <c r="O9" s="1549">
        <v>0</v>
      </c>
      <c r="P9" s="1551">
        <f t="shared" si="0"/>
        <v>1203</v>
      </c>
    </row>
    <row r="10" spans="1:18" s="2" customFormat="1" ht="18" customHeight="1">
      <c r="A10" s="1552" t="s">
        <v>185</v>
      </c>
      <c r="B10" s="1563" t="s">
        <v>556</v>
      </c>
      <c r="C10" s="1553">
        <v>103</v>
      </c>
      <c r="D10" s="1553">
        <v>116</v>
      </c>
      <c r="E10" s="1549">
        <v>79</v>
      </c>
      <c r="F10" s="1549">
        <v>46</v>
      </c>
      <c r="G10" s="1549">
        <v>69</v>
      </c>
      <c r="H10" s="1549">
        <v>47</v>
      </c>
      <c r="I10" s="1549">
        <v>49</v>
      </c>
      <c r="J10" s="1738">
        <v>49</v>
      </c>
      <c r="K10" s="1549">
        <v>38</v>
      </c>
      <c r="L10" s="1549">
        <v>16</v>
      </c>
      <c r="M10" s="1549">
        <v>6</v>
      </c>
      <c r="N10" s="1550">
        <v>6</v>
      </c>
      <c r="O10" s="1550">
        <v>5</v>
      </c>
      <c r="P10" s="1551">
        <f t="shared" si="0"/>
        <v>629</v>
      </c>
    </row>
    <row r="11" spans="1:18" ht="18" customHeight="1">
      <c r="A11" s="1552" t="s">
        <v>187</v>
      </c>
      <c r="B11" s="1563" t="s">
        <v>88</v>
      </c>
      <c r="C11" s="1553">
        <v>4</v>
      </c>
      <c r="D11" s="1553">
        <v>3</v>
      </c>
      <c r="E11" s="1549">
        <v>3</v>
      </c>
      <c r="F11" s="1549">
        <v>1</v>
      </c>
      <c r="G11" s="1549">
        <v>6</v>
      </c>
      <c r="H11" s="1549">
        <v>4</v>
      </c>
      <c r="I11" s="1549">
        <v>6</v>
      </c>
      <c r="J11" s="1738">
        <v>3</v>
      </c>
      <c r="K11" s="1549">
        <v>3</v>
      </c>
      <c r="L11" s="1549">
        <v>2</v>
      </c>
      <c r="M11" s="1549">
        <v>0</v>
      </c>
      <c r="N11" s="1550">
        <v>1</v>
      </c>
      <c r="O11" s="1550">
        <v>0</v>
      </c>
      <c r="P11" s="1551">
        <f t="shared" si="0"/>
        <v>36</v>
      </c>
    </row>
    <row r="12" spans="1:18" ht="18" customHeight="1">
      <c r="A12" s="1552" t="s">
        <v>189</v>
      </c>
      <c r="B12" s="1563" t="s">
        <v>89</v>
      </c>
      <c r="C12" s="1553">
        <v>183</v>
      </c>
      <c r="D12" s="1553">
        <v>160</v>
      </c>
      <c r="E12" s="1549">
        <v>138</v>
      </c>
      <c r="F12" s="1549">
        <v>68</v>
      </c>
      <c r="G12" s="1549">
        <v>131</v>
      </c>
      <c r="H12" s="1549">
        <v>70</v>
      </c>
      <c r="I12" s="1549">
        <v>68</v>
      </c>
      <c r="J12" s="1738">
        <v>55</v>
      </c>
      <c r="K12" s="1549">
        <v>37</v>
      </c>
      <c r="L12" s="1549">
        <v>13</v>
      </c>
      <c r="M12" s="1549">
        <v>4</v>
      </c>
      <c r="N12" s="1550">
        <v>2</v>
      </c>
      <c r="O12" s="1550">
        <v>0</v>
      </c>
      <c r="P12" s="1551">
        <f t="shared" si="0"/>
        <v>929</v>
      </c>
    </row>
    <row r="13" spans="1:18" ht="18" customHeight="1">
      <c r="A13" s="1552" t="s">
        <v>643</v>
      </c>
      <c r="B13" s="1563" t="s">
        <v>90</v>
      </c>
      <c r="C13" s="1553">
        <v>822</v>
      </c>
      <c r="D13" s="1553">
        <v>842</v>
      </c>
      <c r="E13" s="1549">
        <v>721</v>
      </c>
      <c r="F13" s="1549">
        <v>543</v>
      </c>
      <c r="G13" s="1549">
        <v>989</v>
      </c>
      <c r="H13" s="1549">
        <v>411</v>
      </c>
      <c r="I13" s="1549">
        <v>290</v>
      </c>
      <c r="J13" s="1738">
        <v>130</v>
      </c>
      <c r="K13" s="1549">
        <v>58</v>
      </c>
      <c r="L13" s="1549">
        <v>5</v>
      </c>
      <c r="M13" s="1549">
        <v>4</v>
      </c>
      <c r="N13" s="1550">
        <v>0</v>
      </c>
      <c r="O13" s="1550">
        <v>1</v>
      </c>
      <c r="P13" s="1551">
        <f t="shared" si="0"/>
        <v>4816</v>
      </c>
    </row>
    <row r="14" spans="1:18" ht="18" customHeight="1">
      <c r="A14" s="1552" t="s">
        <v>645</v>
      </c>
      <c r="B14" s="1563" t="s">
        <v>91</v>
      </c>
      <c r="C14" s="1553">
        <v>110</v>
      </c>
      <c r="D14" s="1553">
        <v>119</v>
      </c>
      <c r="E14" s="1549">
        <v>85</v>
      </c>
      <c r="F14" s="1549">
        <v>47</v>
      </c>
      <c r="G14" s="1549">
        <v>73</v>
      </c>
      <c r="H14" s="1549">
        <v>33</v>
      </c>
      <c r="I14" s="1549">
        <v>34</v>
      </c>
      <c r="J14" s="1738">
        <v>12</v>
      </c>
      <c r="K14" s="1549">
        <v>7</v>
      </c>
      <c r="L14" s="1549">
        <v>1</v>
      </c>
      <c r="M14" s="1549">
        <v>1</v>
      </c>
      <c r="N14" s="1550">
        <v>0</v>
      </c>
      <c r="O14" s="1549">
        <v>0</v>
      </c>
      <c r="P14" s="1551">
        <f t="shared" si="0"/>
        <v>522</v>
      </c>
    </row>
    <row r="15" spans="1:18" ht="18" customHeight="1">
      <c r="A15" s="1552">
        <v>10</v>
      </c>
      <c r="B15" s="1563" t="s">
        <v>92</v>
      </c>
      <c r="C15" s="1553">
        <v>9980</v>
      </c>
      <c r="D15" s="1553">
        <v>12539</v>
      </c>
      <c r="E15" s="1549">
        <v>8605</v>
      </c>
      <c r="F15" s="1549">
        <v>3875</v>
      </c>
      <c r="G15" s="1549">
        <v>3866</v>
      </c>
      <c r="H15" s="1549">
        <v>1191</v>
      </c>
      <c r="I15" s="1549">
        <v>928</v>
      </c>
      <c r="J15" s="1738">
        <v>554</v>
      </c>
      <c r="K15" s="1549">
        <v>456</v>
      </c>
      <c r="L15" s="1549">
        <v>111</v>
      </c>
      <c r="M15" s="1549">
        <v>29</v>
      </c>
      <c r="N15" s="1550">
        <v>23</v>
      </c>
      <c r="O15" s="1550">
        <v>18</v>
      </c>
      <c r="P15" s="1551">
        <f t="shared" si="0"/>
        <v>42175</v>
      </c>
    </row>
    <row r="16" spans="1:18" ht="18" customHeight="1">
      <c r="A16" s="1552">
        <v>11</v>
      </c>
      <c r="B16" s="1563" t="s">
        <v>93</v>
      </c>
      <c r="C16" s="1553">
        <v>94</v>
      </c>
      <c r="D16" s="1553">
        <v>118</v>
      </c>
      <c r="E16" s="1549">
        <v>96</v>
      </c>
      <c r="F16" s="1549">
        <v>55</v>
      </c>
      <c r="G16" s="1549">
        <v>102</v>
      </c>
      <c r="H16" s="1549">
        <v>55</v>
      </c>
      <c r="I16" s="1549">
        <v>63</v>
      </c>
      <c r="J16" s="1738">
        <v>46</v>
      </c>
      <c r="K16" s="1549">
        <v>25</v>
      </c>
      <c r="L16" s="1549">
        <v>6</v>
      </c>
      <c r="M16" s="1549">
        <v>0</v>
      </c>
      <c r="N16" s="1550">
        <v>0</v>
      </c>
      <c r="O16" s="1549">
        <v>0</v>
      </c>
      <c r="P16" s="1551">
        <f t="shared" si="0"/>
        <v>660</v>
      </c>
    </row>
    <row r="17" spans="1:16" ht="18" customHeight="1">
      <c r="A17" s="1552">
        <v>12</v>
      </c>
      <c r="B17" s="1563" t="s">
        <v>27</v>
      </c>
      <c r="C17" s="1553">
        <v>11</v>
      </c>
      <c r="D17" s="1553">
        <v>8</v>
      </c>
      <c r="E17" s="1549">
        <v>7</v>
      </c>
      <c r="F17" s="1549">
        <v>2</v>
      </c>
      <c r="G17" s="1549">
        <v>7</v>
      </c>
      <c r="H17" s="1549">
        <v>3</v>
      </c>
      <c r="I17" s="1549">
        <v>4</v>
      </c>
      <c r="J17" s="1738">
        <v>5</v>
      </c>
      <c r="K17" s="1549">
        <v>2</v>
      </c>
      <c r="L17" s="1549">
        <v>2</v>
      </c>
      <c r="M17" s="1549">
        <v>1</v>
      </c>
      <c r="N17" s="1550">
        <v>1</v>
      </c>
      <c r="O17" s="1550">
        <v>1</v>
      </c>
      <c r="P17" s="1551">
        <f t="shared" si="0"/>
        <v>54</v>
      </c>
    </row>
    <row r="18" spans="1:16" s="2" customFormat="1" ht="18" customHeight="1">
      <c r="A18" s="1552">
        <v>13</v>
      </c>
      <c r="B18" s="1563" t="s">
        <v>28</v>
      </c>
      <c r="C18" s="1553">
        <v>3538</v>
      </c>
      <c r="D18" s="1553">
        <v>3952</v>
      </c>
      <c r="E18" s="1549">
        <v>2642</v>
      </c>
      <c r="F18" s="1549">
        <v>1313</v>
      </c>
      <c r="G18" s="1549">
        <v>1806</v>
      </c>
      <c r="H18" s="1549">
        <v>775</v>
      </c>
      <c r="I18" s="1549">
        <v>867</v>
      </c>
      <c r="J18" s="1738">
        <v>653</v>
      </c>
      <c r="K18" s="1549">
        <v>675</v>
      </c>
      <c r="L18" s="1549">
        <v>208</v>
      </c>
      <c r="M18" s="1549">
        <v>56</v>
      </c>
      <c r="N18" s="1550">
        <v>16</v>
      </c>
      <c r="O18" s="1550">
        <v>18</v>
      </c>
      <c r="P18" s="1551">
        <f t="shared" si="0"/>
        <v>16519</v>
      </c>
    </row>
    <row r="19" spans="1:16" ht="18" customHeight="1">
      <c r="A19" s="1552">
        <v>14</v>
      </c>
      <c r="B19" s="1563" t="s">
        <v>256</v>
      </c>
      <c r="C19" s="1553">
        <v>7353</v>
      </c>
      <c r="D19" s="1553">
        <v>8492</v>
      </c>
      <c r="E19" s="1549">
        <v>5787</v>
      </c>
      <c r="F19" s="1549">
        <v>2686</v>
      </c>
      <c r="G19" s="1549">
        <v>3382</v>
      </c>
      <c r="H19" s="1549">
        <v>1387</v>
      </c>
      <c r="I19" s="1549">
        <v>1399</v>
      </c>
      <c r="J19" s="1738">
        <v>992</v>
      </c>
      <c r="K19" s="1549">
        <v>654</v>
      </c>
      <c r="L19" s="1549">
        <v>163</v>
      </c>
      <c r="M19" s="1549">
        <v>33</v>
      </c>
      <c r="N19" s="1550">
        <v>9</v>
      </c>
      <c r="O19" s="1550">
        <v>13</v>
      </c>
      <c r="P19" s="1551">
        <f t="shared" si="0"/>
        <v>32350</v>
      </c>
    </row>
    <row r="20" spans="1:16" ht="18" customHeight="1">
      <c r="A20" s="1552">
        <v>15</v>
      </c>
      <c r="B20" s="1563" t="s">
        <v>767</v>
      </c>
      <c r="C20" s="1553">
        <v>1584</v>
      </c>
      <c r="D20" s="1553">
        <v>1806</v>
      </c>
      <c r="E20" s="1549">
        <v>1145</v>
      </c>
      <c r="F20" s="1549">
        <v>538</v>
      </c>
      <c r="G20" s="1549">
        <v>622</v>
      </c>
      <c r="H20" s="1549">
        <v>268</v>
      </c>
      <c r="I20" s="1549">
        <v>223</v>
      </c>
      <c r="J20" s="1738">
        <v>120</v>
      </c>
      <c r="K20" s="1549">
        <v>51</v>
      </c>
      <c r="L20" s="1549">
        <v>13</v>
      </c>
      <c r="M20" s="1549">
        <v>2</v>
      </c>
      <c r="N20" s="1550">
        <v>1</v>
      </c>
      <c r="O20" s="1550">
        <v>1</v>
      </c>
      <c r="P20" s="1551">
        <f t="shared" si="0"/>
        <v>6374</v>
      </c>
    </row>
    <row r="21" spans="1:16" ht="18" customHeight="1">
      <c r="A21" s="1552">
        <v>16</v>
      </c>
      <c r="B21" s="1563" t="s">
        <v>128</v>
      </c>
      <c r="C21" s="1553">
        <v>3711</v>
      </c>
      <c r="D21" s="1553">
        <v>3322</v>
      </c>
      <c r="E21" s="1549">
        <v>1657</v>
      </c>
      <c r="F21" s="1549">
        <v>609</v>
      </c>
      <c r="G21" s="1549">
        <v>627</v>
      </c>
      <c r="H21" s="1549">
        <v>217</v>
      </c>
      <c r="I21" s="1549">
        <v>143</v>
      </c>
      <c r="J21" s="1738">
        <v>77</v>
      </c>
      <c r="K21" s="1549">
        <v>46</v>
      </c>
      <c r="L21" s="1549">
        <v>16</v>
      </c>
      <c r="M21" s="1549">
        <v>2</v>
      </c>
      <c r="N21" s="1550">
        <v>2</v>
      </c>
      <c r="O21" s="1550">
        <v>1</v>
      </c>
      <c r="P21" s="1551">
        <f t="shared" si="0"/>
        <v>10430</v>
      </c>
    </row>
    <row r="22" spans="1:16" ht="18" customHeight="1">
      <c r="A22" s="1552">
        <v>17</v>
      </c>
      <c r="B22" s="1563" t="s">
        <v>814</v>
      </c>
      <c r="C22" s="1553">
        <v>441</v>
      </c>
      <c r="D22" s="1553">
        <v>572</v>
      </c>
      <c r="E22" s="1549">
        <v>407</v>
      </c>
      <c r="F22" s="1549">
        <v>245</v>
      </c>
      <c r="G22" s="1549">
        <v>308</v>
      </c>
      <c r="H22" s="1549">
        <v>141</v>
      </c>
      <c r="I22" s="1549">
        <v>136</v>
      </c>
      <c r="J22" s="1738">
        <v>106</v>
      </c>
      <c r="K22" s="1549">
        <v>106</v>
      </c>
      <c r="L22" s="1549">
        <v>22</v>
      </c>
      <c r="M22" s="1549">
        <v>5</v>
      </c>
      <c r="N22" s="1550">
        <v>0</v>
      </c>
      <c r="O22" s="1550">
        <v>1</v>
      </c>
      <c r="P22" s="1551">
        <f t="shared" si="0"/>
        <v>2490</v>
      </c>
    </row>
    <row r="23" spans="1:16" ht="18" customHeight="1">
      <c r="A23" s="1552">
        <v>18</v>
      </c>
      <c r="B23" s="1563" t="s">
        <v>808</v>
      </c>
      <c r="C23" s="1553">
        <v>2234</v>
      </c>
      <c r="D23" s="1553">
        <v>2477</v>
      </c>
      <c r="E23" s="1549">
        <v>1546</v>
      </c>
      <c r="F23" s="1549">
        <v>564</v>
      </c>
      <c r="G23" s="1549">
        <v>559</v>
      </c>
      <c r="H23" s="1549">
        <v>192</v>
      </c>
      <c r="I23" s="1549">
        <v>165</v>
      </c>
      <c r="J23" s="1738">
        <v>93</v>
      </c>
      <c r="K23" s="1549">
        <v>47</v>
      </c>
      <c r="L23" s="1549">
        <v>7</v>
      </c>
      <c r="M23" s="1549">
        <v>1</v>
      </c>
      <c r="N23" s="1550">
        <v>0</v>
      </c>
      <c r="O23" s="1550">
        <v>0</v>
      </c>
      <c r="P23" s="1551">
        <f t="shared" si="0"/>
        <v>7885</v>
      </c>
    </row>
    <row r="24" spans="1:16" ht="18" customHeight="1">
      <c r="A24" s="1552">
        <v>19</v>
      </c>
      <c r="B24" s="1563" t="s">
        <v>214</v>
      </c>
      <c r="C24" s="1553">
        <v>40</v>
      </c>
      <c r="D24" s="1553">
        <v>54</v>
      </c>
      <c r="E24" s="1549">
        <v>52</v>
      </c>
      <c r="F24" s="1549">
        <v>27</v>
      </c>
      <c r="G24" s="1549">
        <v>54</v>
      </c>
      <c r="H24" s="1549">
        <v>11</v>
      </c>
      <c r="I24" s="1549">
        <v>13</v>
      </c>
      <c r="J24" s="1738">
        <v>9</v>
      </c>
      <c r="K24" s="1549">
        <v>2</v>
      </c>
      <c r="L24" s="1549">
        <v>2</v>
      </c>
      <c r="M24" s="1549">
        <v>0</v>
      </c>
      <c r="N24" s="1550">
        <v>1</v>
      </c>
      <c r="O24" s="1550">
        <v>2</v>
      </c>
      <c r="P24" s="1551">
        <f t="shared" si="0"/>
        <v>267</v>
      </c>
    </row>
    <row r="25" spans="1:16" ht="18" customHeight="1">
      <c r="A25" s="1552">
        <v>20</v>
      </c>
      <c r="B25" s="1563" t="s">
        <v>892</v>
      </c>
      <c r="C25" s="1553">
        <v>919</v>
      </c>
      <c r="D25" s="1553">
        <v>1073</v>
      </c>
      <c r="E25" s="1549">
        <v>770</v>
      </c>
      <c r="F25" s="1549">
        <v>415</v>
      </c>
      <c r="G25" s="1549">
        <v>553</v>
      </c>
      <c r="H25" s="1549">
        <v>228</v>
      </c>
      <c r="I25" s="1549">
        <v>182</v>
      </c>
      <c r="J25" s="1738">
        <v>152</v>
      </c>
      <c r="K25" s="1549">
        <v>99</v>
      </c>
      <c r="L25" s="1549">
        <v>28</v>
      </c>
      <c r="M25" s="1549">
        <v>5</v>
      </c>
      <c r="N25" s="1550">
        <v>2</v>
      </c>
      <c r="O25" s="1550">
        <v>3</v>
      </c>
      <c r="P25" s="1551">
        <f t="shared" si="0"/>
        <v>4429</v>
      </c>
    </row>
    <row r="26" spans="1:16" ht="18" customHeight="1">
      <c r="A26" s="1552">
        <v>21</v>
      </c>
      <c r="B26" s="1563" t="s">
        <v>380</v>
      </c>
      <c r="C26" s="1553">
        <v>47</v>
      </c>
      <c r="D26" s="1553">
        <v>68</v>
      </c>
      <c r="E26" s="1549">
        <v>50</v>
      </c>
      <c r="F26" s="1549">
        <v>27</v>
      </c>
      <c r="G26" s="1549">
        <v>34</v>
      </c>
      <c r="H26" s="1549">
        <v>32</v>
      </c>
      <c r="I26" s="1549">
        <v>30</v>
      </c>
      <c r="J26" s="1738">
        <v>28</v>
      </c>
      <c r="K26" s="1549">
        <v>31</v>
      </c>
      <c r="L26" s="1549">
        <v>17</v>
      </c>
      <c r="M26" s="1549">
        <v>7</v>
      </c>
      <c r="N26" s="1550">
        <v>1</v>
      </c>
      <c r="O26" s="1550">
        <v>0</v>
      </c>
      <c r="P26" s="1551">
        <f t="shared" si="0"/>
        <v>372</v>
      </c>
    </row>
    <row r="27" spans="1:16" ht="18" customHeight="1">
      <c r="A27" s="1552">
        <v>22</v>
      </c>
      <c r="B27" s="1563" t="s">
        <v>386</v>
      </c>
      <c r="C27" s="1553">
        <v>2896</v>
      </c>
      <c r="D27" s="1553">
        <v>3415</v>
      </c>
      <c r="E27" s="1549">
        <v>2252</v>
      </c>
      <c r="F27" s="1549">
        <v>1062</v>
      </c>
      <c r="G27" s="1549">
        <v>1481</v>
      </c>
      <c r="H27" s="1549">
        <v>578</v>
      </c>
      <c r="I27" s="1549">
        <v>575</v>
      </c>
      <c r="J27" s="1738">
        <v>370</v>
      </c>
      <c r="K27" s="1549">
        <v>275</v>
      </c>
      <c r="L27" s="1549">
        <v>46</v>
      </c>
      <c r="M27" s="1549">
        <v>17</v>
      </c>
      <c r="N27" s="1550">
        <v>4</v>
      </c>
      <c r="O27" s="1550">
        <v>10</v>
      </c>
      <c r="P27" s="1551">
        <f t="shared" si="0"/>
        <v>12981</v>
      </c>
    </row>
    <row r="28" spans="1:16" ht="18" customHeight="1">
      <c r="A28" s="1552">
        <v>23</v>
      </c>
      <c r="B28" s="1563" t="s">
        <v>403</v>
      </c>
      <c r="C28" s="1553">
        <v>3024</v>
      </c>
      <c r="D28" s="1553">
        <v>3589</v>
      </c>
      <c r="E28" s="1549">
        <v>2134</v>
      </c>
      <c r="F28" s="1549">
        <v>1017</v>
      </c>
      <c r="G28" s="1549">
        <v>1709</v>
      </c>
      <c r="H28" s="1549">
        <v>845</v>
      </c>
      <c r="I28" s="1549">
        <v>727</v>
      </c>
      <c r="J28" s="1738">
        <v>539</v>
      </c>
      <c r="K28" s="1549">
        <v>255</v>
      </c>
      <c r="L28" s="1549">
        <v>60</v>
      </c>
      <c r="M28" s="1549">
        <v>22</v>
      </c>
      <c r="N28" s="1550">
        <v>6</v>
      </c>
      <c r="O28" s="1550">
        <v>7</v>
      </c>
      <c r="P28" s="1551">
        <f t="shared" si="0"/>
        <v>13934</v>
      </c>
    </row>
    <row r="29" spans="1:16" ht="18" customHeight="1">
      <c r="A29" s="1552">
        <v>24</v>
      </c>
      <c r="B29" s="1563" t="s">
        <v>404</v>
      </c>
      <c r="C29" s="1553">
        <v>1756</v>
      </c>
      <c r="D29" s="1553">
        <v>1775</v>
      </c>
      <c r="E29" s="1549">
        <v>1276</v>
      </c>
      <c r="F29" s="1549">
        <v>617</v>
      </c>
      <c r="G29" s="1549">
        <v>744</v>
      </c>
      <c r="H29" s="1549">
        <v>278</v>
      </c>
      <c r="I29" s="1549">
        <v>307</v>
      </c>
      <c r="J29" s="1738">
        <v>204</v>
      </c>
      <c r="K29" s="1549">
        <v>157</v>
      </c>
      <c r="L29" s="1549">
        <v>61</v>
      </c>
      <c r="M29" s="1549">
        <v>18</v>
      </c>
      <c r="N29" s="1550">
        <v>8</v>
      </c>
      <c r="O29" s="1550">
        <v>8</v>
      </c>
      <c r="P29" s="1551">
        <f t="shared" si="0"/>
        <v>7209</v>
      </c>
    </row>
    <row r="30" spans="1:16" ht="18" customHeight="1">
      <c r="A30" s="1552">
        <v>25</v>
      </c>
      <c r="B30" s="1563" t="s">
        <v>524</v>
      </c>
      <c r="C30" s="1553">
        <v>9176</v>
      </c>
      <c r="D30" s="1553">
        <v>10131</v>
      </c>
      <c r="E30" s="1549">
        <v>6324</v>
      </c>
      <c r="F30" s="1549">
        <v>2672</v>
      </c>
      <c r="G30" s="1549">
        <v>3488</v>
      </c>
      <c r="H30" s="1549">
        <v>1266</v>
      </c>
      <c r="I30" s="1549">
        <v>1077</v>
      </c>
      <c r="J30" s="1738">
        <v>642</v>
      </c>
      <c r="K30" s="1549">
        <v>464</v>
      </c>
      <c r="L30" s="1549">
        <v>146</v>
      </c>
      <c r="M30" s="1549">
        <v>45</v>
      </c>
      <c r="N30" s="1550">
        <v>31</v>
      </c>
      <c r="O30" s="1550">
        <v>27</v>
      </c>
      <c r="P30" s="1551">
        <f t="shared" si="0"/>
        <v>35489</v>
      </c>
    </row>
    <row r="31" spans="1:16" ht="18" customHeight="1">
      <c r="A31" s="1552">
        <v>26</v>
      </c>
      <c r="B31" s="1563" t="s">
        <v>32</v>
      </c>
      <c r="C31" s="1553">
        <v>383</v>
      </c>
      <c r="D31" s="1553">
        <v>466</v>
      </c>
      <c r="E31" s="1549">
        <v>264</v>
      </c>
      <c r="F31" s="1549">
        <v>130</v>
      </c>
      <c r="G31" s="1549">
        <v>151</v>
      </c>
      <c r="H31" s="1549">
        <v>72</v>
      </c>
      <c r="I31" s="1549">
        <v>77</v>
      </c>
      <c r="J31" s="1738">
        <v>40</v>
      </c>
      <c r="K31" s="1549">
        <v>34</v>
      </c>
      <c r="L31" s="1549">
        <v>10</v>
      </c>
      <c r="M31" s="1549">
        <v>4</v>
      </c>
      <c r="N31" s="1550">
        <v>3</v>
      </c>
      <c r="O31" s="1550">
        <v>4</v>
      </c>
      <c r="P31" s="1551">
        <f t="shared" si="0"/>
        <v>1638</v>
      </c>
    </row>
    <row r="32" spans="1:16" ht="18" customHeight="1">
      <c r="A32" s="1552">
        <v>27</v>
      </c>
      <c r="B32" s="1563" t="s">
        <v>768</v>
      </c>
      <c r="C32" s="1553">
        <v>1302</v>
      </c>
      <c r="D32" s="1553">
        <v>1527</v>
      </c>
      <c r="E32" s="1549">
        <v>981</v>
      </c>
      <c r="F32" s="1549">
        <v>461</v>
      </c>
      <c r="G32" s="1549">
        <v>630</v>
      </c>
      <c r="H32" s="1549">
        <v>281</v>
      </c>
      <c r="I32" s="1549">
        <v>292</v>
      </c>
      <c r="J32" s="1738">
        <v>184</v>
      </c>
      <c r="K32" s="1549">
        <v>134</v>
      </c>
      <c r="L32" s="1549">
        <v>55</v>
      </c>
      <c r="M32" s="1549">
        <v>10</v>
      </c>
      <c r="N32" s="1550">
        <v>8</v>
      </c>
      <c r="O32" s="1550">
        <v>14</v>
      </c>
      <c r="P32" s="1551">
        <f t="shared" si="0"/>
        <v>5879</v>
      </c>
    </row>
    <row r="33" spans="1:16" ht="18" customHeight="1">
      <c r="A33" s="1552">
        <v>28</v>
      </c>
      <c r="B33" s="1563" t="s">
        <v>61</v>
      </c>
      <c r="C33" s="1553">
        <v>2105</v>
      </c>
      <c r="D33" s="1553">
        <v>2605</v>
      </c>
      <c r="E33" s="1549">
        <v>1983</v>
      </c>
      <c r="F33" s="1549">
        <v>1042</v>
      </c>
      <c r="G33" s="1549">
        <v>1499</v>
      </c>
      <c r="H33" s="1549">
        <v>555</v>
      </c>
      <c r="I33" s="1549">
        <v>479</v>
      </c>
      <c r="J33" s="1738">
        <v>309</v>
      </c>
      <c r="K33" s="1549">
        <v>147</v>
      </c>
      <c r="L33" s="1549">
        <v>30</v>
      </c>
      <c r="M33" s="1549">
        <v>5</v>
      </c>
      <c r="N33" s="1550">
        <v>1</v>
      </c>
      <c r="O33" s="1550">
        <v>9</v>
      </c>
      <c r="P33" s="1551">
        <f t="shared" si="0"/>
        <v>10769</v>
      </c>
    </row>
    <row r="34" spans="1:16" ht="18" customHeight="1">
      <c r="A34" s="1552">
        <v>29</v>
      </c>
      <c r="B34" s="1563" t="s">
        <v>52</v>
      </c>
      <c r="C34" s="1553">
        <v>673</v>
      </c>
      <c r="D34" s="1553">
        <v>791</v>
      </c>
      <c r="E34" s="1549">
        <v>595</v>
      </c>
      <c r="F34" s="1549">
        <v>252</v>
      </c>
      <c r="G34" s="1549">
        <v>408</v>
      </c>
      <c r="H34" s="1549">
        <v>186</v>
      </c>
      <c r="I34" s="1549">
        <v>213</v>
      </c>
      <c r="J34" s="1738">
        <v>180</v>
      </c>
      <c r="K34" s="1549">
        <v>172</v>
      </c>
      <c r="L34" s="1549">
        <v>68</v>
      </c>
      <c r="M34" s="1549">
        <v>35</v>
      </c>
      <c r="N34" s="1550">
        <v>9</v>
      </c>
      <c r="O34" s="1550">
        <v>26</v>
      </c>
      <c r="P34" s="1551">
        <f t="shared" si="0"/>
        <v>3608</v>
      </c>
    </row>
    <row r="35" spans="1:16" ht="18" customHeight="1">
      <c r="A35" s="1552">
        <v>30</v>
      </c>
      <c r="B35" s="1563" t="s">
        <v>593</v>
      </c>
      <c r="C35" s="1553">
        <v>241</v>
      </c>
      <c r="D35" s="1553">
        <v>251</v>
      </c>
      <c r="E35" s="1549">
        <v>154</v>
      </c>
      <c r="F35" s="1549">
        <v>93</v>
      </c>
      <c r="G35" s="1549">
        <v>130</v>
      </c>
      <c r="H35" s="1549">
        <v>61</v>
      </c>
      <c r="I35" s="1549">
        <v>55</v>
      </c>
      <c r="J35" s="1738">
        <v>51</v>
      </c>
      <c r="K35" s="1549">
        <v>40</v>
      </c>
      <c r="L35" s="1549">
        <v>16</v>
      </c>
      <c r="M35" s="1549">
        <v>5</v>
      </c>
      <c r="N35" s="1550">
        <v>3</v>
      </c>
      <c r="O35" s="1550">
        <v>9</v>
      </c>
      <c r="P35" s="1551">
        <f t="shared" si="0"/>
        <v>1109</v>
      </c>
    </row>
    <row r="36" spans="1:16" ht="18" customHeight="1">
      <c r="A36" s="1552">
        <v>31</v>
      </c>
      <c r="B36" s="1563" t="s">
        <v>139</v>
      </c>
      <c r="C36" s="1553">
        <v>7114</v>
      </c>
      <c r="D36" s="1553">
        <v>6868</v>
      </c>
      <c r="E36" s="1549">
        <v>3510</v>
      </c>
      <c r="F36" s="1549">
        <v>1326</v>
      </c>
      <c r="G36" s="1549">
        <v>1567</v>
      </c>
      <c r="H36" s="1549">
        <v>579</v>
      </c>
      <c r="I36" s="1549">
        <v>479</v>
      </c>
      <c r="J36" s="1738">
        <v>274</v>
      </c>
      <c r="K36" s="1549">
        <v>133</v>
      </c>
      <c r="L36" s="1549">
        <v>30</v>
      </c>
      <c r="M36" s="1549">
        <v>6</v>
      </c>
      <c r="N36" s="1550">
        <v>1</v>
      </c>
      <c r="O36" s="1550">
        <v>2</v>
      </c>
      <c r="P36" s="1551">
        <f t="shared" si="0"/>
        <v>21889</v>
      </c>
    </row>
    <row r="37" spans="1:16" ht="18" customHeight="1">
      <c r="A37" s="1552">
        <v>32</v>
      </c>
      <c r="B37" s="1563" t="s">
        <v>140</v>
      </c>
      <c r="C37" s="1553">
        <v>1693</v>
      </c>
      <c r="D37" s="1553">
        <v>1869</v>
      </c>
      <c r="E37" s="1549">
        <v>1192</v>
      </c>
      <c r="F37" s="1549">
        <v>536</v>
      </c>
      <c r="G37" s="1549">
        <v>634</v>
      </c>
      <c r="H37" s="1549">
        <v>228</v>
      </c>
      <c r="I37" s="1549">
        <v>182</v>
      </c>
      <c r="J37" s="1738">
        <v>95</v>
      </c>
      <c r="K37" s="1549">
        <v>40</v>
      </c>
      <c r="L37" s="1549">
        <v>8</v>
      </c>
      <c r="M37" s="1549">
        <v>4</v>
      </c>
      <c r="N37" s="1550">
        <v>3</v>
      </c>
      <c r="O37" s="1550">
        <v>0</v>
      </c>
      <c r="P37" s="1551">
        <f t="shared" si="0"/>
        <v>6484</v>
      </c>
    </row>
    <row r="38" spans="1:16" ht="18" customHeight="1">
      <c r="A38" s="1552">
        <v>33</v>
      </c>
      <c r="B38" s="1563" t="s">
        <v>86</v>
      </c>
      <c r="C38" s="1553">
        <v>5416</v>
      </c>
      <c r="D38" s="1553">
        <v>6248</v>
      </c>
      <c r="E38" s="1549">
        <v>3477</v>
      </c>
      <c r="F38" s="1549">
        <v>1469</v>
      </c>
      <c r="G38" s="1549">
        <v>1562</v>
      </c>
      <c r="H38" s="1549">
        <v>511</v>
      </c>
      <c r="I38" s="1549">
        <v>412</v>
      </c>
      <c r="J38" s="1738">
        <v>207</v>
      </c>
      <c r="K38" s="1549">
        <v>92</v>
      </c>
      <c r="L38" s="1549">
        <v>23</v>
      </c>
      <c r="M38" s="1549">
        <v>5</v>
      </c>
      <c r="N38" s="1550">
        <v>3</v>
      </c>
      <c r="O38" s="1550">
        <v>6</v>
      </c>
      <c r="P38" s="1551">
        <f t="shared" si="0"/>
        <v>19431</v>
      </c>
    </row>
    <row r="39" spans="1:16" s="2" customFormat="1" ht="18" customHeight="1">
      <c r="A39" s="1552">
        <v>35</v>
      </c>
      <c r="B39" s="1563" t="s">
        <v>466</v>
      </c>
      <c r="C39" s="1553">
        <v>10704</v>
      </c>
      <c r="D39" s="1553">
        <v>1730</v>
      </c>
      <c r="E39" s="1549">
        <v>1006</v>
      </c>
      <c r="F39" s="1549">
        <v>513</v>
      </c>
      <c r="G39" s="1549">
        <v>768</v>
      </c>
      <c r="H39" s="1549">
        <v>284</v>
      </c>
      <c r="I39" s="1549">
        <v>210</v>
      </c>
      <c r="J39" s="1738">
        <v>144</v>
      </c>
      <c r="K39" s="1549">
        <v>93</v>
      </c>
      <c r="L39" s="1549">
        <v>39</v>
      </c>
      <c r="M39" s="1549">
        <v>15</v>
      </c>
      <c r="N39" s="1550">
        <v>3</v>
      </c>
      <c r="O39" s="1550">
        <v>0</v>
      </c>
      <c r="P39" s="1551">
        <f t="shared" si="0"/>
        <v>15509</v>
      </c>
    </row>
    <row r="40" spans="1:16" ht="18" customHeight="1">
      <c r="A40" s="1552">
        <v>36</v>
      </c>
      <c r="B40" s="1563" t="s">
        <v>682</v>
      </c>
      <c r="C40" s="1553">
        <v>237</v>
      </c>
      <c r="D40" s="1553">
        <v>173</v>
      </c>
      <c r="E40" s="1549">
        <v>148</v>
      </c>
      <c r="F40" s="1549">
        <v>77</v>
      </c>
      <c r="G40" s="1549">
        <v>113</v>
      </c>
      <c r="H40" s="1549">
        <v>42</v>
      </c>
      <c r="I40" s="1549">
        <v>33</v>
      </c>
      <c r="J40" s="1738">
        <v>31</v>
      </c>
      <c r="K40" s="1549">
        <v>29</v>
      </c>
      <c r="L40" s="1549">
        <v>8</v>
      </c>
      <c r="M40" s="1549">
        <v>3</v>
      </c>
      <c r="N40" s="1550">
        <v>0</v>
      </c>
      <c r="O40" s="1550">
        <v>0</v>
      </c>
      <c r="P40" s="1551">
        <f t="shared" si="0"/>
        <v>894</v>
      </c>
    </row>
    <row r="41" spans="1:16" s="2" customFormat="1" ht="18" customHeight="1">
      <c r="A41" s="1552">
        <v>37</v>
      </c>
      <c r="B41" s="1563" t="s">
        <v>683</v>
      </c>
      <c r="C41" s="1553">
        <v>112</v>
      </c>
      <c r="D41" s="1553">
        <v>111</v>
      </c>
      <c r="E41" s="1549">
        <v>64</v>
      </c>
      <c r="F41" s="1549">
        <v>45</v>
      </c>
      <c r="G41" s="1549">
        <v>73</v>
      </c>
      <c r="H41" s="1549">
        <v>31</v>
      </c>
      <c r="I41" s="1549">
        <v>38</v>
      </c>
      <c r="J41" s="1738">
        <v>16</v>
      </c>
      <c r="K41" s="1549">
        <v>20</v>
      </c>
      <c r="L41" s="1549">
        <v>9</v>
      </c>
      <c r="M41" s="1549">
        <v>4</v>
      </c>
      <c r="N41" s="1550">
        <v>2</v>
      </c>
      <c r="O41" s="1550">
        <v>1</v>
      </c>
      <c r="P41" s="1551">
        <f t="shared" si="0"/>
        <v>526</v>
      </c>
    </row>
    <row r="42" spans="1:16" ht="18" customHeight="1">
      <c r="A42" s="1552">
        <v>38</v>
      </c>
      <c r="B42" s="1563" t="s">
        <v>684</v>
      </c>
      <c r="C42" s="1553">
        <v>671</v>
      </c>
      <c r="D42" s="1553">
        <v>741</v>
      </c>
      <c r="E42" s="1549">
        <v>549</v>
      </c>
      <c r="F42" s="1549">
        <v>330</v>
      </c>
      <c r="G42" s="1549">
        <v>452</v>
      </c>
      <c r="H42" s="1549">
        <v>198</v>
      </c>
      <c r="I42" s="1549">
        <v>194</v>
      </c>
      <c r="J42" s="1738">
        <v>141</v>
      </c>
      <c r="K42" s="1549">
        <v>120</v>
      </c>
      <c r="L42" s="1549">
        <v>58</v>
      </c>
      <c r="M42" s="1549">
        <v>19</v>
      </c>
      <c r="N42" s="1550">
        <v>6</v>
      </c>
      <c r="O42" s="1550">
        <v>2</v>
      </c>
      <c r="P42" s="1551">
        <f t="shared" si="0"/>
        <v>3481</v>
      </c>
    </row>
    <row r="43" spans="1:16" ht="18" customHeight="1">
      <c r="A43" s="1552">
        <v>39</v>
      </c>
      <c r="B43" s="1563" t="s">
        <v>155</v>
      </c>
      <c r="C43" s="1553">
        <v>24</v>
      </c>
      <c r="D43" s="1553">
        <v>39</v>
      </c>
      <c r="E43" s="1549">
        <v>23</v>
      </c>
      <c r="F43" s="1549">
        <v>9</v>
      </c>
      <c r="G43" s="1549">
        <v>19</v>
      </c>
      <c r="H43" s="1549">
        <v>4</v>
      </c>
      <c r="I43" s="1549">
        <v>3</v>
      </c>
      <c r="J43" s="1738">
        <v>5</v>
      </c>
      <c r="K43" s="1549">
        <v>2</v>
      </c>
      <c r="L43" s="1549">
        <v>0</v>
      </c>
      <c r="M43" s="1549">
        <v>0</v>
      </c>
      <c r="N43" s="1550">
        <v>0</v>
      </c>
      <c r="O43" s="1549">
        <v>0</v>
      </c>
      <c r="P43" s="1551">
        <f t="shared" si="0"/>
        <v>128</v>
      </c>
    </row>
    <row r="44" spans="1:16" s="2" customFormat="1" ht="18" customHeight="1">
      <c r="A44" s="1552">
        <v>41</v>
      </c>
      <c r="B44" s="1563" t="s">
        <v>156</v>
      </c>
      <c r="C44" s="1553">
        <v>30905</v>
      </c>
      <c r="D44" s="1553">
        <v>31012</v>
      </c>
      <c r="E44" s="1549">
        <v>25284</v>
      </c>
      <c r="F44" s="1549">
        <v>14004</v>
      </c>
      <c r="G44" s="1549">
        <v>16640</v>
      </c>
      <c r="H44" s="1549">
        <v>4916</v>
      </c>
      <c r="I44" s="1549">
        <v>3366</v>
      </c>
      <c r="J44" s="1738">
        <v>1842</v>
      </c>
      <c r="K44" s="1549">
        <v>789</v>
      </c>
      <c r="L44" s="1549">
        <v>254</v>
      </c>
      <c r="M44" s="1549">
        <v>71</v>
      </c>
      <c r="N44" s="1550">
        <v>19</v>
      </c>
      <c r="O44" s="1550">
        <v>45</v>
      </c>
      <c r="P44" s="1551">
        <f t="shared" si="0"/>
        <v>129147</v>
      </c>
    </row>
    <row r="45" spans="1:16" ht="18" customHeight="1">
      <c r="A45" s="1552">
        <v>42</v>
      </c>
      <c r="B45" s="1563" t="s">
        <v>497</v>
      </c>
      <c r="C45" s="1553">
        <v>2637</v>
      </c>
      <c r="D45" s="1553">
        <v>2682</v>
      </c>
      <c r="E45" s="1549">
        <v>2063</v>
      </c>
      <c r="F45" s="1549">
        <v>1219</v>
      </c>
      <c r="G45" s="1549">
        <v>2023</v>
      </c>
      <c r="H45" s="1549">
        <v>1018</v>
      </c>
      <c r="I45" s="1549">
        <v>1004</v>
      </c>
      <c r="J45" s="1738">
        <v>960</v>
      </c>
      <c r="K45" s="1549">
        <v>479</v>
      </c>
      <c r="L45" s="1549">
        <v>96</v>
      </c>
      <c r="M45" s="1549">
        <v>28</v>
      </c>
      <c r="N45" s="1550">
        <v>6</v>
      </c>
      <c r="O45" s="1550">
        <v>34</v>
      </c>
      <c r="P45" s="1551">
        <f t="shared" si="0"/>
        <v>14249</v>
      </c>
    </row>
    <row r="46" spans="1:16" s="2" customFormat="1" ht="18" customHeight="1">
      <c r="A46" s="1552">
        <v>43</v>
      </c>
      <c r="B46" s="1563" t="s">
        <v>856</v>
      </c>
      <c r="C46" s="1553">
        <v>16395</v>
      </c>
      <c r="D46" s="1553">
        <v>17086</v>
      </c>
      <c r="E46" s="1549">
        <v>10328</v>
      </c>
      <c r="F46" s="1549">
        <v>4170</v>
      </c>
      <c r="G46" s="1549">
        <v>4357</v>
      </c>
      <c r="H46" s="1549">
        <v>1169</v>
      </c>
      <c r="I46" s="1549">
        <v>789</v>
      </c>
      <c r="J46" s="1738">
        <v>442</v>
      </c>
      <c r="K46" s="1549">
        <v>178</v>
      </c>
      <c r="L46" s="1549">
        <v>50</v>
      </c>
      <c r="M46" s="1549">
        <v>18</v>
      </c>
      <c r="N46" s="1550">
        <v>8</v>
      </c>
      <c r="O46" s="1550">
        <v>4</v>
      </c>
      <c r="P46" s="1551">
        <f t="shared" si="0"/>
        <v>54994</v>
      </c>
    </row>
    <row r="47" spans="1:16" ht="18" customHeight="1">
      <c r="A47" s="1552">
        <v>45</v>
      </c>
      <c r="B47" s="1563" t="s">
        <v>127</v>
      </c>
      <c r="C47" s="1553">
        <v>21899</v>
      </c>
      <c r="D47" s="1553">
        <v>16539</v>
      </c>
      <c r="E47" s="1549">
        <v>6353</v>
      </c>
      <c r="F47" s="1549">
        <v>2154</v>
      </c>
      <c r="G47" s="1549">
        <v>2141</v>
      </c>
      <c r="H47" s="1549">
        <v>674</v>
      </c>
      <c r="I47" s="1549">
        <v>540</v>
      </c>
      <c r="J47" s="1738">
        <v>234</v>
      </c>
      <c r="K47" s="1549">
        <v>85</v>
      </c>
      <c r="L47" s="1549">
        <v>14</v>
      </c>
      <c r="M47" s="1549">
        <v>2</v>
      </c>
      <c r="N47" s="1550">
        <v>0</v>
      </c>
      <c r="O47" s="1550">
        <v>1</v>
      </c>
      <c r="P47" s="1551">
        <f t="shared" si="0"/>
        <v>50636</v>
      </c>
    </row>
    <row r="48" spans="1:16" ht="18" customHeight="1">
      <c r="A48" s="1552">
        <v>46</v>
      </c>
      <c r="B48" s="1563" t="s">
        <v>115</v>
      </c>
      <c r="C48" s="1553">
        <v>40406</v>
      </c>
      <c r="D48" s="1553">
        <v>41851</v>
      </c>
      <c r="E48" s="1549">
        <v>24484</v>
      </c>
      <c r="F48" s="1549">
        <v>9308</v>
      </c>
      <c r="G48" s="1549">
        <v>9258</v>
      </c>
      <c r="H48" s="1549">
        <v>2563</v>
      </c>
      <c r="I48" s="1549">
        <v>1865</v>
      </c>
      <c r="J48" s="1738">
        <v>635</v>
      </c>
      <c r="K48" s="1549">
        <v>301</v>
      </c>
      <c r="L48" s="1549">
        <v>39</v>
      </c>
      <c r="M48" s="1549">
        <v>2</v>
      </c>
      <c r="N48" s="1550">
        <v>2</v>
      </c>
      <c r="O48" s="1550">
        <v>1</v>
      </c>
      <c r="P48" s="1551">
        <f t="shared" si="0"/>
        <v>130715</v>
      </c>
    </row>
    <row r="49" spans="1:16" ht="18" customHeight="1">
      <c r="A49" s="1552">
        <v>47</v>
      </c>
      <c r="B49" s="1563" t="s">
        <v>116</v>
      </c>
      <c r="C49" s="1553">
        <v>108969</v>
      </c>
      <c r="D49" s="1553">
        <v>99242</v>
      </c>
      <c r="E49" s="1549">
        <v>59037</v>
      </c>
      <c r="F49" s="1549">
        <v>17406</v>
      </c>
      <c r="G49" s="1549">
        <v>16414</v>
      </c>
      <c r="H49" s="1549">
        <v>3949</v>
      </c>
      <c r="I49" s="1549">
        <v>2413</v>
      </c>
      <c r="J49" s="1738">
        <v>768</v>
      </c>
      <c r="K49" s="1549">
        <v>228</v>
      </c>
      <c r="L49" s="1549">
        <v>48</v>
      </c>
      <c r="M49" s="1549">
        <v>6</v>
      </c>
      <c r="N49" s="1550">
        <v>1</v>
      </c>
      <c r="O49" s="1550">
        <v>2</v>
      </c>
      <c r="P49" s="1551">
        <f t="shared" si="0"/>
        <v>308483</v>
      </c>
    </row>
    <row r="50" spans="1:16" s="2" customFormat="1" ht="18" customHeight="1">
      <c r="A50" s="1552">
        <v>49</v>
      </c>
      <c r="B50" s="1563" t="s">
        <v>126</v>
      </c>
      <c r="C50" s="1553">
        <v>62476</v>
      </c>
      <c r="D50" s="1553">
        <v>31546</v>
      </c>
      <c r="E50" s="1549">
        <v>11523</v>
      </c>
      <c r="F50" s="1549">
        <v>4593</v>
      </c>
      <c r="G50" s="1549">
        <v>5967</v>
      </c>
      <c r="H50" s="1549">
        <v>1922</v>
      </c>
      <c r="I50" s="1549">
        <v>1420</v>
      </c>
      <c r="J50" s="1738">
        <v>605</v>
      </c>
      <c r="K50" s="1549">
        <v>299</v>
      </c>
      <c r="L50" s="1549">
        <v>69</v>
      </c>
      <c r="M50" s="1549">
        <v>15</v>
      </c>
      <c r="N50" s="1550">
        <v>6</v>
      </c>
      <c r="O50" s="1550">
        <v>6</v>
      </c>
      <c r="P50" s="1551">
        <f t="shared" si="0"/>
        <v>120447</v>
      </c>
    </row>
    <row r="51" spans="1:16" ht="18" customHeight="1">
      <c r="A51" s="1552">
        <v>50</v>
      </c>
      <c r="B51" s="1563" t="s">
        <v>866</v>
      </c>
      <c r="C51" s="1553">
        <v>731</v>
      </c>
      <c r="D51" s="1553">
        <v>677</v>
      </c>
      <c r="E51" s="1549">
        <v>323</v>
      </c>
      <c r="F51" s="1549">
        <v>141</v>
      </c>
      <c r="G51" s="1549">
        <v>250</v>
      </c>
      <c r="H51" s="1549">
        <v>111</v>
      </c>
      <c r="I51" s="1549">
        <v>41</v>
      </c>
      <c r="J51" s="1738">
        <v>13</v>
      </c>
      <c r="K51" s="1549">
        <v>5</v>
      </c>
      <c r="L51" s="1549">
        <v>5</v>
      </c>
      <c r="M51" s="1549">
        <v>0</v>
      </c>
      <c r="N51" s="1550">
        <v>0</v>
      </c>
      <c r="O51" s="1550">
        <v>0</v>
      </c>
      <c r="P51" s="1551">
        <f t="shared" si="0"/>
        <v>2297</v>
      </c>
    </row>
    <row r="52" spans="1:16" ht="18" customHeight="1">
      <c r="A52" s="1552">
        <v>51</v>
      </c>
      <c r="B52" s="1563" t="s">
        <v>867</v>
      </c>
      <c r="C52" s="1553">
        <v>42</v>
      </c>
      <c r="D52" s="1553">
        <v>59</v>
      </c>
      <c r="E52" s="1549">
        <v>51</v>
      </c>
      <c r="F52" s="1549">
        <v>29</v>
      </c>
      <c r="G52" s="1549">
        <v>39</v>
      </c>
      <c r="H52" s="1549">
        <v>24</v>
      </c>
      <c r="I52" s="1549">
        <v>14</v>
      </c>
      <c r="J52" s="1738">
        <v>11</v>
      </c>
      <c r="K52" s="1549">
        <v>10</v>
      </c>
      <c r="L52" s="1549">
        <v>8</v>
      </c>
      <c r="M52" s="1549">
        <v>1</v>
      </c>
      <c r="N52" s="1550">
        <v>1</v>
      </c>
      <c r="O52" s="1550">
        <v>3</v>
      </c>
      <c r="P52" s="1551">
        <f t="shared" si="0"/>
        <v>292</v>
      </c>
    </row>
    <row r="53" spans="1:16" ht="18" customHeight="1">
      <c r="A53" s="1552">
        <v>52</v>
      </c>
      <c r="B53" s="1563" t="s">
        <v>822</v>
      </c>
      <c r="C53" s="1553">
        <v>4581</v>
      </c>
      <c r="D53" s="1553">
        <v>4521</v>
      </c>
      <c r="E53" s="1549">
        <v>3324</v>
      </c>
      <c r="F53" s="1549">
        <v>1757</v>
      </c>
      <c r="G53" s="1549">
        <v>2184</v>
      </c>
      <c r="H53" s="1549">
        <v>696</v>
      </c>
      <c r="I53" s="1549">
        <v>579</v>
      </c>
      <c r="J53" s="1738">
        <v>441</v>
      </c>
      <c r="K53" s="1549">
        <v>288</v>
      </c>
      <c r="L53" s="1549">
        <v>48</v>
      </c>
      <c r="M53" s="1549">
        <v>11</v>
      </c>
      <c r="N53" s="1550">
        <v>6</v>
      </c>
      <c r="O53" s="1550">
        <v>10</v>
      </c>
      <c r="P53" s="1551">
        <f t="shared" si="0"/>
        <v>18446</v>
      </c>
    </row>
    <row r="54" spans="1:16" s="2" customFormat="1" ht="18" customHeight="1">
      <c r="A54" s="1552">
        <v>53</v>
      </c>
      <c r="B54" s="1563" t="s">
        <v>19</v>
      </c>
      <c r="C54" s="1553">
        <v>470</v>
      </c>
      <c r="D54" s="1553">
        <v>538</v>
      </c>
      <c r="E54" s="1549">
        <v>569</v>
      </c>
      <c r="F54" s="1549">
        <v>377</v>
      </c>
      <c r="G54" s="1549">
        <v>403</v>
      </c>
      <c r="H54" s="1549">
        <v>66</v>
      </c>
      <c r="I54" s="1549">
        <v>69</v>
      </c>
      <c r="J54" s="1738">
        <v>50</v>
      </c>
      <c r="K54" s="1549">
        <v>28</v>
      </c>
      <c r="L54" s="1549">
        <v>9</v>
      </c>
      <c r="M54" s="1549">
        <v>3</v>
      </c>
      <c r="N54" s="1550">
        <v>3</v>
      </c>
      <c r="O54" s="1550">
        <v>1</v>
      </c>
      <c r="P54" s="1551">
        <f t="shared" si="0"/>
        <v>2586</v>
      </c>
    </row>
    <row r="55" spans="1:16" ht="18" customHeight="1">
      <c r="A55" s="1552">
        <v>55</v>
      </c>
      <c r="B55" s="1563" t="s">
        <v>20</v>
      </c>
      <c r="C55" s="1553">
        <v>3762</v>
      </c>
      <c r="D55" s="1553">
        <v>4761</v>
      </c>
      <c r="E55" s="1549">
        <v>3824</v>
      </c>
      <c r="F55" s="1549">
        <v>1523</v>
      </c>
      <c r="G55" s="1549">
        <v>1730</v>
      </c>
      <c r="H55" s="1549">
        <v>601</v>
      </c>
      <c r="I55" s="1549">
        <v>481</v>
      </c>
      <c r="J55" s="1738">
        <v>482</v>
      </c>
      <c r="K55" s="1549">
        <v>435</v>
      </c>
      <c r="L55" s="1549">
        <v>123</v>
      </c>
      <c r="M55" s="1549">
        <v>15</v>
      </c>
      <c r="N55" s="1550">
        <v>2</v>
      </c>
      <c r="O55" s="1550">
        <v>2</v>
      </c>
      <c r="P55" s="1551">
        <f t="shared" si="0"/>
        <v>17741</v>
      </c>
    </row>
    <row r="56" spans="1:16" ht="18" customHeight="1">
      <c r="A56" s="1552">
        <v>56</v>
      </c>
      <c r="B56" s="1563" t="s">
        <v>21</v>
      </c>
      <c r="C56" s="1553">
        <v>39400</v>
      </c>
      <c r="D56" s="1553">
        <v>33159</v>
      </c>
      <c r="E56" s="1549">
        <v>17472</v>
      </c>
      <c r="F56" s="1549">
        <v>7728</v>
      </c>
      <c r="G56" s="1549">
        <v>9957</v>
      </c>
      <c r="H56" s="1549">
        <v>2858</v>
      </c>
      <c r="I56" s="1549">
        <v>1695</v>
      </c>
      <c r="J56" s="1738">
        <v>663</v>
      </c>
      <c r="K56" s="1549">
        <v>244</v>
      </c>
      <c r="L56" s="1549">
        <v>31</v>
      </c>
      <c r="M56" s="1549">
        <v>8</v>
      </c>
      <c r="N56" s="1550">
        <v>2</v>
      </c>
      <c r="O56" s="1550">
        <v>3</v>
      </c>
      <c r="P56" s="1551">
        <f t="shared" si="0"/>
        <v>113220</v>
      </c>
    </row>
    <row r="57" spans="1:16" ht="18" customHeight="1">
      <c r="A57" s="1552">
        <v>58</v>
      </c>
      <c r="B57" s="1563" t="s">
        <v>99</v>
      </c>
      <c r="C57" s="1553">
        <v>671</v>
      </c>
      <c r="D57" s="1553">
        <v>716</v>
      </c>
      <c r="E57" s="1549">
        <v>541</v>
      </c>
      <c r="F57" s="1549">
        <v>265</v>
      </c>
      <c r="G57" s="1549">
        <v>271</v>
      </c>
      <c r="H57" s="1549">
        <v>82</v>
      </c>
      <c r="I57" s="1549">
        <v>57</v>
      </c>
      <c r="J57" s="1738">
        <v>30</v>
      </c>
      <c r="K57" s="1549">
        <v>10</v>
      </c>
      <c r="L57" s="1549">
        <v>5</v>
      </c>
      <c r="M57" s="1549">
        <v>2</v>
      </c>
      <c r="N57" s="1550">
        <v>0</v>
      </c>
      <c r="O57" s="1550">
        <v>0</v>
      </c>
      <c r="P57" s="1551">
        <f t="shared" si="0"/>
        <v>2650</v>
      </c>
    </row>
    <row r="58" spans="1:16" ht="18" customHeight="1">
      <c r="A58" s="1552">
        <v>59</v>
      </c>
      <c r="B58" s="1563" t="s">
        <v>100</v>
      </c>
      <c r="C58" s="1553">
        <v>531</v>
      </c>
      <c r="D58" s="1553">
        <v>577</v>
      </c>
      <c r="E58" s="1549">
        <v>314</v>
      </c>
      <c r="F58" s="1549">
        <v>150</v>
      </c>
      <c r="G58" s="1549">
        <v>253</v>
      </c>
      <c r="H58" s="1549">
        <v>96</v>
      </c>
      <c r="I58" s="1549">
        <v>63</v>
      </c>
      <c r="J58" s="1738">
        <v>18</v>
      </c>
      <c r="K58" s="1549">
        <v>15</v>
      </c>
      <c r="L58" s="1549">
        <v>4</v>
      </c>
      <c r="M58" s="1549">
        <v>0</v>
      </c>
      <c r="N58" s="1550">
        <v>0</v>
      </c>
      <c r="O58" s="1550">
        <v>0</v>
      </c>
      <c r="P58" s="1551">
        <f t="shared" si="0"/>
        <v>2021</v>
      </c>
    </row>
    <row r="59" spans="1:16" ht="18" customHeight="1">
      <c r="A59" s="1552">
        <v>60</v>
      </c>
      <c r="B59" s="1563" t="s">
        <v>755</v>
      </c>
      <c r="C59" s="1553">
        <v>235</v>
      </c>
      <c r="D59" s="1553">
        <v>225</v>
      </c>
      <c r="E59" s="1549">
        <v>114</v>
      </c>
      <c r="F59" s="1549">
        <v>67</v>
      </c>
      <c r="G59" s="1549">
        <v>99</v>
      </c>
      <c r="H59" s="1549">
        <v>39</v>
      </c>
      <c r="I59" s="1549">
        <v>28</v>
      </c>
      <c r="J59" s="1738">
        <v>19</v>
      </c>
      <c r="K59" s="1549">
        <v>14</v>
      </c>
      <c r="L59" s="1549">
        <v>4</v>
      </c>
      <c r="M59" s="1549">
        <v>0</v>
      </c>
      <c r="N59" s="1550">
        <v>0</v>
      </c>
      <c r="O59" s="1550">
        <v>0</v>
      </c>
      <c r="P59" s="1551">
        <f t="shared" si="0"/>
        <v>844</v>
      </c>
    </row>
    <row r="60" spans="1:16" ht="18" customHeight="1">
      <c r="A60" s="1552">
        <v>61</v>
      </c>
      <c r="B60" s="1563" t="s">
        <v>756</v>
      </c>
      <c r="C60" s="1553">
        <v>1341</v>
      </c>
      <c r="D60" s="1553">
        <v>861</v>
      </c>
      <c r="E60" s="1549">
        <v>416</v>
      </c>
      <c r="F60" s="1549">
        <v>161</v>
      </c>
      <c r="G60" s="1549">
        <v>203</v>
      </c>
      <c r="H60" s="1549">
        <v>82</v>
      </c>
      <c r="I60" s="1549">
        <v>67</v>
      </c>
      <c r="J60" s="1738">
        <v>51</v>
      </c>
      <c r="K60" s="1549">
        <v>14</v>
      </c>
      <c r="L60" s="1549">
        <v>6</v>
      </c>
      <c r="M60" s="1549">
        <v>1</v>
      </c>
      <c r="N60" s="1550">
        <v>2</v>
      </c>
      <c r="O60" s="1550">
        <v>1</v>
      </c>
      <c r="P60" s="1551">
        <f t="shared" si="0"/>
        <v>3206</v>
      </c>
    </row>
    <row r="61" spans="1:16" ht="18" customHeight="1">
      <c r="A61" s="1552">
        <v>62</v>
      </c>
      <c r="B61" s="1563" t="s">
        <v>757</v>
      </c>
      <c r="C61" s="1553">
        <v>2380</v>
      </c>
      <c r="D61" s="1553">
        <v>2284</v>
      </c>
      <c r="E61" s="1549">
        <v>1306</v>
      </c>
      <c r="F61" s="1549">
        <v>555</v>
      </c>
      <c r="G61" s="1549">
        <v>747</v>
      </c>
      <c r="H61" s="1549">
        <v>265</v>
      </c>
      <c r="I61" s="1549">
        <v>198</v>
      </c>
      <c r="J61" s="1738">
        <v>119</v>
      </c>
      <c r="K61" s="1549">
        <v>71</v>
      </c>
      <c r="L61" s="1549">
        <v>17</v>
      </c>
      <c r="M61" s="1549">
        <v>7</v>
      </c>
      <c r="N61" s="1550">
        <v>4</v>
      </c>
      <c r="O61" s="1549">
        <v>2</v>
      </c>
      <c r="P61" s="1551">
        <f t="shared" si="0"/>
        <v>7955</v>
      </c>
    </row>
    <row r="62" spans="1:16" ht="18" customHeight="1">
      <c r="A62" s="1552">
        <v>63</v>
      </c>
      <c r="B62" s="1563" t="s">
        <v>758</v>
      </c>
      <c r="C62" s="1553">
        <v>454</v>
      </c>
      <c r="D62" s="1553">
        <v>428</v>
      </c>
      <c r="E62" s="1549">
        <v>263</v>
      </c>
      <c r="F62" s="1549">
        <v>135</v>
      </c>
      <c r="G62" s="1549">
        <v>174</v>
      </c>
      <c r="H62" s="1549">
        <v>72</v>
      </c>
      <c r="I62" s="1549">
        <v>82</v>
      </c>
      <c r="J62" s="1738">
        <v>57</v>
      </c>
      <c r="K62" s="1549">
        <v>72</v>
      </c>
      <c r="L62" s="1549">
        <v>30</v>
      </c>
      <c r="M62" s="1549">
        <v>14</v>
      </c>
      <c r="N62" s="1550">
        <v>5</v>
      </c>
      <c r="O62" s="1550">
        <v>6</v>
      </c>
      <c r="P62" s="1551">
        <f t="shared" si="0"/>
        <v>1792</v>
      </c>
    </row>
    <row r="63" spans="1:16" ht="18" customHeight="1">
      <c r="A63" s="1552">
        <v>64</v>
      </c>
      <c r="B63" s="1563" t="s">
        <v>823</v>
      </c>
      <c r="C63" s="1553">
        <v>1019</v>
      </c>
      <c r="D63" s="1553">
        <v>1464</v>
      </c>
      <c r="E63" s="1549">
        <v>1101</v>
      </c>
      <c r="F63" s="1549">
        <v>1454</v>
      </c>
      <c r="G63" s="1549">
        <v>1731</v>
      </c>
      <c r="H63" s="1549">
        <v>175</v>
      </c>
      <c r="I63" s="1549">
        <v>111</v>
      </c>
      <c r="J63" s="1738">
        <v>59</v>
      </c>
      <c r="K63" s="1549">
        <v>37</v>
      </c>
      <c r="L63" s="1549">
        <v>17</v>
      </c>
      <c r="M63" s="1549">
        <v>4</v>
      </c>
      <c r="N63" s="1550">
        <v>3</v>
      </c>
      <c r="O63" s="1550">
        <v>9</v>
      </c>
      <c r="P63" s="1551">
        <f t="shared" si="0"/>
        <v>7184</v>
      </c>
    </row>
    <row r="64" spans="1:16" ht="18" customHeight="1">
      <c r="A64" s="1552">
        <v>65</v>
      </c>
      <c r="B64" s="1563" t="s">
        <v>830</v>
      </c>
      <c r="C64" s="1553">
        <v>1041</v>
      </c>
      <c r="D64" s="1553">
        <v>1608</v>
      </c>
      <c r="E64" s="1549">
        <v>728</v>
      </c>
      <c r="F64" s="1549">
        <v>204</v>
      </c>
      <c r="G64" s="1549">
        <v>171</v>
      </c>
      <c r="H64" s="1549">
        <v>40</v>
      </c>
      <c r="I64" s="1549">
        <v>46</v>
      </c>
      <c r="J64" s="1738">
        <v>37</v>
      </c>
      <c r="K64" s="1549">
        <v>16</v>
      </c>
      <c r="L64" s="1549">
        <v>11</v>
      </c>
      <c r="M64" s="1549">
        <v>1</v>
      </c>
      <c r="N64" s="1550">
        <v>0</v>
      </c>
      <c r="O64" s="1550">
        <v>0</v>
      </c>
      <c r="P64" s="1551">
        <f t="shared" si="0"/>
        <v>3903</v>
      </c>
    </row>
    <row r="65" spans="1:16" ht="18" customHeight="1">
      <c r="A65" s="1552">
        <v>66</v>
      </c>
      <c r="B65" s="1563" t="s">
        <v>671</v>
      </c>
      <c r="C65" s="1553">
        <v>3366</v>
      </c>
      <c r="D65" s="1553">
        <v>4878</v>
      </c>
      <c r="E65" s="1549">
        <v>2190</v>
      </c>
      <c r="F65" s="1549">
        <v>644</v>
      </c>
      <c r="G65" s="1549">
        <v>417</v>
      </c>
      <c r="H65" s="1549">
        <v>95</v>
      </c>
      <c r="I65" s="1549">
        <v>70</v>
      </c>
      <c r="J65" s="1738">
        <v>37</v>
      </c>
      <c r="K65" s="1549">
        <v>21</v>
      </c>
      <c r="L65" s="1549">
        <v>7</v>
      </c>
      <c r="M65" s="1549">
        <v>0</v>
      </c>
      <c r="N65" s="1550">
        <v>1</v>
      </c>
      <c r="O65" s="1549">
        <v>1</v>
      </c>
      <c r="P65" s="1551">
        <f t="shared" si="0"/>
        <v>11727</v>
      </c>
    </row>
    <row r="66" spans="1:16" ht="18" customHeight="1">
      <c r="A66" s="1552">
        <v>68</v>
      </c>
      <c r="B66" s="1563" t="s">
        <v>635</v>
      </c>
      <c r="C66" s="1553">
        <v>42082</v>
      </c>
      <c r="D66" s="1553">
        <v>9355</v>
      </c>
      <c r="E66" s="1549">
        <v>3083</v>
      </c>
      <c r="F66" s="1549">
        <v>975</v>
      </c>
      <c r="G66" s="1549">
        <v>992</v>
      </c>
      <c r="H66" s="1549">
        <v>252</v>
      </c>
      <c r="I66" s="1549">
        <v>142</v>
      </c>
      <c r="J66" s="1738">
        <v>67</v>
      </c>
      <c r="K66" s="1549">
        <v>20</v>
      </c>
      <c r="L66" s="1549">
        <v>2</v>
      </c>
      <c r="M66" s="1549">
        <v>0</v>
      </c>
      <c r="N66" s="1550">
        <v>0</v>
      </c>
      <c r="O66" s="1549">
        <v>0</v>
      </c>
      <c r="P66" s="1551">
        <f t="shared" si="0"/>
        <v>56970</v>
      </c>
    </row>
    <row r="67" spans="1:16" ht="18" customHeight="1">
      <c r="A67" s="1552">
        <v>69</v>
      </c>
      <c r="B67" s="1563" t="s">
        <v>521</v>
      </c>
      <c r="C67" s="1553">
        <v>16796</v>
      </c>
      <c r="D67" s="1553">
        <v>19353</v>
      </c>
      <c r="E67" s="1549">
        <v>8212</v>
      </c>
      <c r="F67" s="1549">
        <v>1851</v>
      </c>
      <c r="G67" s="1549">
        <v>892</v>
      </c>
      <c r="H67" s="1549">
        <v>190</v>
      </c>
      <c r="I67" s="1549">
        <v>118</v>
      </c>
      <c r="J67" s="1738">
        <v>45</v>
      </c>
      <c r="K67" s="1549">
        <v>22</v>
      </c>
      <c r="L67" s="1549">
        <v>10</v>
      </c>
      <c r="M67" s="1549">
        <v>4</v>
      </c>
      <c r="N67" s="1550">
        <v>0</v>
      </c>
      <c r="O67" s="1549">
        <v>0</v>
      </c>
      <c r="P67" s="1551">
        <f t="shared" si="0"/>
        <v>47493</v>
      </c>
    </row>
    <row r="68" spans="1:16" ht="18" customHeight="1">
      <c r="A68" s="1552">
        <v>70</v>
      </c>
      <c r="B68" s="1563" t="s">
        <v>450</v>
      </c>
      <c r="C68" s="1553">
        <v>5529</v>
      </c>
      <c r="D68" s="1553">
        <v>6123</v>
      </c>
      <c r="E68" s="1549">
        <v>3608</v>
      </c>
      <c r="F68" s="1549">
        <v>1503</v>
      </c>
      <c r="G68" s="1549">
        <v>1767</v>
      </c>
      <c r="H68" s="1549">
        <v>637</v>
      </c>
      <c r="I68" s="1549">
        <v>606</v>
      </c>
      <c r="J68" s="1738">
        <v>382</v>
      </c>
      <c r="K68" s="1549">
        <v>243</v>
      </c>
      <c r="L68" s="1549">
        <v>89</v>
      </c>
      <c r="M68" s="1549">
        <v>14</v>
      </c>
      <c r="N68" s="1550">
        <v>6</v>
      </c>
      <c r="O68" s="1550">
        <v>5</v>
      </c>
      <c r="P68" s="1551">
        <f t="shared" si="0"/>
        <v>20512</v>
      </c>
    </row>
    <row r="69" spans="1:16" ht="18" customHeight="1">
      <c r="A69" s="1552">
        <v>71</v>
      </c>
      <c r="B69" s="1563" t="s">
        <v>451</v>
      </c>
      <c r="C69" s="1553">
        <v>7136</v>
      </c>
      <c r="D69" s="1553">
        <v>6843</v>
      </c>
      <c r="E69" s="1549">
        <v>4058</v>
      </c>
      <c r="F69" s="1549">
        <v>1749</v>
      </c>
      <c r="G69" s="1549">
        <v>2348</v>
      </c>
      <c r="H69" s="1549">
        <v>688</v>
      </c>
      <c r="I69" s="1549">
        <v>348</v>
      </c>
      <c r="J69" s="1738">
        <v>189</v>
      </c>
      <c r="K69" s="1549">
        <v>79</v>
      </c>
      <c r="L69" s="1549">
        <v>15</v>
      </c>
      <c r="M69" s="1549">
        <v>8</v>
      </c>
      <c r="N69" s="1550">
        <v>2</v>
      </c>
      <c r="O69" s="1550">
        <v>0</v>
      </c>
      <c r="P69" s="1551">
        <f t="shared" si="0"/>
        <v>23463</v>
      </c>
    </row>
    <row r="70" spans="1:16" ht="18" customHeight="1">
      <c r="A70" s="1552">
        <v>72</v>
      </c>
      <c r="B70" s="1563" t="s">
        <v>143</v>
      </c>
      <c r="C70" s="1553">
        <v>257</v>
      </c>
      <c r="D70" s="1553">
        <v>247</v>
      </c>
      <c r="E70" s="1549">
        <v>137</v>
      </c>
      <c r="F70" s="1549">
        <v>74</v>
      </c>
      <c r="G70" s="1549">
        <v>77</v>
      </c>
      <c r="H70" s="1549">
        <v>28</v>
      </c>
      <c r="I70" s="1549">
        <v>25</v>
      </c>
      <c r="J70" s="1738">
        <v>14</v>
      </c>
      <c r="K70" s="1549">
        <v>14</v>
      </c>
      <c r="L70" s="1549">
        <v>6</v>
      </c>
      <c r="M70" s="1549">
        <v>1</v>
      </c>
      <c r="N70" s="1550">
        <v>1</v>
      </c>
      <c r="O70" s="1550">
        <v>1</v>
      </c>
      <c r="P70" s="1551">
        <f t="shared" si="0"/>
        <v>882</v>
      </c>
    </row>
    <row r="71" spans="1:16" ht="18" customHeight="1">
      <c r="A71" s="1552">
        <v>73</v>
      </c>
      <c r="B71" s="1563" t="s">
        <v>144</v>
      </c>
      <c r="C71" s="1553">
        <v>2201</v>
      </c>
      <c r="D71" s="1553">
        <v>2308</v>
      </c>
      <c r="E71" s="1549">
        <v>1257</v>
      </c>
      <c r="F71" s="1549">
        <v>506</v>
      </c>
      <c r="G71" s="1549">
        <v>511</v>
      </c>
      <c r="H71" s="1549">
        <v>167</v>
      </c>
      <c r="I71" s="1549">
        <v>182</v>
      </c>
      <c r="J71" s="1738">
        <v>91</v>
      </c>
      <c r="K71" s="1549">
        <v>37</v>
      </c>
      <c r="L71" s="1549">
        <v>13</v>
      </c>
      <c r="M71" s="1549">
        <v>2</v>
      </c>
      <c r="N71" s="1550">
        <v>0</v>
      </c>
      <c r="O71" s="1550">
        <v>2</v>
      </c>
      <c r="P71" s="1551">
        <f t="shared" si="0"/>
        <v>7277</v>
      </c>
    </row>
    <row r="72" spans="1:16" ht="18" customHeight="1">
      <c r="A72" s="1552">
        <v>74</v>
      </c>
      <c r="B72" s="1563" t="s">
        <v>770</v>
      </c>
      <c r="C72" s="1553">
        <v>3122</v>
      </c>
      <c r="D72" s="1553">
        <v>2368</v>
      </c>
      <c r="E72" s="1549">
        <v>1240</v>
      </c>
      <c r="F72" s="1549">
        <v>498</v>
      </c>
      <c r="G72" s="1549">
        <v>538</v>
      </c>
      <c r="H72" s="1549">
        <v>119</v>
      </c>
      <c r="I72" s="1549">
        <v>81</v>
      </c>
      <c r="J72" s="1738">
        <v>32</v>
      </c>
      <c r="K72" s="1549">
        <v>8</v>
      </c>
      <c r="L72" s="1549">
        <v>3</v>
      </c>
      <c r="M72" s="1549">
        <v>2</v>
      </c>
      <c r="N72" s="1550">
        <v>1</v>
      </c>
      <c r="O72" s="1550">
        <v>1</v>
      </c>
      <c r="P72" s="1551">
        <f t="shared" ref="P72:P94" si="1">SUM(C72:O72)</f>
        <v>8013</v>
      </c>
    </row>
    <row r="73" spans="1:16" ht="18" customHeight="1">
      <c r="A73" s="1552">
        <v>75</v>
      </c>
      <c r="B73" s="1563" t="s">
        <v>723</v>
      </c>
      <c r="C73" s="1553">
        <v>1166</v>
      </c>
      <c r="D73" s="1553">
        <v>756</v>
      </c>
      <c r="E73" s="1549">
        <v>213</v>
      </c>
      <c r="F73" s="1549">
        <v>58</v>
      </c>
      <c r="G73" s="1549">
        <v>65</v>
      </c>
      <c r="H73" s="1549">
        <v>15</v>
      </c>
      <c r="I73" s="1549">
        <v>11</v>
      </c>
      <c r="J73" s="1738">
        <v>7</v>
      </c>
      <c r="K73" s="1549">
        <v>8</v>
      </c>
      <c r="L73" s="1549">
        <v>2</v>
      </c>
      <c r="M73" s="1549">
        <v>0</v>
      </c>
      <c r="N73" s="1550">
        <v>0</v>
      </c>
      <c r="O73" s="1549">
        <v>0</v>
      </c>
      <c r="P73" s="1551">
        <f t="shared" si="1"/>
        <v>2301</v>
      </c>
    </row>
    <row r="74" spans="1:16" ht="18" customHeight="1">
      <c r="A74" s="1552">
        <v>77</v>
      </c>
      <c r="B74" s="1563" t="s">
        <v>462</v>
      </c>
      <c r="C74" s="1553">
        <v>2363</v>
      </c>
      <c r="D74" s="1553">
        <v>1734</v>
      </c>
      <c r="E74" s="1549">
        <v>706</v>
      </c>
      <c r="F74" s="1549">
        <v>286</v>
      </c>
      <c r="G74" s="1549">
        <v>312</v>
      </c>
      <c r="H74" s="1549">
        <v>74</v>
      </c>
      <c r="I74" s="1549">
        <v>62</v>
      </c>
      <c r="J74" s="1738">
        <v>32</v>
      </c>
      <c r="K74" s="1549">
        <v>22</v>
      </c>
      <c r="L74" s="1549">
        <v>2</v>
      </c>
      <c r="M74" s="1549">
        <v>0</v>
      </c>
      <c r="N74" s="1550">
        <v>0</v>
      </c>
      <c r="O74" s="1550">
        <v>1</v>
      </c>
      <c r="P74" s="1551">
        <f t="shared" si="1"/>
        <v>5594</v>
      </c>
    </row>
    <row r="75" spans="1:16" ht="18" customHeight="1">
      <c r="A75" s="1552">
        <v>78</v>
      </c>
      <c r="B75" s="1563" t="s">
        <v>520</v>
      </c>
      <c r="C75" s="1553">
        <v>393</v>
      </c>
      <c r="D75" s="1553">
        <v>337</v>
      </c>
      <c r="E75" s="1549">
        <v>254</v>
      </c>
      <c r="F75" s="1549">
        <v>127</v>
      </c>
      <c r="G75" s="1549">
        <v>196</v>
      </c>
      <c r="H75" s="1549">
        <v>132</v>
      </c>
      <c r="I75" s="1549">
        <v>172</v>
      </c>
      <c r="J75" s="1738">
        <v>131</v>
      </c>
      <c r="K75" s="1549">
        <v>89</v>
      </c>
      <c r="L75" s="1549">
        <v>39</v>
      </c>
      <c r="M75" s="1549">
        <v>6</v>
      </c>
      <c r="N75" s="1550">
        <v>2</v>
      </c>
      <c r="O75" s="1550">
        <v>8</v>
      </c>
      <c r="P75" s="1551">
        <f t="shared" si="1"/>
        <v>1886</v>
      </c>
    </row>
    <row r="76" spans="1:16" ht="18" customHeight="1">
      <c r="A76" s="1552">
        <v>79</v>
      </c>
      <c r="B76" s="1563" t="s">
        <v>426</v>
      </c>
      <c r="C76" s="1553">
        <v>2700</v>
      </c>
      <c r="D76" s="1553">
        <v>2494</v>
      </c>
      <c r="E76" s="1549">
        <v>1297</v>
      </c>
      <c r="F76" s="1549">
        <v>501</v>
      </c>
      <c r="G76" s="1549">
        <v>539</v>
      </c>
      <c r="H76" s="1549">
        <v>165</v>
      </c>
      <c r="I76" s="1549">
        <v>122</v>
      </c>
      <c r="J76" s="1738">
        <v>58</v>
      </c>
      <c r="K76" s="1549">
        <v>26</v>
      </c>
      <c r="L76" s="1549">
        <v>8</v>
      </c>
      <c r="M76" s="1549">
        <v>2</v>
      </c>
      <c r="N76" s="1550">
        <v>0</v>
      </c>
      <c r="O76" s="1550">
        <v>0</v>
      </c>
      <c r="P76" s="1551">
        <f t="shared" si="1"/>
        <v>7912</v>
      </c>
    </row>
    <row r="77" spans="1:16" ht="18" customHeight="1">
      <c r="A77" s="1552">
        <v>80</v>
      </c>
      <c r="B77" s="1563" t="s">
        <v>602</v>
      </c>
      <c r="C77" s="1553">
        <v>4325</v>
      </c>
      <c r="D77" s="1553">
        <v>5327</v>
      </c>
      <c r="E77" s="1549">
        <v>4329</v>
      </c>
      <c r="F77" s="1549">
        <v>1979</v>
      </c>
      <c r="G77" s="1549">
        <v>2208</v>
      </c>
      <c r="H77" s="1549">
        <v>760</v>
      </c>
      <c r="I77" s="1549">
        <v>676</v>
      </c>
      <c r="J77" s="1738">
        <v>596</v>
      </c>
      <c r="K77" s="1549">
        <v>333</v>
      </c>
      <c r="L77" s="1549">
        <v>113</v>
      </c>
      <c r="M77" s="1549">
        <v>21</v>
      </c>
      <c r="N77" s="1550">
        <v>6</v>
      </c>
      <c r="O77" s="1550">
        <v>13</v>
      </c>
      <c r="P77" s="1551">
        <f t="shared" si="1"/>
        <v>20686</v>
      </c>
    </row>
    <row r="78" spans="1:16" ht="18" customHeight="1">
      <c r="A78" s="1552">
        <v>81</v>
      </c>
      <c r="B78" s="1563" t="s">
        <v>603</v>
      </c>
      <c r="C78" s="1553">
        <v>24755</v>
      </c>
      <c r="D78" s="1553">
        <v>10591</v>
      </c>
      <c r="E78" s="1549">
        <v>6926</v>
      </c>
      <c r="F78" s="1549">
        <v>2807</v>
      </c>
      <c r="G78" s="1549">
        <v>4134</v>
      </c>
      <c r="H78" s="1549">
        <v>1838</v>
      </c>
      <c r="I78" s="1549">
        <v>1793</v>
      </c>
      <c r="J78" s="1738">
        <v>1527</v>
      </c>
      <c r="K78" s="1549">
        <v>866</v>
      </c>
      <c r="L78" s="1549">
        <v>307</v>
      </c>
      <c r="M78" s="1549">
        <v>61</v>
      </c>
      <c r="N78" s="1550">
        <v>22</v>
      </c>
      <c r="O78" s="1550">
        <v>31</v>
      </c>
      <c r="P78" s="1551">
        <f t="shared" si="1"/>
        <v>55658</v>
      </c>
    </row>
    <row r="79" spans="1:16" ht="18" customHeight="1">
      <c r="A79" s="1552">
        <v>82</v>
      </c>
      <c r="B79" s="1563" t="s">
        <v>364</v>
      </c>
      <c r="C79" s="1553">
        <v>17804</v>
      </c>
      <c r="D79" s="1553">
        <v>15517</v>
      </c>
      <c r="E79" s="1549">
        <v>7787</v>
      </c>
      <c r="F79" s="1549">
        <v>2864</v>
      </c>
      <c r="G79" s="1549">
        <v>3306</v>
      </c>
      <c r="H79" s="1549">
        <v>1161</v>
      </c>
      <c r="I79" s="1549">
        <v>997</v>
      </c>
      <c r="J79" s="1738">
        <v>575</v>
      </c>
      <c r="K79" s="1549">
        <v>343</v>
      </c>
      <c r="L79" s="1549">
        <v>104</v>
      </c>
      <c r="M79" s="1549">
        <v>44</v>
      </c>
      <c r="N79" s="1550">
        <v>15</v>
      </c>
      <c r="O79" s="1550">
        <v>22</v>
      </c>
      <c r="P79" s="1551">
        <f t="shared" si="1"/>
        <v>50539</v>
      </c>
    </row>
    <row r="80" spans="1:16" ht="18" customHeight="1">
      <c r="A80" s="1552">
        <v>84</v>
      </c>
      <c r="B80" s="1563" t="s">
        <v>766</v>
      </c>
      <c r="C80" s="1553">
        <v>633</v>
      </c>
      <c r="D80" s="1553">
        <v>699</v>
      </c>
      <c r="E80" s="1549">
        <v>458</v>
      </c>
      <c r="F80" s="1549">
        <v>255</v>
      </c>
      <c r="G80" s="1549">
        <v>437</v>
      </c>
      <c r="H80" s="1549">
        <v>228</v>
      </c>
      <c r="I80" s="1549">
        <v>198</v>
      </c>
      <c r="J80" s="1738">
        <v>176</v>
      </c>
      <c r="K80" s="1549">
        <v>107</v>
      </c>
      <c r="L80" s="1549">
        <v>28</v>
      </c>
      <c r="M80" s="1549">
        <v>6</v>
      </c>
      <c r="N80" s="1550">
        <v>7</v>
      </c>
      <c r="O80" s="1550">
        <v>2</v>
      </c>
      <c r="P80" s="1551">
        <f t="shared" si="1"/>
        <v>3234</v>
      </c>
    </row>
    <row r="81" spans="1:16" ht="18" customHeight="1">
      <c r="A81" s="1552">
        <v>85</v>
      </c>
      <c r="B81" s="1563" t="s">
        <v>516</v>
      </c>
      <c r="C81" s="1553">
        <v>5717</v>
      </c>
      <c r="D81" s="1553">
        <v>7255</v>
      </c>
      <c r="E81" s="1549">
        <v>7321</v>
      </c>
      <c r="F81" s="1549">
        <v>4374</v>
      </c>
      <c r="G81" s="1549">
        <v>5669</v>
      </c>
      <c r="H81" s="1549">
        <v>2307</v>
      </c>
      <c r="I81" s="1549">
        <v>1955</v>
      </c>
      <c r="J81" s="1738">
        <v>1603</v>
      </c>
      <c r="K81" s="1549">
        <v>1457</v>
      </c>
      <c r="L81" s="1549">
        <v>727</v>
      </c>
      <c r="M81" s="1549">
        <v>245</v>
      </c>
      <c r="N81" s="1550">
        <v>71</v>
      </c>
      <c r="O81" s="1550">
        <v>73</v>
      </c>
      <c r="P81" s="1551">
        <f t="shared" si="1"/>
        <v>38774</v>
      </c>
    </row>
    <row r="82" spans="1:16" ht="18" customHeight="1">
      <c r="A82" s="1552">
        <v>86</v>
      </c>
      <c r="B82" s="1563" t="s">
        <v>849</v>
      </c>
      <c r="C82" s="1553">
        <v>9267</v>
      </c>
      <c r="D82" s="1553">
        <v>7036</v>
      </c>
      <c r="E82" s="1549">
        <v>2798</v>
      </c>
      <c r="F82" s="1549">
        <v>1108</v>
      </c>
      <c r="G82" s="1549">
        <v>1670</v>
      </c>
      <c r="H82" s="1549">
        <v>725</v>
      </c>
      <c r="I82" s="1549">
        <v>589</v>
      </c>
      <c r="J82" s="1738">
        <v>327</v>
      </c>
      <c r="K82" s="1549">
        <v>398</v>
      </c>
      <c r="L82" s="1549">
        <v>188</v>
      </c>
      <c r="M82" s="1549">
        <v>33</v>
      </c>
      <c r="N82" s="1550">
        <v>12</v>
      </c>
      <c r="O82" s="1550">
        <v>8</v>
      </c>
      <c r="P82" s="1551">
        <f t="shared" si="1"/>
        <v>24159</v>
      </c>
    </row>
    <row r="83" spans="1:16" ht="18" customHeight="1">
      <c r="A83" s="1552">
        <v>87</v>
      </c>
      <c r="B83" s="1563" t="s">
        <v>654</v>
      </c>
      <c r="C83" s="1553">
        <v>401</v>
      </c>
      <c r="D83" s="1553">
        <v>168</v>
      </c>
      <c r="E83" s="1549">
        <v>187</v>
      </c>
      <c r="F83" s="1549">
        <v>99</v>
      </c>
      <c r="G83" s="1549">
        <v>243</v>
      </c>
      <c r="H83" s="1549">
        <v>146</v>
      </c>
      <c r="I83" s="1549">
        <v>156</v>
      </c>
      <c r="J83" s="1738">
        <v>78</v>
      </c>
      <c r="K83" s="1549">
        <v>14</v>
      </c>
      <c r="L83" s="1549">
        <v>2</v>
      </c>
      <c r="M83" s="1549">
        <v>1</v>
      </c>
      <c r="N83" s="1550">
        <v>1</v>
      </c>
      <c r="O83" s="1549">
        <v>1</v>
      </c>
      <c r="P83" s="1551">
        <f t="shared" si="1"/>
        <v>1497</v>
      </c>
    </row>
    <row r="84" spans="1:16" ht="18" customHeight="1">
      <c r="A84" s="1552">
        <v>88</v>
      </c>
      <c r="B84" s="1563" t="s">
        <v>367</v>
      </c>
      <c r="C84" s="1553">
        <v>509</v>
      </c>
      <c r="D84" s="1553">
        <v>584</v>
      </c>
      <c r="E84" s="1549">
        <v>1140</v>
      </c>
      <c r="F84" s="1549">
        <v>824</v>
      </c>
      <c r="G84" s="1549">
        <v>1091</v>
      </c>
      <c r="H84" s="1549">
        <v>333</v>
      </c>
      <c r="I84" s="1549">
        <v>145</v>
      </c>
      <c r="J84" s="1738">
        <v>42</v>
      </c>
      <c r="K84" s="1549">
        <v>10</v>
      </c>
      <c r="L84" s="1549">
        <v>6</v>
      </c>
      <c r="M84" s="1549">
        <v>1</v>
      </c>
      <c r="N84" s="1550">
        <v>0</v>
      </c>
      <c r="O84" s="1549">
        <v>0</v>
      </c>
      <c r="P84" s="1551">
        <f t="shared" si="1"/>
        <v>4685</v>
      </c>
    </row>
    <row r="85" spans="1:16" ht="18" customHeight="1">
      <c r="A85" s="1552">
        <v>90</v>
      </c>
      <c r="B85" s="1563" t="s">
        <v>261</v>
      </c>
      <c r="C85" s="1553">
        <v>548</v>
      </c>
      <c r="D85" s="1553">
        <v>366</v>
      </c>
      <c r="E85" s="1549">
        <v>201</v>
      </c>
      <c r="F85" s="1549">
        <v>99</v>
      </c>
      <c r="G85" s="1549">
        <v>131</v>
      </c>
      <c r="H85" s="1549">
        <v>43</v>
      </c>
      <c r="I85" s="1549">
        <v>31</v>
      </c>
      <c r="J85" s="1738">
        <v>14</v>
      </c>
      <c r="K85" s="1549">
        <v>18</v>
      </c>
      <c r="L85" s="1549">
        <v>7</v>
      </c>
      <c r="M85" s="1549">
        <v>0</v>
      </c>
      <c r="N85" s="1550">
        <v>0</v>
      </c>
      <c r="O85" s="1549">
        <v>0</v>
      </c>
      <c r="P85" s="1551">
        <f t="shared" si="1"/>
        <v>1458</v>
      </c>
    </row>
    <row r="86" spans="1:16" ht="18" customHeight="1">
      <c r="A86" s="1552">
        <v>91</v>
      </c>
      <c r="B86" s="1563" t="s">
        <v>262</v>
      </c>
      <c r="C86" s="1553">
        <v>99</v>
      </c>
      <c r="D86" s="1553">
        <v>76</v>
      </c>
      <c r="E86" s="1549">
        <v>41</v>
      </c>
      <c r="F86" s="1549">
        <v>15</v>
      </c>
      <c r="G86" s="1549">
        <v>27</v>
      </c>
      <c r="H86" s="1549">
        <v>11</v>
      </c>
      <c r="I86" s="1549">
        <v>15</v>
      </c>
      <c r="J86" s="1738">
        <v>5</v>
      </c>
      <c r="K86" s="1549">
        <v>5</v>
      </c>
      <c r="L86" s="1549">
        <v>1</v>
      </c>
      <c r="M86" s="1549">
        <v>0</v>
      </c>
      <c r="N86" s="1550">
        <v>0</v>
      </c>
      <c r="O86" s="1549">
        <v>0</v>
      </c>
      <c r="P86" s="1551">
        <f t="shared" si="1"/>
        <v>295</v>
      </c>
    </row>
    <row r="87" spans="1:16" ht="18" customHeight="1">
      <c r="A87" s="1552">
        <v>92</v>
      </c>
      <c r="B87" s="1563" t="s">
        <v>263</v>
      </c>
      <c r="C87" s="1553">
        <v>1851</v>
      </c>
      <c r="D87" s="1553">
        <v>1190</v>
      </c>
      <c r="E87" s="1549">
        <v>253</v>
      </c>
      <c r="F87" s="1549">
        <v>56</v>
      </c>
      <c r="G87" s="1549">
        <v>47</v>
      </c>
      <c r="H87" s="1549">
        <v>18</v>
      </c>
      <c r="I87" s="1549">
        <v>3</v>
      </c>
      <c r="J87" s="1738">
        <v>2</v>
      </c>
      <c r="K87" s="1549">
        <v>4</v>
      </c>
      <c r="L87" s="1549">
        <v>0</v>
      </c>
      <c r="M87" s="1549">
        <v>0</v>
      </c>
      <c r="N87" s="1550">
        <v>0</v>
      </c>
      <c r="O87" s="1549">
        <v>0</v>
      </c>
      <c r="P87" s="1551">
        <f t="shared" si="1"/>
        <v>3424</v>
      </c>
    </row>
    <row r="88" spans="1:16" ht="18" customHeight="1">
      <c r="A88" s="1552">
        <v>93</v>
      </c>
      <c r="B88" s="1563" t="s">
        <v>264</v>
      </c>
      <c r="C88" s="1553">
        <v>3012</v>
      </c>
      <c r="D88" s="1553">
        <v>2356</v>
      </c>
      <c r="E88" s="1549">
        <v>991</v>
      </c>
      <c r="F88" s="1549">
        <v>410</v>
      </c>
      <c r="G88" s="1549">
        <v>479</v>
      </c>
      <c r="H88" s="1549">
        <v>196</v>
      </c>
      <c r="I88" s="1549">
        <v>194</v>
      </c>
      <c r="J88" s="1738">
        <v>80</v>
      </c>
      <c r="K88" s="1549">
        <v>21</v>
      </c>
      <c r="L88" s="1549">
        <v>2</v>
      </c>
      <c r="M88" s="1549">
        <v>1</v>
      </c>
      <c r="N88" s="1550">
        <v>0</v>
      </c>
      <c r="O88" s="1549">
        <v>1</v>
      </c>
      <c r="P88" s="1551">
        <f t="shared" si="1"/>
        <v>7743</v>
      </c>
    </row>
    <row r="89" spans="1:16" ht="18" customHeight="1">
      <c r="A89" s="1552">
        <v>94</v>
      </c>
      <c r="B89" s="1563" t="s">
        <v>0</v>
      </c>
      <c r="C89" s="1553">
        <v>4558</v>
      </c>
      <c r="D89" s="1553">
        <v>2868</v>
      </c>
      <c r="E89" s="1549">
        <v>1527</v>
      </c>
      <c r="F89" s="1549">
        <v>510</v>
      </c>
      <c r="G89" s="1549">
        <v>495</v>
      </c>
      <c r="H89" s="1549">
        <v>175</v>
      </c>
      <c r="I89" s="1549">
        <v>145</v>
      </c>
      <c r="J89" s="1738">
        <v>86</v>
      </c>
      <c r="K89" s="1549">
        <v>18</v>
      </c>
      <c r="L89" s="1549">
        <v>5</v>
      </c>
      <c r="M89" s="1549">
        <v>0</v>
      </c>
      <c r="N89" s="1550">
        <v>0</v>
      </c>
      <c r="O89" s="1549">
        <v>0</v>
      </c>
      <c r="P89" s="1551">
        <f t="shared" si="1"/>
        <v>10387</v>
      </c>
    </row>
    <row r="90" spans="1:16" ht="18" customHeight="1">
      <c r="A90" s="1552">
        <v>95</v>
      </c>
      <c r="B90" s="1563" t="s">
        <v>25</v>
      </c>
      <c r="C90" s="1553">
        <v>4671</v>
      </c>
      <c r="D90" s="1553">
        <v>3554</v>
      </c>
      <c r="E90" s="1549">
        <v>1618</v>
      </c>
      <c r="F90" s="1549">
        <v>586</v>
      </c>
      <c r="G90" s="1549">
        <v>862</v>
      </c>
      <c r="H90" s="1549">
        <v>281</v>
      </c>
      <c r="I90" s="1549">
        <v>165</v>
      </c>
      <c r="J90" s="1738">
        <v>66</v>
      </c>
      <c r="K90" s="1549">
        <v>38</v>
      </c>
      <c r="L90" s="1549">
        <v>14</v>
      </c>
      <c r="M90" s="1549">
        <v>7</v>
      </c>
      <c r="N90" s="1550">
        <v>2</v>
      </c>
      <c r="O90" s="1550">
        <v>0</v>
      </c>
      <c r="P90" s="1551">
        <f t="shared" si="1"/>
        <v>11864</v>
      </c>
    </row>
    <row r="91" spans="1:16" ht="18" customHeight="1">
      <c r="A91" s="1552">
        <v>96</v>
      </c>
      <c r="B91" s="1563" t="s">
        <v>229</v>
      </c>
      <c r="C91" s="1553">
        <v>13969</v>
      </c>
      <c r="D91" s="1553">
        <v>9219</v>
      </c>
      <c r="E91" s="1549">
        <v>3684</v>
      </c>
      <c r="F91" s="1549">
        <v>1216</v>
      </c>
      <c r="G91" s="1549">
        <v>1107</v>
      </c>
      <c r="H91" s="1549">
        <v>248</v>
      </c>
      <c r="I91" s="1549">
        <v>164</v>
      </c>
      <c r="J91" s="1738">
        <v>88</v>
      </c>
      <c r="K91" s="1549">
        <v>43</v>
      </c>
      <c r="L91" s="1549">
        <v>15</v>
      </c>
      <c r="M91" s="1549">
        <v>3</v>
      </c>
      <c r="N91" s="1550">
        <v>1</v>
      </c>
      <c r="O91" s="1550">
        <v>0</v>
      </c>
      <c r="P91" s="1551">
        <f t="shared" si="1"/>
        <v>29757</v>
      </c>
    </row>
    <row r="92" spans="1:16" ht="18" customHeight="1">
      <c r="A92" s="1552">
        <v>97</v>
      </c>
      <c r="B92" s="1563" t="s">
        <v>853</v>
      </c>
      <c r="C92" s="1553">
        <v>16665</v>
      </c>
      <c r="D92" s="1553">
        <v>1692</v>
      </c>
      <c r="E92" s="1549">
        <v>224</v>
      </c>
      <c r="F92" s="1549">
        <v>30</v>
      </c>
      <c r="G92" s="1549">
        <v>20</v>
      </c>
      <c r="H92" s="1549">
        <v>1</v>
      </c>
      <c r="I92" s="1549">
        <v>1</v>
      </c>
      <c r="J92" s="1738">
        <v>0</v>
      </c>
      <c r="K92" s="1549">
        <v>0</v>
      </c>
      <c r="L92" s="1549">
        <v>0</v>
      </c>
      <c r="M92" s="1549">
        <v>0</v>
      </c>
      <c r="N92" s="1550">
        <v>0</v>
      </c>
      <c r="O92" s="1549">
        <v>0</v>
      </c>
      <c r="P92" s="1551">
        <f t="shared" si="1"/>
        <v>18633</v>
      </c>
    </row>
    <row r="93" spans="1:16" ht="18" customHeight="1">
      <c r="A93" s="1552">
        <v>98</v>
      </c>
      <c r="B93" s="1563" t="s">
        <v>854</v>
      </c>
      <c r="C93" s="1553">
        <v>336</v>
      </c>
      <c r="D93" s="1553">
        <v>64</v>
      </c>
      <c r="E93" s="1549">
        <v>29</v>
      </c>
      <c r="F93" s="1549">
        <v>10</v>
      </c>
      <c r="G93" s="1549">
        <v>6</v>
      </c>
      <c r="H93" s="1549">
        <v>2</v>
      </c>
      <c r="I93" s="1549">
        <v>3</v>
      </c>
      <c r="J93" s="1738">
        <v>0</v>
      </c>
      <c r="K93" s="1549">
        <v>0</v>
      </c>
      <c r="L93" s="1549">
        <v>0</v>
      </c>
      <c r="M93" s="1549">
        <v>1</v>
      </c>
      <c r="N93" s="1550">
        <v>0</v>
      </c>
      <c r="O93" s="1549">
        <v>0</v>
      </c>
      <c r="P93" s="1551">
        <f t="shared" si="1"/>
        <v>451</v>
      </c>
    </row>
    <row r="94" spans="1:16" ht="18" customHeight="1">
      <c r="A94" s="1554">
        <v>99</v>
      </c>
      <c r="B94" s="1564" t="s">
        <v>855</v>
      </c>
      <c r="C94" s="1555">
        <v>119</v>
      </c>
      <c r="D94" s="1555">
        <v>103</v>
      </c>
      <c r="E94" s="1556">
        <v>89</v>
      </c>
      <c r="F94" s="1556">
        <v>43</v>
      </c>
      <c r="G94" s="1556">
        <v>69</v>
      </c>
      <c r="H94" s="1556">
        <v>12</v>
      </c>
      <c r="I94" s="1556">
        <v>12</v>
      </c>
      <c r="J94" s="1739">
        <v>11</v>
      </c>
      <c r="K94" s="1556">
        <v>2</v>
      </c>
      <c r="L94" s="1556">
        <v>1</v>
      </c>
      <c r="M94" s="1556">
        <v>0</v>
      </c>
      <c r="N94" s="1557">
        <v>0</v>
      </c>
      <c r="O94" s="1556">
        <v>0</v>
      </c>
      <c r="P94" s="1558">
        <f t="shared" si="1"/>
        <v>461</v>
      </c>
    </row>
    <row r="95" spans="1:16" s="5" customFormat="1" ht="18" customHeight="1" thickBot="1">
      <c r="A95" s="1999" t="s">
        <v>1266</v>
      </c>
      <c r="B95" s="2000"/>
      <c r="C95" s="1559">
        <f>SUM(C7:C94)</f>
        <v>623379</v>
      </c>
      <c r="D95" s="1559">
        <f t="shared" ref="D95:O95" si="2">SUM(D7:D94)</f>
        <v>501128</v>
      </c>
      <c r="E95" s="1559">
        <f t="shared" si="2"/>
        <v>287646</v>
      </c>
      <c r="F95" s="1559">
        <f t="shared" si="2"/>
        <v>117315</v>
      </c>
      <c r="G95" s="1559">
        <f t="shared" si="2"/>
        <v>135855</v>
      </c>
      <c r="H95" s="1559">
        <f t="shared" si="2"/>
        <v>44158</v>
      </c>
      <c r="I95" s="1559">
        <f t="shared" si="2"/>
        <v>34594</v>
      </c>
      <c r="J95" s="1740">
        <f t="shared" si="2"/>
        <v>20765</v>
      </c>
      <c r="K95" s="1559">
        <f t="shared" si="2"/>
        <v>12596</v>
      </c>
      <c r="L95" s="1559">
        <f t="shared" si="2"/>
        <v>3926</v>
      </c>
      <c r="M95" s="1559">
        <f t="shared" si="2"/>
        <v>1048</v>
      </c>
      <c r="N95" s="1559">
        <f t="shared" si="2"/>
        <v>376</v>
      </c>
      <c r="O95" s="1559">
        <f t="shared" si="2"/>
        <v>490</v>
      </c>
      <c r="P95" s="1560">
        <f>SUM(P7:P94)</f>
        <v>1783276</v>
      </c>
    </row>
  </sheetData>
  <mergeCells count="8">
    <mergeCell ref="P4:P6"/>
    <mergeCell ref="A1:P1"/>
    <mergeCell ref="A2:P2"/>
    <mergeCell ref="A95:B95"/>
    <mergeCell ref="C4:O4"/>
    <mergeCell ref="C5:O5"/>
    <mergeCell ref="B4:B6"/>
    <mergeCell ref="A4:A6"/>
  </mergeCells>
  <phoneticPr fontId="7" type="noConversion"/>
  <printOptions horizontalCentered="1"/>
  <pageMargins left="0.27559055118110237" right="0" top="0" bottom="0" header="0" footer="0"/>
  <pageSetup paperSize="9" scale="49"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ayfa23">
    <tabColor indexed="22"/>
  </sheetPr>
  <dimension ref="A1:P94"/>
  <sheetViews>
    <sheetView showGridLines="0" topLeftCell="H55" zoomScaleNormal="100" workbookViewId="0">
      <selection activeCell="X74" sqref="X74"/>
    </sheetView>
  </sheetViews>
  <sheetFormatPr defaultRowHeight="12.75"/>
  <cols>
    <col min="1" max="1" width="4.28515625" style="5" customWidth="1"/>
    <col min="2" max="2" width="33.28515625" customWidth="1"/>
    <col min="3" max="3" width="8.5703125" style="14" customWidth="1"/>
    <col min="4" max="4" width="12.85546875" style="14" bestFit="1" customWidth="1"/>
    <col min="5" max="9" width="12.85546875" bestFit="1" customWidth="1"/>
    <col min="10" max="10" width="12.85546875" style="586" bestFit="1" customWidth="1"/>
    <col min="11" max="12" width="14" style="14" bestFit="1" customWidth="1"/>
    <col min="13" max="13" width="14" bestFit="1" customWidth="1"/>
    <col min="14" max="14" width="12.85546875" bestFit="1" customWidth="1"/>
    <col min="15" max="15" width="14" style="14" bestFit="1" customWidth="1"/>
    <col min="16" max="16" width="16.7109375" customWidth="1"/>
  </cols>
  <sheetData>
    <row r="1" spans="1:16" s="14" customFormat="1" ht="15.75" customHeight="1">
      <c r="A1" s="2013" t="s">
        <v>1081</v>
      </c>
      <c r="B1" s="2013"/>
      <c r="C1" s="2013"/>
      <c r="D1" s="2013"/>
      <c r="E1" s="2013"/>
      <c r="F1" s="2013"/>
      <c r="G1" s="2013"/>
      <c r="H1" s="2013"/>
      <c r="I1" s="2013"/>
      <c r="J1" s="2013"/>
      <c r="K1" s="2013"/>
      <c r="L1" s="2013"/>
      <c r="M1" s="2013"/>
      <c r="N1" s="2013"/>
      <c r="O1" s="2013"/>
      <c r="P1" s="2013"/>
    </row>
    <row r="2" spans="1:16" s="14" customFormat="1" ht="14.25" customHeight="1" thickBot="1">
      <c r="A2" s="556" t="s">
        <v>1082</v>
      </c>
      <c r="B2" s="557"/>
      <c r="C2" s="558"/>
      <c r="D2" s="558"/>
      <c r="E2" s="558"/>
      <c r="F2" s="558"/>
      <c r="G2" s="558"/>
      <c r="H2" s="558"/>
      <c r="I2" s="558"/>
      <c r="J2" s="1741"/>
      <c r="K2" s="559"/>
      <c r="L2" s="559"/>
      <c r="M2" s="6"/>
      <c r="N2" s="1978" t="s">
        <v>1163</v>
      </c>
      <c r="O2" s="1979"/>
      <c r="P2" s="1979"/>
    </row>
    <row r="3" spans="1:16" ht="14.25" customHeight="1">
      <c r="A3" s="2014" t="s">
        <v>461</v>
      </c>
      <c r="B3" s="2005" t="s">
        <v>1004</v>
      </c>
      <c r="C3" s="2017" t="s">
        <v>1005</v>
      </c>
      <c r="D3" s="2018"/>
      <c r="E3" s="2018"/>
      <c r="F3" s="2018"/>
      <c r="G3" s="2018"/>
      <c r="H3" s="2018"/>
      <c r="I3" s="2018"/>
      <c r="J3" s="2018"/>
      <c r="K3" s="2018"/>
      <c r="L3" s="2018"/>
      <c r="M3" s="2018"/>
      <c r="N3" s="2018"/>
      <c r="O3" s="2019"/>
      <c r="P3" s="2023" t="s">
        <v>1006</v>
      </c>
    </row>
    <row r="4" spans="1:16" ht="16.5" customHeight="1">
      <c r="A4" s="2015"/>
      <c r="B4" s="2006"/>
      <c r="C4" s="2020" t="s">
        <v>1007</v>
      </c>
      <c r="D4" s="2021"/>
      <c r="E4" s="2021"/>
      <c r="F4" s="2021"/>
      <c r="G4" s="2021"/>
      <c r="H4" s="2021"/>
      <c r="I4" s="2021"/>
      <c r="J4" s="2021"/>
      <c r="K4" s="2021"/>
      <c r="L4" s="2021"/>
      <c r="M4" s="2021"/>
      <c r="N4" s="2021"/>
      <c r="O4" s="2022"/>
      <c r="P4" s="2024"/>
    </row>
    <row r="5" spans="1:16" ht="27.75" customHeight="1">
      <c r="A5" s="2016"/>
      <c r="B5" s="2007"/>
      <c r="C5" s="588" t="s">
        <v>381</v>
      </c>
      <c r="D5" s="589" t="s">
        <v>382</v>
      </c>
      <c r="E5" s="590" t="s">
        <v>782</v>
      </c>
      <c r="F5" s="590" t="s">
        <v>783</v>
      </c>
      <c r="G5" s="590" t="s">
        <v>784</v>
      </c>
      <c r="H5" s="590" t="s">
        <v>785</v>
      </c>
      <c r="I5" s="587" t="s">
        <v>786</v>
      </c>
      <c r="J5" s="1742" t="s">
        <v>260</v>
      </c>
      <c r="K5" s="587" t="s">
        <v>383</v>
      </c>
      <c r="L5" s="587" t="s">
        <v>384</v>
      </c>
      <c r="M5" s="587" t="s">
        <v>385</v>
      </c>
      <c r="N5" s="587" t="s">
        <v>727</v>
      </c>
      <c r="O5" s="591" t="s">
        <v>640</v>
      </c>
      <c r="P5" s="2025"/>
    </row>
    <row r="6" spans="1:16" ht="17.100000000000001" customHeight="1">
      <c r="A6" s="560" t="s">
        <v>195</v>
      </c>
      <c r="B6" s="561" t="s">
        <v>672</v>
      </c>
      <c r="C6" s="981">
        <v>6871</v>
      </c>
      <c r="D6" s="982">
        <v>10320</v>
      </c>
      <c r="E6" s="982">
        <v>8773</v>
      </c>
      <c r="F6" s="982">
        <v>6082</v>
      </c>
      <c r="G6" s="982">
        <v>13574</v>
      </c>
      <c r="H6" s="982">
        <v>8906</v>
      </c>
      <c r="I6" s="982">
        <v>11069</v>
      </c>
      <c r="J6" s="1743">
        <v>16020</v>
      </c>
      <c r="K6" s="1743">
        <v>14846</v>
      </c>
      <c r="L6" s="1743">
        <v>5132</v>
      </c>
      <c r="M6" s="1743">
        <v>3596</v>
      </c>
      <c r="N6" s="1743">
        <v>0</v>
      </c>
      <c r="O6" s="1743">
        <v>2227</v>
      </c>
      <c r="P6" s="562">
        <f t="shared" ref="P6:P69" si="0">SUM(C6:O6)</f>
        <v>107416</v>
      </c>
    </row>
    <row r="7" spans="1:16" ht="17.100000000000001" customHeight="1">
      <c r="A7" s="563" t="s">
        <v>197</v>
      </c>
      <c r="B7" s="564" t="s">
        <v>833</v>
      </c>
      <c r="C7" s="983">
        <v>785</v>
      </c>
      <c r="D7" s="982">
        <v>1436</v>
      </c>
      <c r="E7" s="982">
        <v>1765</v>
      </c>
      <c r="F7" s="982">
        <v>1494</v>
      </c>
      <c r="G7" s="982">
        <v>4490</v>
      </c>
      <c r="H7" s="982">
        <v>3857</v>
      </c>
      <c r="I7" s="982">
        <v>6384</v>
      </c>
      <c r="J7" s="1743">
        <v>7717</v>
      </c>
      <c r="K7" s="1743">
        <v>8939</v>
      </c>
      <c r="L7" s="1743">
        <v>2686</v>
      </c>
      <c r="M7" s="1743">
        <v>0</v>
      </c>
      <c r="N7" s="1743">
        <v>0</v>
      </c>
      <c r="O7" s="1743">
        <v>0</v>
      </c>
      <c r="P7" s="565">
        <f t="shared" si="0"/>
        <v>39553</v>
      </c>
    </row>
    <row r="8" spans="1:16" ht="17.100000000000001" customHeight="1">
      <c r="A8" s="563" t="s">
        <v>199</v>
      </c>
      <c r="B8" s="564" t="s">
        <v>641</v>
      </c>
      <c r="C8" s="984">
        <v>327</v>
      </c>
      <c r="D8" s="982">
        <v>792</v>
      </c>
      <c r="E8" s="982">
        <v>975</v>
      </c>
      <c r="F8" s="982">
        <v>686</v>
      </c>
      <c r="G8" s="982">
        <v>1245</v>
      </c>
      <c r="H8" s="982">
        <v>1008</v>
      </c>
      <c r="I8" s="982">
        <v>850</v>
      </c>
      <c r="J8" s="1743">
        <v>1151</v>
      </c>
      <c r="K8" s="1743">
        <v>749</v>
      </c>
      <c r="L8" s="1743">
        <v>280</v>
      </c>
      <c r="M8" s="1743">
        <v>0</v>
      </c>
      <c r="N8" s="1743">
        <v>0</v>
      </c>
      <c r="O8" s="1743">
        <v>0</v>
      </c>
      <c r="P8" s="565">
        <f t="shared" si="0"/>
        <v>8063</v>
      </c>
    </row>
    <row r="9" spans="1:16" s="2" customFormat="1" ht="17.100000000000001" customHeight="1">
      <c r="A9" s="563" t="s">
        <v>185</v>
      </c>
      <c r="B9" s="564" t="s">
        <v>556</v>
      </c>
      <c r="C9" s="984">
        <v>103</v>
      </c>
      <c r="D9" s="982">
        <v>232</v>
      </c>
      <c r="E9" s="982">
        <v>353</v>
      </c>
      <c r="F9" s="982">
        <v>339</v>
      </c>
      <c r="G9" s="982">
        <v>763</v>
      </c>
      <c r="H9" s="982">
        <v>786</v>
      </c>
      <c r="I9" s="982">
        <v>1406</v>
      </c>
      <c r="J9" s="1743">
        <v>2147</v>
      </c>
      <c r="K9" s="1743">
        <v>4767</v>
      </c>
      <c r="L9" s="1743">
        <v>6125</v>
      </c>
      <c r="M9" s="1743">
        <v>671</v>
      </c>
      <c r="N9" s="1743">
        <v>5835</v>
      </c>
      <c r="O9" s="1745">
        <f>(19933-5666)+0</f>
        <v>14267</v>
      </c>
      <c r="P9" s="565">
        <f t="shared" si="0"/>
        <v>37794</v>
      </c>
    </row>
    <row r="10" spans="1:16" ht="17.100000000000001" customHeight="1">
      <c r="A10" s="563" t="s">
        <v>187</v>
      </c>
      <c r="B10" s="564" t="s">
        <v>88</v>
      </c>
      <c r="C10" s="984">
        <v>4</v>
      </c>
      <c r="D10" s="982">
        <v>6</v>
      </c>
      <c r="E10" s="982">
        <v>15</v>
      </c>
      <c r="F10" s="982">
        <v>8</v>
      </c>
      <c r="G10" s="982">
        <v>68</v>
      </c>
      <c r="H10" s="982">
        <v>84</v>
      </c>
      <c r="I10" s="982">
        <v>191</v>
      </c>
      <c r="J10" s="1743">
        <v>197</v>
      </c>
      <c r="K10" s="1743">
        <v>474</v>
      </c>
      <c r="L10" s="1743">
        <v>594</v>
      </c>
      <c r="M10" s="1743">
        <v>0</v>
      </c>
      <c r="N10" s="1743">
        <v>1029</v>
      </c>
      <c r="O10" s="1743">
        <v>0</v>
      </c>
      <c r="P10" s="565">
        <f t="shared" si="0"/>
        <v>2670</v>
      </c>
    </row>
    <row r="11" spans="1:16" ht="17.100000000000001" customHeight="1">
      <c r="A11" s="563" t="s">
        <v>189</v>
      </c>
      <c r="B11" s="564" t="s">
        <v>89</v>
      </c>
      <c r="C11" s="984">
        <v>183</v>
      </c>
      <c r="D11" s="982">
        <v>340</v>
      </c>
      <c r="E11" s="982">
        <v>603</v>
      </c>
      <c r="F11" s="982">
        <v>489</v>
      </c>
      <c r="G11" s="982">
        <v>1664</v>
      </c>
      <c r="H11" s="982">
        <v>1563</v>
      </c>
      <c r="I11" s="982">
        <v>2382</v>
      </c>
      <c r="J11" s="1743">
        <v>2759</v>
      </c>
      <c r="K11" s="1743">
        <v>5558</v>
      </c>
      <c r="L11" s="1743">
        <v>4729</v>
      </c>
      <c r="M11" s="1743">
        <v>2724</v>
      </c>
      <c r="N11" s="1743">
        <v>1708</v>
      </c>
      <c r="O11" s="1743">
        <v>0</v>
      </c>
      <c r="P11" s="565">
        <f t="shared" si="0"/>
        <v>24702</v>
      </c>
    </row>
    <row r="12" spans="1:16" ht="17.100000000000001" customHeight="1">
      <c r="A12" s="563" t="s">
        <v>643</v>
      </c>
      <c r="B12" s="564" t="s">
        <v>90</v>
      </c>
      <c r="C12" s="984">
        <v>822</v>
      </c>
      <c r="D12" s="982">
        <v>1883</v>
      </c>
      <c r="E12" s="982">
        <v>3237</v>
      </c>
      <c r="F12" s="982">
        <v>3992</v>
      </c>
      <c r="G12" s="982">
        <v>12599</v>
      </c>
      <c r="H12" s="982">
        <v>9008</v>
      </c>
      <c r="I12" s="982">
        <v>9863</v>
      </c>
      <c r="J12" s="1743">
        <v>11436</v>
      </c>
      <c r="K12" s="1743">
        <v>8656</v>
      </c>
      <c r="L12" s="1743">
        <v>1805</v>
      </c>
      <c r="M12" s="1743">
        <v>2786</v>
      </c>
      <c r="N12" s="1743">
        <v>0</v>
      </c>
      <c r="O12" s="1743">
        <v>1265</v>
      </c>
      <c r="P12" s="565">
        <f t="shared" si="0"/>
        <v>67352</v>
      </c>
    </row>
    <row r="13" spans="1:16" ht="17.100000000000001" customHeight="1">
      <c r="A13" s="1720">
        <v>9</v>
      </c>
      <c r="B13" s="564" t="s">
        <v>91</v>
      </c>
      <c r="C13" s="984">
        <v>110</v>
      </c>
      <c r="D13" s="982">
        <v>267</v>
      </c>
      <c r="E13" s="982">
        <v>386</v>
      </c>
      <c r="F13" s="982">
        <v>340</v>
      </c>
      <c r="G13" s="982">
        <v>942</v>
      </c>
      <c r="H13" s="982">
        <v>727</v>
      </c>
      <c r="I13" s="982">
        <v>1263</v>
      </c>
      <c r="J13" s="1743">
        <v>939</v>
      </c>
      <c r="K13" s="1743">
        <v>1063</v>
      </c>
      <c r="L13" s="1743">
        <v>509</v>
      </c>
      <c r="M13" s="1743">
        <v>779</v>
      </c>
      <c r="N13" s="1743">
        <v>0</v>
      </c>
      <c r="O13" s="1743">
        <v>0</v>
      </c>
      <c r="P13" s="565">
        <f t="shared" si="0"/>
        <v>7325</v>
      </c>
    </row>
    <row r="14" spans="1:16" ht="17.100000000000001" customHeight="1">
      <c r="A14" s="563">
        <v>10</v>
      </c>
      <c r="B14" s="564" t="s">
        <v>92</v>
      </c>
      <c r="C14" s="984">
        <v>9980</v>
      </c>
      <c r="D14" s="982">
        <v>27851</v>
      </c>
      <c r="E14" s="982">
        <v>37722</v>
      </c>
      <c r="F14" s="982">
        <v>27952</v>
      </c>
      <c r="G14" s="982">
        <v>46860</v>
      </c>
      <c r="H14" s="982">
        <v>26151</v>
      </c>
      <c r="I14" s="982">
        <v>32221</v>
      </c>
      <c r="J14" s="1743">
        <v>35780</v>
      </c>
      <c r="K14" s="1743">
        <v>67749</v>
      </c>
      <c r="L14" s="1743">
        <v>46484</v>
      </c>
      <c r="M14" s="1743">
        <v>16252</v>
      </c>
      <c r="N14" s="1743">
        <v>18344</v>
      </c>
      <c r="O14" s="1743">
        <v>32499</v>
      </c>
      <c r="P14" s="565">
        <f t="shared" si="0"/>
        <v>425845</v>
      </c>
    </row>
    <row r="15" spans="1:16" ht="17.100000000000001" customHeight="1">
      <c r="A15" s="563">
        <v>11</v>
      </c>
      <c r="B15" s="564" t="s">
        <v>93</v>
      </c>
      <c r="C15" s="984">
        <v>94</v>
      </c>
      <c r="D15" s="982">
        <v>260</v>
      </c>
      <c r="E15" s="982">
        <v>403</v>
      </c>
      <c r="F15" s="982">
        <v>399</v>
      </c>
      <c r="G15" s="982">
        <v>1249</v>
      </c>
      <c r="H15" s="982">
        <v>1203</v>
      </c>
      <c r="I15" s="982">
        <v>2229</v>
      </c>
      <c r="J15" s="1743">
        <v>3018</v>
      </c>
      <c r="K15" s="1743">
        <v>4066</v>
      </c>
      <c r="L15" s="1743">
        <v>2481</v>
      </c>
      <c r="M15" s="1743">
        <v>0</v>
      </c>
      <c r="N15" s="1743">
        <v>0</v>
      </c>
      <c r="O15" s="1743">
        <v>0</v>
      </c>
      <c r="P15" s="565">
        <f t="shared" si="0"/>
        <v>15402</v>
      </c>
    </row>
    <row r="16" spans="1:16" ht="17.100000000000001" customHeight="1">
      <c r="A16" s="563">
        <v>12</v>
      </c>
      <c r="B16" s="564" t="s">
        <v>27</v>
      </c>
      <c r="C16" s="984">
        <v>11</v>
      </c>
      <c r="D16" s="982">
        <v>21</v>
      </c>
      <c r="E16" s="982">
        <v>29</v>
      </c>
      <c r="F16" s="982">
        <v>15</v>
      </c>
      <c r="G16" s="982">
        <v>100</v>
      </c>
      <c r="H16" s="982">
        <v>65</v>
      </c>
      <c r="I16" s="982">
        <v>160</v>
      </c>
      <c r="J16" s="1743">
        <v>355</v>
      </c>
      <c r="K16" s="1743">
        <v>314</v>
      </c>
      <c r="L16" s="1743">
        <v>684</v>
      </c>
      <c r="M16" s="1743">
        <v>609</v>
      </c>
      <c r="N16" s="1743">
        <v>832</v>
      </c>
      <c r="O16" s="1743">
        <v>1322</v>
      </c>
      <c r="P16" s="565">
        <f t="shared" si="0"/>
        <v>4517</v>
      </c>
    </row>
    <row r="17" spans="1:16" s="2" customFormat="1" ht="17.100000000000001" customHeight="1">
      <c r="A17" s="563">
        <v>13</v>
      </c>
      <c r="B17" s="564" t="s">
        <v>28</v>
      </c>
      <c r="C17" s="984">
        <v>3538</v>
      </c>
      <c r="D17" s="982">
        <v>8764</v>
      </c>
      <c r="E17" s="982">
        <v>11693</v>
      </c>
      <c r="F17" s="982">
        <v>9479</v>
      </c>
      <c r="G17" s="982">
        <v>20645</v>
      </c>
      <c r="H17" s="982">
        <v>17229</v>
      </c>
      <c r="I17" s="982">
        <v>30395</v>
      </c>
      <c r="J17" s="1743">
        <v>43000</v>
      </c>
      <c r="K17" s="1743">
        <v>81752</v>
      </c>
      <c r="L17" s="1743">
        <v>87975</v>
      </c>
      <c r="M17" s="1743">
        <v>37769</v>
      </c>
      <c r="N17" s="1743">
        <v>15807</v>
      </c>
      <c r="O17" s="1743">
        <v>37006</v>
      </c>
      <c r="P17" s="565">
        <f t="shared" si="0"/>
        <v>405052</v>
      </c>
    </row>
    <row r="18" spans="1:16" ht="17.100000000000001" customHeight="1">
      <c r="A18" s="563">
        <v>14</v>
      </c>
      <c r="B18" s="564" t="s">
        <v>256</v>
      </c>
      <c r="C18" s="984">
        <v>7353</v>
      </c>
      <c r="D18" s="982">
        <v>18822</v>
      </c>
      <c r="E18" s="982">
        <v>25376</v>
      </c>
      <c r="F18" s="982">
        <v>19389</v>
      </c>
      <c r="G18" s="982">
        <v>44273</v>
      </c>
      <c r="H18" s="982">
        <v>20600</v>
      </c>
      <c r="I18" s="982">
        <v>68883</v>
      </c>
      <c r="J18" s="1743">
        <v>64812</v>
      </c>
      <c r="K18" s="1743">
        <v>60637</v>
      </c>
      <c r="L18" s="1743">
        <v>78466</v>
      </c>
      <c r="M18" s="1743">
        <v>23375</v>
      </c>
      <c r="N18" s="1743">
        <v>8670</v>
      </c>
      <c r="O18" s="1743">
        <v>27064</v>
      </c>
      <c r="P18" s="565">
        <f t="shared" si="0"/>
        <v>467720</v>
      </c>
    </row>
    <row r="19" spans="1:16" ht="17.100000000000001" customHeight="1">
      <c r="A19" s="563">
        <v>15</v>
      </c>
      <c r="B19" s="564" t="s">
        <v>767</v>
      </c>
      <c r="C19" s="984">
        <v>1584</v>
      </c>
      <c r="D19" s="982">
        <v>3973</v>
      </c>
      <c r="E19" s="982">
        <v>4984</v>
      </c>
      <c r="F19" s="982">
        <v>3898</v>
      </c>
      <c r="G19" s="982">
        <v>7731</v>
      </c>
      <c r="H19" s="982">
        <v>5902</v>
      </c>
      <c r="I19" s="982">
        <v>7828</v>
      </c>
      <c r="J19" s="1743">
        <v>7467</v>
      </c>
      <c r="K19" s="1743">
        <v>7215</v>
      </c>
      <c r="L19" s="1743">
        <v>7236</v>
      </c>
      <c r="M19" s="1743">
        <v>1333</v>
      </c>
      <c r="N19" s="1743">
        <v>838</v>
      </c>
      <c r="O19" s="1743">
        <v>1448</v>
      </c>
      <c r="P19" s="565">
        <f t="shared" si="0"/>
        <v>61437</v>
      </c>
    </row>
    <row r="20" spans="1:16" ht="17.100000000000001" customHeight="1">
      <c r="A20" s="563">
        <v>16</v>
      </c>
      <c r="B20" s="564" t="s">
        <v>128</v>
      </c>
      <c r="C20" s="984">
        <v>3711</v>
      </c>
      <c r="D20" s="982">
        <v>7171</v>
      </c>
      <c r="E20" s="982">
        <v>7204</v>
      </c>
      <c r="F20" s="982">
        <v>4436</v>
      </c>
      <c r="G20" s="982">
        <v>7566</v>
      </c>
      <c r="H20" s="982">
        <v>4668</v>
      </c>
      <c r="I20" s="982">
        <v>4964</v>
      </c>
      <c r="J20" s="1743">
        <v>4914</v>
      </c>
      <c r="K20" s="1743">
        <v>6834</v>
      </c>
      <c r="L20" s="1743">
        <v>7681</v>
      </c>
      <c r="M20" s="1743">
        <v>1592</v>
      </c>
      <c r="N20" s="1743">
        <v>1935</v>
      </c>
      <c r="O20" s="1743">
        <v>1250</v>
      </c>
      <c r="P20" s="565">
        <f t="shared" si="0"/>
        <v>63926</v>
      </c>
    </row>
    <row r="21" spans="1:16" ht="17.100000000000001" customHeight="1">
      <c r="A21" s="563">
        <v>17</v>
      </c>
      <c r="B21" s="564" t="s">
        <v>814</v>
      </c>
      <c r="C21" s="984">
        <v>441</v>
      </c>
      <c r="D21" s="982">
        <v>1268</v>
      </c>
      <c r="E21" s="982">
        <v>1774</v>
      </c>
      <c r="F21" s="982">
        <v>1785</v>
      </c>
      <c r="G21" s="982">
        <v>3875</v>
      </c>
      <c r="H21" s="982">
        <v>3133</v>
      </c>
      <c r="I21" s="982">
        <v>4839</v>
      </c>
      <c r="J21" s="1743">
        <v>7177</v>
      </c>
      <c r="K21" s="1743">
        <v>16400</v>
      </c>
      <c r="L21" s="1743">
        <v>8051</v>
      </c>
      <c r="M21" s="1743">
        <v>3462</v>
      </c>
      <c r="N21" s="1743">
        <v>0</v>
      </c>
      <c r="O21" s="1743">
        <v>1513</v>
      </c>
      <c r="P21" s="565">
        <f t="shared" si="0"/>
        <v>53718</v>
      </c>
    </row>
    <row r="22" spans="1:16" ht="17.100000000000001" customHeight="1">
      <c r="A22" s="563">
        <v>18</v>
      </c>
      <c r="B22" s="564" t="s">
        <v>213</v>
      </c>
      <c r="C22" s="984">
        <v>2234</v>
      </c>
      <c r="D22" s="982">
        <v>5489</v>
      </c>
      <c r="E22" s="982">
        <v>6735</v>
      </c>
      <c r="F22" s="982">
        <v>4090</v>
      </c>
      <c r="G22" s="982">
        <v>6872</v>
      </c>
      <c r="H22" s="982">
        <v>4198</v>
      </c>
      <c r="I22" s="982">
        <v>5602</v>
      </c>
      <c r="J22" s="1743">
        <v>5958</v>
      </c>
      <c r="K22" s="1743">
        <v>7491</v>
      </c>
      <c r="L22" s="1743">
        <v>4569</v>
      </c>
      <c r="M22" s="1743">
        <v>668</v>
      </c>
      <c r="N22" s="1743">
        <v>0</v>
      </c>
      <c r="O22" s="1743">
        <v>0</v>
      </c>
      <c r="P22" s="565">
        <f t="shared" si="0"/>
        <v>53906</v>
      </c>
    </row>
    <row r="23" spans="1:16" ht="17.100000000000001" customHeight="1">
      <c r="A23" s="563">
        <v>19</v>
      </c>
      <c r="B23" s="564" t="s">
        <v>214</v>
      </c>
      <c r="C23" s="984">
        <v>40</v>
      </c>
      <c r="D23" s="982">
        <v>122</v>
      </c>
      <c r="E23" s="982">
        <v>232</v>
      </c>
      <c r="F23" s="982">
        <v>193</v>
      </c>
      <c r="G23" s="982">
        <v>291</v>
      </c>
      <c r="H23" s="982">
        <v>263</v>
      </c>
      <c r="I23" s="982">
        <v>441</v>
      </c>
      <c r="J23" s="1743">
        <v>494</v>
      </c>
      <c r="K23" s="1743">
        <v>382</v>
      </c>
      <c r="L23" s="1743">
        <v>504</v>
      </c>
      <c r="M23" s="1743">
        <v>0</v>
      </c>
      <c r="N23" s="1743">
        <v>1014</v>
      </c>
      <c r="O23" s="1743">
        <v>3987</v>
      </c>
      <c r="P23" s="565">
        <f t="shared" si="0"/>
        <v>7963</v>
      </c>
    </row>
    <row r="24" spans="1:16" ht="17.100000000000001" customHeight="1">
      <c r="A24" s="563">
        <v>20</v>
      </c>
      <c r="B24" s="564" t="s">
        <v>892</v>
      </c>
      <c r="C24" s="984">
        <v>919</v>
      </c>
      <c r="D24" s="982">
        <v>2376</v>
      </c>
      <c r="E24" s="982">
        <v>3403</v>
      </c>
      <c r="F24" s="982">
        <v>3016</v>
      </c>
      <c r="G24" s="982">
        <v>6938</v>
      </c>
      <c r="H24" s="982">
        <v>5038</v>
      </c>
      <c r="I24" s="982">
        <v>6376</v>
      </c>
      <c r="J24" s="1743">
        <v>9907</v>
      </c>
      <c r="K24" s="1743">
        <v>15614</v>
      </c>
      <c r="L24" s="1743">
        <v>10934</v>
      </c>
      <c r="M24" s="1743">
        <v>3373</v>
      </c>
      <c r="N24" s="1743">
        <v>1828</v>
      </c>
      <c r="O24" s="1743">
        <v>6547</v>
      </c>
      <c r="P24" s="565">
        <f t="shared" si="0"/>
        <v>76269</v>
      </c>
    </row>
    <row r="25" spans="1:16" ht="17.100000000000001" customHeight="1">
      <c r="A25" s="563">
        <v>21</v>
      </c>
      <c r="B25" s="564" t="s">
        <v>380</v>
      </c>
      <c r="C25" s="984">
        <v>47</v>
      </c>
      <c r="D25" s="982">
        <v>152</v>
      </c>
      <c r="E25" s="982">
        <v>218</v>
      </c>
      <c r="F25" s="982">
        <v>195</v>
      </c>
      <c r="G25" s="982">
        <v>406</v>
      </c>
      <c r="H25" s="982">
        <v>718</v>
      </c>
      <c r="I25" s="982">
        <v>1123</v>
      </c>
      <c r="J25" s="1743">
        <v>1868</v>
      </c>
      <c r="K25" s="1743">
        <v>4947</v>
      </c>
      <c r="L25" s="1743">
        <v>5799</v>
      </c>
      <c r="M25" s="1743">
        <v>5042</v>
      </c>
      <c r="N25" s="1743">
        <v>898</v>
      </c>
      <c r="O25" s="1743">
        <v>0</v>
      </c>
      <c r="P25" s="565">
        <f t="shared" si="0"/>
        <v>21413</v>
      </c>
    </row>
    <row r="26" spans="1:16" ht="17.100000000000001" customHeight="1">
      <c r="A26" s="563">
        <v>22</v>
      </c>
      <c r="B26" s="564" t="s">
        <v>386</v>
      </c>
      <c r="C26" s="984">
        <v>2896</v>
      </c>
      <c r="D26" s="982">
        <v>7552</v>
      </c>
      <c r="E26" s="982">
        <v>9926</v>
      </c>
      <c r="F26" s="982">
        <v>7673</v>
      </c>
      <c r="G26" s="982">
        <v>18383</v>
      </c>
      <c r="H26" s="982">
        <v>12718</v>
      </c>
      <c r="I26" s="982">
        <v>20062</v>
      </c>
      <c r="J26" s="1743">
        <v>19287</v>
      </c>
      <c r="K26" s="1743">
        <v>44015</v>
      </c>
      <c r="L26" s="1743">
        <v>20585</v>
      </c>
      <c r="M26" s="1743">
        <v>12055</v>
      </c>
      <c r="N26" s="1743">
        <v>3617</v>
      </c>
      <c r="O26" s="1743">
        <v>22754</v>
      </c>
      <c r="P26" s="565">
        <f t="shared" si="0"/>
        <v>201523</v>
      </c>
    </row>
    <row r="27" spans="1:16" ht="17.100000000000001" customHeight="1">
      <c r="A27" s="563">
        <v>23</v>
      </c>
      <c r="B27" s="564" t="s">
        <v>403</v>
      </c>
      <c r="C27" s="984">
        <v>3024</v>
      </c>
      <c r="D27" s="982">
        <v>7902</v>
      </c>
      <c r="E27" s="982">
        <v>9297</v>
      </c>
      <c r="F27" s="982">
        <v>7382</v>
      </c>
      <c r="G27" s="982">
        <v>21668</v>
      </c>
      <c r="H27" s="982">
        <v>18657</v>
      </c>
      <c r="I27" s="982">
        <v>25300</v>
      </c>
      <c r="J27" s="1743">
        <v>34301</v>
      </c>
      <c r="K27" s="1743">
        <v>39625</v>
      </c>
      <c r="L27" s="1743">
        <v>23792</v>
      </c>
      <c r="M27" s="1743">
        <v>15551</v>
      </c>
      <c r="N27" s="1743">
        <v>5926</v>
      </c>
      <c r="O27" s="1743">
        <v>13401</v>
      </c>
      <c r="P27" s="565">
        <f t="shared" si="0"/>
        <v>225826</v>
      </c>
    </row>
    <row r="28" spans="1:16" ht="17.100000000000001" customHeight="1">
      <c r="A28" s="563">
        <v>24</v>
      </c>
      <c r="B28" s="564" t="s">
        <v>404</v>
      </c>
      <c r="C28" s="984">
        <v>1756</v>
      </c>
      <c r="D28" s="982">
        <v>3931</v>
      </c>
      <c r="E28" s="982">
        <v>5595</v>
      </c>
      <c r="F28" s="982">
        <v>4460</v>
      </c>
      <c r="G28" s="982">
        <v>9146</v>
      </c>
      <c r="H28" s="982">
        <v>6139</v>
      </c>
      <c r="I28" s="982">
        <v>10753</v>
      </c>
      <c r="J28" s="1743">
        <v>13399</v>
      </c>
      <c r="K28" s="1743">
        <v>15709</v>
      </c>
      <c r="L28" s="1743">
        <v>18543</v>
      </c>
      <c r="M28" s="1743">
        <v>13260</v>
      </c>
      <c r="N28" s="1743">
        <v>7667</v>
      </c>
      <c r="O28" s="1743">
        <v>35735</v>
      </c>
      <c r="P28" s="565">
        <f t="shared" si="0"/>
        <v>146093</v>
      </c>
    </row>
    <row r="29" spans="1:16" ht="17.100000000000001" customHeight="1">
      <c r="A29" s="563">
        <v>25</v>
      </c>
      <c r="B29" s="564" t="s">
        <v>524</v>
      </c>
      <c r="C29" s="984">
        <v>9176</v>
      </c>
      <c r="D29" s="982">
        <v>22352</v>
      </c>
      <c r="E29" s="982">
        <v>27735</v>
      </c>
      <c r="F29" s="982">
        <v>19280</v>
      </c>
      <c r="G29" s="982">
        <v>43039</v>
      </c>
      <c r="H29" s="982">
        <v>27728</v>
      </c>
      <c r="I29" s="982">
        <v>37592</v>
      </c>
      <c r="J29" s="1743">
        <v>29679</v>
      </c>
      <c r="K29" s="1743">
        <v>61212</v>
      </c>
      <c r="L29" s="1743">
        <v>39913</v>
      </c>
      <c r="M29" s="1743">
        <v>21745</v>
      </c>
      <c r="N29" s="1743">
        <v>20141</v>
      </c>
      <c r="O29" s="1743">
        <v>10073</v>
      </c>
      <c r="P29" s="565">
        <f t="shared" si="0"/>
        <v>369665</v>
      </c>
    </row>
    <row r="30" spans="1:16" ht="17.100000000000001" customHeight="1">
      <c r="A30" s="563">
        <v>26</v>
      </c>
      <c r="B30" s="564" t="s">
        <v>32</v>
      </c>
      <c r="C30" s="984">
        <v>383</v>
      </c>
      <c r="D30" s="982">
        <v>1017</v>
      </c>
      <c r="E30" s="982">
        <v>1151</v>
      </c>
      <c r="F30" s="982">
        <v>941</v>
      </c>
      <c r="G30" s="982">
        <v>1904</v>
      </c>
      <c r="H30" s="982">
        <v>1610</v>
      </c>
      <c r="I30" s="982">
        <v>2620</v>
      </c>
      <c r="J30" s="1743">
        <v>2662</v>
      </c>
      <c r="K30" s="1743">
        <v>4113</v>
      </c>
      <c r="L30" s="1745">
        <v>2502</v>
      </c>
      <c r="M30" s="1743">
        <v>2837</v>
      </c>
      <c r="N30" s="1743">
        <v>2645</v>
      </c>
      <c r="O30" s="1743">
        <v>7889</v>
      </c>
      <c r="P30" s="565">
        <f t="shared" si="0"/>
        <v>32274</v>
      </c>
    </row>
    <row r="31" spans="1:16" ht="17.100000000000001" customHeight="1">
      <c r="A31" s="563">
        <v>27</v>
      </c>
      <c r="B31" s="564" t="s">
        <v>768</v>
      </c>
      <c r="C31" s="984">
        <v>1302</v>
      </c>
      <c r="D31" s="982">
        <v>3392</v>
      </c>
      <c r="E31" s="982">
        <v>4295</v>
      </c>
      <c r="F31" s="982">
        <v>3331</v>
      </c>
      <c r="G31" s="982">
        <v>7825</v>
      </c>
      <c r="H31" s="982">
        <v>6196</v>
      </c>
      <c r="I31" s="982">
        <v>10086</v>
      </c>
      <c r="J31" s="1743">
        <v>10064</v>
      </c>
      <c r="K31" s="1743">
        <v>21079</v>
      </c>
      <c r="L31" s="1743">
        <v>15183</v>
      </c>
      <c r="M31" s="1743">
        <v>6947</v>
      </c>
      <c r="N31" s="1743">
        <v>7122</v>
      </c>
      <c r="O31" s="1743">
        <v>40043</v>
      </c>
      <c r="P31" s="565">
        <f t="shared" si="0"/>
        <v>136865</v>
      </c>
    </row>
    <row r="32" spans="1:16" ht="17.100000000000001" customHeight="1">
      <c r="A32" s="563">
        <v>28</v>
      </c>
      <c r="B32" s="564" t="s">
        <v>61</v>
      </c>
      <c r="C32" s="984">
        <v>2105</v>
      </c>
      <c r="D32" s="982">
        <v>5771</v>
      </c>
      <c r="E32" s="982">
        <v>8801</v>
      </c>
      <c r="F32" s="982">
        <v>7544</v>
      </c>
      <c r="G32" s="982">
        <v>18845</v>
      </c>
      <c r="H32" s="982">
        <v>12197</v>
      </c>
      <c r="I32" s="982">
        <v>16665</v>
      </c>
      <c r="J32" s="1743">
        <v>20005</v>
      </c>
      <c r="K32" s="1743">
        <v>22707</v>
      </c>
      <c r="L32" s="1743">
        <v>13450</v>
      </c>
      <c r="M32" s="1743">
        <v>3462</v>
      </c>
      <c r="N32" s="1743">
        <v>1024</v>
      </c>
      <c r="O32" s="1743">
        <v>14441</v>
      </c>
      <c r="P32" s="565">
        <f t="shared" si="0"/>
        <v>147017</v>
      </c>
    </row>
    <row r="33" spans="1:16" ht="17.100000000000001" customHeight="1">
      <c r="A33" s="563">
        <v>29</v>
      </c>
      <c r="B33" s="564" t="s">
        <v>52</v>
      </c>
      <c r="C33" s="984">
        <v>673</v>
      </c>
      <c r="D33" s="982">
        <v>1741</v>
      </c>
      <c r="E33" s="982">
        <v>2619</v>
      </c>
      <c r="F33" s="982">
        <v>1827</v>
      </c>
      <c r="G33" s="982">
        <v>5131</v>
      </c>
      <c r="H33" s="982">
        <v>4118</v>
      </c>
      <c r="I33" s="982">
        <v>7460</v>
      </c>
      <c r="J33" s="1743">
        <v>6710</v>
      </c>
      <c r="K33" s="1743">
        <v>27488</v>
      </c>
      <c r="L33" s="1743">
        <v>25827</v>
      </c>
      <c r="M33" s="1743">
        <v>24374</v>
      </c>
      <c r="N33" s="1743">
        <v>8456</v>
      </c>
      <c r="O33" s="1743">
        <v>77611</v>
      </c>
      <c r="P33" s="565">
        <f t="shared" si="0"/>
        <v>194035</v>
      </c>
    </row>
    <row r="34" spans="1:16" ht="17.100000000000001" customHeight="1">
      <c r="A34" s="563">
        <v>30</v>
      </c>
      <c r="B34" s="564" t="s">
        <v>593</v>
      </c>
      <c r="C34" s="984">
        <v>241</v>
      </c>
      <c r="D34" s="982">
        <v>559</v>
      </c>
      <c r="E34" s="982">
        <v>683</v>
      </c>
      <c r="F34" s="982">
        <v>676</v>
      </c>
      <c r="G34" s="982">
        <v>1619</v>
      </c>
      <c r="H34" s="982">
        <v>1391</v>
      </c>
      <c r="I34" s="982">
        <v>1980</v>
      </c>
      <c r="J34" s="1743">
        <v>3482</v>
      </c>
      <c r="K34" s="1743">
        <v>6461</v>
      </c>
      <c r="L34" s="1743">
        <v>3889</v>
      </c>
      <c r="M34" s="1743">
        <v>3740</v>
      </c>
      <c r="N34" s="1743">
        <v>2655</v>
      </c>
      <c r="O34" s="1743">
        <v>20291</v>
      </c>
      <c r="P34" s="565">
        <f t="shared" si="0"/>
        <v>47667</v>
      </c>
    </row>
    <row r="35" spans="1:16" ht="17.100000000000001" customHeight="1">
      <c r="A35" s="563">
        <v>31</v>
      </c>
      <c r="B35" s="564" t="s">
        <v>139</v>
      </c>
      <c r="C35" s="984">
        <v>7114</v>
      </c>
      <c r="D35" s="982">
        <v>14968</v>
      </c>
      <c r="E35" s="982">
        <v>15123</v>
      </c>
      <c r="F35" s="982">
        <v>9555</v>
      </c>
      <c r="G35" s="982">
        <v>19188</v>
      </c>
      <c r="H35" s="982">
        <v>12659</v>
      </c>
      <c r="I35" s="982">
        <v>16807</v>
      </c>
      <c r="J35" s="1743">
        <v>17410</v>
      </c>
      <c r="K35" s="1743">
        <v>19955</v>
      </c>
      <c r="L35" s="1743">
        <v>15912</v>
      </c>
      <c r="M35" s="1743">
        <v>4310</v>
      </c>
      <c r="N35" s="1743">
        <v>987</v>
      </c>
      <c r="O35" s="1743">
        <v>6330</v>
      </c>
      <c r="P35" s="565">
        <f t="shared" si="0"/>
        <v>160318</v>
      </c>
    </row>
    <row r="36" spans="1:16" ht="17.100000000000001" customHeight="1">
      <c r="A36" s="563">
        <v>32</v>
      </c>
      <c r="B36" s="564" t="s">
        <v>140</v>
      </c>
      <c r="C36" s="984">
        <v>1693</v>
      </c>
      <c r="D36" s="982">
        <v>4117</v>
      </c>
      <c r="E36" s="982">
        <v>5183</v>
      </c>
      <c r="F36" s="982">
        <v>3884</v>
      </c>
      <c r="G36" s="982">
        <v>7851</v>
      </c>
      <c r="H36" s="982">
        <v>4987</v>
      </c>
      <c r="I36" s="982">
        <v>6220</v>
      </c>
      <c r="J36" s="1743">
        <v>6146</v>
      </c>
      <c r="K36" s="1743">
        <v>6153</v>
      </c>
      <c r="L36" s="1743">
        <v>3334</v>
      </c>
      <c r="M36" s="1743">
        <v>2928</v>
      </c>
      <c r="N36" s="1743">
        <v>3085</v>
      </c>
      <c r="O36" s="1743">
        <v>0</v>
      </c>
      <c r="P36" s="565">
        <f t="shared" si="0"/>
        <v>55581</v>
      </c>
    </row>
    <row r="37" spans="1:16" ht="17.100000000000001" customHeight="1">
      <c r="A37" s="563">
        <v>33</v>
      </c>
      <c r="B37" s="564" t="s">
        <v>86</v>
      </c>
      <c r="C37" s="984">
        <v>5416</v>
      </c>
      <c r="D37" s="982">
        <v>13712</v>
      </c>
      <c r="E37" s="982">
        <v>15148</v>
      </c>
      <c r="F37" s="982">
        <v>10591</v>
      </c>
      <c r="G37" s="982">
        <v>18995</v>
      </c>
      <c r="H37" s="982">
        <v>11193</v>
      </c>
      <c r="I37" s="982">
        <v>14087</v>
      </c>
      <c r="J37" s="1743">
        <v>10197</v>
      </c>
      <c r="K37" s="1743">
        <v>14630</v>
      </c>
      <c r="L37" s="1743">
        <v>8427</v>
      </c>
      <c r="M37" s="1743">
        <v>3268</v>
      </c>
      <c r="N37" s="1743">
        <v>2856</v>
      </c>
      <c r="O37" s="1743">
        <v>14585</v>
      </c>
      <c r="P37" s="565">
        <f t="shared" si="0"/>
        <v>143105</v>
      </c>
    </row>
    <row r="38" spans="1:16" s="2" customFormat="1" ht="17.100000000000001" customHeight="1">
      <c r="A38" s="563">
        <v>35</v>
      </c>
      <c r="B38" s="564" t="s">
        <v>466</v>
      </c>
      <c r="C38" s="984">
        <v>10704</v>
      </c>
      <c r="D38" s="982">
        <v>3736</v>
      </c>
      <c r="E38" s="982">
        <v>4368</v>
      </c>
      <c r="F38" s="982">
        <v>3715</v>
      </c>
      <c r="G38" s="982">
        <v>9447</v>
      </c>
      <c r="H38" s="982">
        <v>6226</v>
      </c>
      <c r="I38" s="982">
        <v>7359</v>
      </c>
      <c r="J38" s="1743">
        <v>9503</v>
      </c>
      <c r="K38" s="1743">
        <v>13433</v>
      </c>
      <c r="L38" s="1743">
        <v>16412</v>
      </c>
      <c r="M38" s="1743">
        <v>10588</v>
      </c>
      <c r="N38" s="1743">
        <v>2931</v>
      </c>
      <c r="O38" s="1743">
        <v>0</v>
      </c>
      <c r="P38" s="565">
        <f t="shared" si="0"/>
        <v>98422</v>
      </c>
    </row>
    <row r="39" spans="1:16" ht="17.100000000000001" customHeight="1">
      <c r="A39" s="563">
        <v>36</v>
      </c>
      <c r="B39" s="564" t="s">
        <v>682</v>
      </c>
      <c r="C39" s="984">
        <v>237</v>
      </c>
      <c r="D39" s="982">
        <v>375</v>
      </c>
      <c r="E39" s="982">
        <v>659</v>
      </c>
      <c r="F39" s="982">
        <v>568</v>
      </c>
      <c r="G39" s="982">
        <v>1389</v>
      </c>
      <c r="H39" s="982">
        <v>937</v>
      </c>
      <c r="I39" s="982">
        <v>1105</v>
      </c>
      <c r="J39" s="1743">
        <v>1873</v>
      </c>
      <c r="K39" s="1743">
        <v>4566</v>
      </c>
      <c r="L39" s="1743">
        <v>3471</v>
      </c>
      <c r="M39" s="1743">
        <v>2011</v>
      </c>
      <c r="N39" s="1743">
        <v>0</v>
      </c>
      <c r="O39" s="1743">
        <v>0</v>
      </c>
      <c r="P39" s="565">
        <f t="shared" si="0"/>
        <v>17191</v>
      </c>
    </row>
    <row r="40" spans="1:16" s="2" customFormat="1" ht="17.100000000000001" customHeight="1">
      <c r="A40" s="563">
        <v>37</v>
      </c>
      <c r="B40" s="564" t="s">
        <v>683</v>
      </c>
      <c r="C40" s="984">
        <v>112</v>
      </c>
      <c r="D40" s="982">
        <v>252</v>
      </c>
      <c r="E40" s="982">
        <v>289</v>
      </c>
      <c r="F40" s="982">
        <v>325</v>
      </c>
      <c r="G40" s="982">
        <v>934</v>
      </c>
      <c r="H40" s="982">
        <v>644</v>
      </c>
      <c r="I40" s="982">
        <v>1353</v>
      </c>
      <c r="J40" s="1743">
        <v>1082</v>
      </c>
      <c r="K40" s="1743">
        <v>2916</v>
      </c>
      <c r="L40" s="1743">
        <v>1020</v>
      </c>
      <c r="M40" s="1743">
        <v>2562</v>
      </c>
      <c r="N40" s="1743">
        <v>1826</v>
      </c>
      <c r="O40" s="1743">
        <v>1854</v>
      </c>
      <c r="P40" s="565">
        <f t="shared" si="0"/>
        <v>15169</v>
      </c>
    </row>
    <row r="41" spans="1:16" ht="17.100000000000001" customHeight="1">
      <c r="A41" s="563">
        <v>38</v>
      </c>
      <c r="B41" s="564" t="s">
        <v>684</v>
      </c>
      <c r="C41" s="984">
        <v>671</v>
      </c>
      <c r="D41" s="982">
        <v>1631</v>
      </c>
      <c r="E41" s="982">
        <v>2430</v>
      </c>
      <c r="F41" s="982">
        <v>2390</v>
      </c>
      <c r="G41" s="982">
        <v>5601</v>
      </c>
      <c r="H41" s="982">
        <v>4346</v>
      </c>
      <c r="I41" s="982">
        <v>6877</v>
      </c>
      <c r="J41" s="1743">
        <v>9480</v>
      </c>
      <c r="K41" s="1743">
        <v>18659</v>
      </c>
      <c r="L41" s="1743">
        <v>22113</v>
      </c>
      <c r="M41" s="1743">
        <v>13177</v>
      </c>
      <c r="N41" s="1743">
        <v>5218</v>
      </c>
      <c r="O41" s="1743">
        <v>2292</v>
      </c>
      <c r="P41" s="565">
        <f t="shared" si="0"/>
        <v>94885</v>
      </c>
    </row>
    <row r="42" spans="1:16" ht="17.100000000000001" customHeight="1">
      <c r="A42" s="563">
        <v>39</v>
      </c>
      <c r="B42" s="564" t="s">
        <v>155</v>
      </c>
      <c r="C42" s="984">
        <v>24</v>
      </c>
      <c r="D42" s="982">
        <v>86</v>
      </c>
      <c r="E42" s="982">
        <v>102</v>
      </c>
      <c r="F42" s="982">
        <v>63</v>
      </c>
      <c r="G42" s="982">
        <v>110</v>
      </c>
      <c r="H42" s="982">
        <v>87</v>
      </c>
      <c r="I42" s="982">
        <v>106</v>
      </c>
      <c r="J42" s="1743">
        <v>357</v>
      </c>
      <c r="K42" s="1743">
        <v>305</v>
      </c>
      <c r="L42" s="1743">
        <v>255</v>
      </c>
      <c r="M42" s="1743">
        <v>0</v>
      </c>
      <c r="N42" s="1743">
        <v>0</v>
      </c>
      <c r="O42" s="1743">
        <v>0</v>
      </c>
      <c r="P42" s="565">
        <f t="shared" si="0"/>
        <v>1495</v>
      </c>
    </row>
    <row r="43" spans="1:16" s="2" customFormat="1" ht="17.100000000000001" customHeight="1">
      <c r="A43" s="563">
        <v>41</v>
      </c>
      <c r="B43" s="564" t="s">
        <v>156</v>
      </c>
      <c r="C43" s="984">
        <v>30905</v>
      </c>
      <c r="D43" s="982">
        <v>68946</v>
      </c>
      <c r="E43" s="982">
        <v>112333</v>
      </c>
      <c r="F43" s="982">
        <v>101340</v>
      </c>
      <c r="G43" s="982">
        <v>202780</v>
      </c>
      <c r="H43" s="982">
        <v>106966</v>
      </c>
      <c r="I43" s="982">
        <v>115935</v>
      </c>
      <c r="J43" s="1743">
        <v>111509</v>
      </c>
      <c r="K43" s="1743">
        <v>150672</v>
      </c>
      <c r="L43" s="1743">
        <v>104656</v>
      </c>
      <c r="M43" s="1743">
        <v>49103</v>
      </c>
      <c r="N43" s="1743">
        <v>18242</v>
      </c>
      <c r="O43" s="1743">
        <v>126641</v>
      </c>
      <c r="P43" s="565">
        <f t="shared" si="0"/>
        <v>1300028</v>
      </c>
    </row>
    <row r="44" spans="1:16" ht="17.100000000000001" customHeight="1">
      <c r="A44" s="563">
        <v>42</v>
      </c>
      <c r="B44" s="564" t="s">
        <v>497</v>
      </c>
      <c r="C44" s="984">
        <v>2637</v>
      </c>
      <c r="D44" s="982">
        <v>5937</v>
      </c>
      <c r="E44" s="982">
        <v>9214</v>
      </c>
      <c r="F44" s="982">
        <v>8841</v>
      </c>
      <c r="G44" s="982">
        <v>25418</v>
      </c>
      <c r="H44" s="982">
        <v>22519</v>
      </c>
      <c r="I44" s="982">
        <v>35217</v>
      </c>
      <c r="J44" s="1743">
        <v>54575</v>
      </c>
      <c r="K44" s="1743">
        <v>71463</v>
      </c>
      <c r="L44" s="1743">
        <v>35266</v>
      </c>
      <c r="M44" s="1743">
        <v>19002</v>
      </c>
      <c r="N44" s="1743">
        <v>5978</v>
      </c>
      <c r="O44" s="1743">
        <v>101786</v>
      </c>
      <c r="P44" s="565">
        <f t="shared" si="0"/>
        <v>397853</v>
      </c>
    </row>
    <row r="45" spans="1:16" s="2" customFormat="1" ht="17.100000000000001" customHeight="1">
      <c r="A45" s="563">
        <v>43</v>
      </c>
      <c r="B45" s="564" t="s">
        <v>856</v>
      </c>
      <c r="C45" s="984">
        <v>16395</v>
      </c>
      <c r="D45" s="982">
        <v>37733</v>
      </c>
      <c r="E45" s="982">
        <v>45243</v>
      </c>
      <c r="F45" s="982">
        <v>30028</v>
      </c>
      <c r="G45" s="982">
        <v>52799</v>
      </c>
      <c r="H45" s="982">
        <v>25393</v>
      </c>
      <c r="I45" s="982">
        <v>27211</v>
      </c>
      <c r="J45" s="1743">
        <v>18231</v>
      </c>
      <c r="K45" s="1743">
        <v>25906</v>
      </c>
      <c r="L45" s="1743">
        <v>17926</v>
      </c>
      <c r="M45" s="1743">
        <v>12420</v>
      </c>
      <c r="N45" s="1743">
        <v>7215</v>
      </c>
      <c r="O45" s="1743">
        <v>6155</v>
      </c>
      <c r="P45" s="565">
        <f t="shared" si="0"/>
        <v>322655</v>
      </c>
    </row>
    <row r="46" spans="1:16" ht="17.100000000000001" customHeight="1">
      <c r="A46" s="563">
        <v>45</v>
      </c>
      <c r="B46" s="564" t="s">
        <v>127</v>
      </c>
      <c r="C46" s="984">
        <v>21899</v>
      </c>
      <c r="D46" s="982">
        <v>35516</v>
      </c>
      <c r="E46" s="982">
        <v>27241</v>
      </c>
      <c r="F46" s="982">
        <v>15435</v>
      </c>
      <c r="G46" s="982">
        <v>26052</v>
      </c>
      <c r="H46" s="982">
        <v>24755</v>
      </c>
      <c r="I46" s="982">
        <v>21701</v>
      </c>
      <c r="J46" s="1743">
        <v>14861</v>
      </c>
      <c r="K46" s="1743">
        <v>11441</v>
      </c>
      <c r="L46" s="1743">
        <v>5655</v>
      </c>
      <c r="M46" s="1743">
        <v>1313</v>
      </c>
      <c r="N46" s="1743">
        <v>0</v>
      </c>
      <c r="O46" s="1743">
        <v>1195</v>
      </c>
      <c r="P46" s="565">
        <f t="shared" si="0"/>
        <v>207064</v>
      </c>
    </row>
    <row r="47" spans="1:16" ht="17.100000000000001" customHeight="1">
      <c r="A47" s="563">
        <v>46</v>
      </c>
      <c r="B47" s="564" t="s">
        <v>115</v>
      </c>
      <c r="C47" s="984">
        <v>40406</v>
      </c>
      <c r="D47" s="982">
        <v>91851</v>
      </c>
      <c r="E47" s="982">
        <v>106329</v>
      </c>
      <c r="F47" s="982">
        <v>66810</v>
      </c>
      <c r="G47" s="982">
        <v>111924</v>
      </c>
      <c r="H47" s="982">
        <f>45477+15964</f>
        <v>61441</v>
      </c>
      <c r="I47" s="982">
        <v>61484</v>
      </c>
      <c r="J47" s="1743">
        <v>60724</v>
      </c>
      <c r="K47" s="1743">
        <v>65537</v>
      </c>
      <c r="L47" s="1743">
        <v>13594</v>
      </c>
      <c r="M47" s="1743">
        <v>1400</v>
      </c>
      <c r="N47" s="1743">
        <v>1992</v>
      </c>
      <c r="O47" s="1743">
        <v>1196</v>
      </c>
      <c r="P47" s="565">
        <f t="shared" si="0"/>
        <v>684688</v>
      </c>
    </row>
    <row r="48" spans="1:16" ht="17.100000000000001" customHeight="1">
      <c r="A48" s="563">
        <v>47</v>
      </c>
      <c r="B48" s="564" t="s">
        <v>116</v>
      </c>
      <c r="C48" s="984">
        <v>108969</v>
      </c>
      <c r="D48" s="982">
        <v>215994</v>
      </c>
      <c r="E48" s="982">
        <f>((7000+254819)-7525)+0</f>
        <v>254294</v>
      </c>
      <c r="F48" s="982">
        <v>124518</v>
      </c>
      <c r="G48" s="982">
        <v>199081</v>
      </c>
      <c r="H48" s="982">
        <f>(81357+7525)+0</f>
        <v>88882</v>
      </c>
      <c r="I48" s="982">
        <v>81802</v>
      </c>
      <c r="J48" s="1743">
        <v>75239</v>
      </c>
      <c r="K48" s="1743">
        <v>64141</v>
      </c>
      <c r="L48" s="1743">
        <v>5084</v>
      </c>
      <c r="M48" s="1743">
        <v>20513</v>
      </c>
      <c r="N48" s="1743">
        <v>19038</v>
      </c>
      <c r="O48" s="1743">
        <v>4934</v>
      </c>
      <c r="P48" s="565">
        <f t="shared" si="0"/>
        <v>1262489</v>
      </c>
    </row>
    <row r="49" spans="1:16" s="2" customFormat="1" ht="17.100000000000001" customHeight="1">
      <c r="A49" s="563">
        <v>49</v>
      </c>
      <c r="B49" s="564" t="s">
        <v>126</v>
      </c>
      <c r="C49" s="984">
        <v>62476</v>
      </c>
      <c r="D49" s="982">
        <v>66428</v>
      </c>
      <c r="E49" s="982">
        <v>49957</v>
      </c>
      <c r="F49" s="982">
        <v>33144</v>
      </c>
      <c r="G49" s="982">
        <v>73618</v>
      </c>
      <c r="H49" s="982">
        <v>41765</v>
      </c>
      <c r="I49" s="982">
        <v>48762</v>
      </c>
      <c r="J49" s="1743">
        <v>46264</v>
      </c>
      <c r="K49" s="1743">
        <v>39931</v>
      </c>
      <c r="L49" s="1743">
        <v>41393</v>
      </c>
      <c r="M49" s="1743">
        <v>15566</v>
      </c>
      <c r="N49" s="1743">
        <v>5748</v>
      </c>
      <c r="O49" s="1743">
        <v>13443</v>
      </c>
      <c r="P49" s="565">
        <f t="shared" si="0"/>
        <v>538495</v>
      </c>
    </row>
    <row r="50" spans="1:16" ht="17.100000000000001" customHeight="1">
      <c r="A50" s="563">
        <v>50</v>
      </c>
      <c r="B50" s="564" t="s">
        <v>866</v>
      </c>
      <c r="C50" s="984">
        <v>731</v>
      </c>
      <c r="D50" s="982">
        <v>1460</v>
      </c>
      <c r="E50" s="982">
        <v>1399</v>
      </c>
      <c r="F50" s="982">
        <v>1016</v>
      </c>
      <c r="G50" s="982">
        <v>3216</v>
      </c>
      <c r="H50" s="982">
        <v>2392</v>
      </c>
      <c r="I50" s="982">
        <v>1381</v>
      </c>
      <c r="J50" s="1743">
        <v>866</v>
      </c>
      <c r="K50" s="1743">
        <v>757</v>
      </c>
      <c r="L50" s="1743">
        <v>2076</v>
      </c>
      <c r="M50" s="1743">
        <v>0</v>
      </c>
      <c r="N50" s="1743">
        <v>0</v>
      </c>
      <c r="O50" s="1743">
        <v>0</v>
      </c>
      <c r="P50" s="565">
        <f t="shared" si="0"/>
        <v>15294</v>
      </c>
    </row>
    <row r="51" spans="1:16" ht="17.100000000000001" customHeight="1">
      <c r="A51" s="563">
        <v>51</v>
      </c>
      <c r="B51" s="564" t="s">
        <v>867</v>
      </c>
      <c r="C51" s="984">
        <v>42</v>
      </c>
      <c r="D51" s="982">
        <v>131</v>
      </c>
      <c r="E51" s="982">
        <v>224</v>
      </c>
      <c r="F51" s="982">
        <v>208</v>
      </c>
      <c r="G51" s="982">
        <v>487</v>
      </c>
      <c r="H51" s="982">
        <v>520</v>
      </c>
      <c r="I51" s="982">
        <v>489</v>
      </c>
      <c r="J51" s="1743">
        <v>658</v>
      </c>
      <c r="K51" s="1745">
        <v>1068</v>
      </c>
      <c r="L51" s="1743">
        <v>3122</v>
      </c>
      <c r="M51" s="1743">
        <v>707</v>
      </c>
      <c r="N51" s="1743">
        <v>875</v>
      </c>
      <c r="O51" s="1743">
        <v>15918</v>
      </c>
      <c r="P51" s="565">
        <f t="shared" si="0"/>
        <v>24449</v>
      </c>
    </row>
    <row r="52" spans="1:16" ht="17.100000000000001" customHeight="1">
      <c r="A52" s="563">
        <v>52</v>
      </c>
      <c r="B52" s="564" t="s">
        <v>822</v>
      </c>
      <c r="C52" s="984">
        <v>4581</v>
      </c>
      <c r="D52" s="982">
        <v>10016</v>
      </c>
      <c r="E52" s="982">
        <v>14700</v>
      </c>
      <c r="F52" s="982">
        <v>12723</v>
      </c>
      <c r="G52" s="982">
        <v>26755</v>
      </c>
      <c r="H52" s="982">
        <v>15224</v>
      </c>
      <c r="I52" s="982">
        <v>20193</v>
      </c>
      <c r="J52" s="1743">
        <v>28573</v>
      </c>
      <c r="K52" s="1743">
        <v>43524</v>
      </c>
      <c r="L52" s="1743">
        <v>19495</v>
      </c>
      <c r="M52" s="1743">
        <v>7927</v>
      </c>
      <c r="N52" s="1743">
        <v>5745</v>
      </c>
      <c r="O52" s="1743">
        <v>25540</v>
      </c>
      <c r="P52" s="565">
        <f t="shared" si="0"/>
        <v>234996</v>
      </c>
    </row>
    <row r="53" spans="1:16" s="2" customFormat="1" ht="17.100000000000001" customHeight="1">
      <c r="A53" s="563">
        <v>53</v>
      </c>
      <c r="B53" s="564" t="s">
        <v>19</v>
      </c>
      <c r="C53" s="984">
        <v>470</v>
      </c>
      <c r="D53" s="982">
        <v>1229</v>
      </c>
      <c r="E53" s="982">
        <v>2558</v>
      </c>
      <c r="F53" s="982">
        <v>2733</v>
      </c>
      <c r="G53" s="982">
        <v>4665</v>
      </c>
      <c r="H53" s="982">
        <v>1455</v>
      </c>
      <c r="I53" s="982">
        <v>2345</v>
      </c>
      <c r="J53" s="1743">
        <v>3266</v>
      </c>
      <c r="K53" s="1743">
        <v>4532</v>
      </c>
      <c r="L53" s="1743">
        <v>4126</v>
      </c>
      <c r="M53" s="1743">
        <v>2435</v>
      </c>
      <c r="N53" s="1743">
        <v>2884</v>
      </c>
      <c r="O53" s="1743">
        <v>1699</v>
      </c>
      <c r="P53" s="565">
        <f t="shared" si="0"/>
        <v>34397</v>
      </c>
    </row>
    <row r="54" spans="1:16" ht="17.100000000000001" customHeight="1">
      <c r="A54" s="563">
        <v>55</v>
      </c>
      <c r="B54" s="564" t="s">
        <v>20</v>
      </c>
      <c r="C54" s="984">
        <v>3762</v>
      </c>
      <c r="D54" s="982">
        <v>10609</v>
      </c>
      <c r="E54" s="982">
        <v>16686</v>
      </c>
      <c r="F54" s="982">
        <v>10977</v>
      </c>
      <c r="G54" s="982">
        <v>21269</v>
      </c>
      <c r="H54" s="982">
        <v>13094</v>
      </c>
      <c r="I54" s="982">
        <v>16913</v>
      </c>
      <c r="J54" s="1743">
        <v>29907</v>
      </c>
      <c r="K54" s="1743">
        <v>68235</v>
      </c>
      <c r="L54" s="1743">
        <v>43489</v>
      </c>
      <c r="M54" s="1743">
        <v>10473</v>
      </c>
      <c r="N54" s="1743">
        <v>1877</v>
      </c>
      <c r="O54" s="1743">
        <v>2805</v>
      </c>
      <c r="P54" s="565">
        <f t="shared" si="0"/>
        <v>250096</v>
      </c>
    </row>
    <row r="55" spans="1:16" ht="17.100000000000001" customHeight="1">
      <c r="A55" s="563">
        <v>56</v>
      </c>
      <c r="B55" s="564" t="s">
        <v>21</v>
      </c>
      <c r="C55" s="984">
        <v>39400</v>
      </c>
      <c r="D55" s="982">
        <v>72020</v>
      </c>
      <c r="E55" s="982">
        <v>76347</v>
      </c>
      <c r="F55" s="982">
        <v>55808</v>
      </c>
      <c r="G55" s="982">
        <v>122576</v>
      </c>
      <c r="H55" s="982">
        <v>62308</v>
      </c>
      <c r="I55" s="982">
        <v>57404</v>
      </c>
      <c r="J55" s="1743">
        <v>58670</v>
      </c>
      <c r="K55" s="1745">
        <v>46622</v>
      </c>
      <c r="L55" s="1743">
        <v>14597</v>
      </c>
      <c r="M55" s="1743">
        <v>5510</v>
      </c>
      <c r="N55" s="1743">
        <v>1921</v>
      </c>
      <c r="O55" s="1743">
        <v>5889</v>
      </c>
      <c r="P55" s="565">
        <f t="shared" si="0"/>
        <v>619072</v>
      </c>
    </row>
    <row r="56" spans="1:16" ht="17.100000000000001" customHeight="1">
      <c r="A56" s="563">
        <v>58</v>
      </c>
      <c r="B56" s="564" t="s">
        <v>99</v>
      </c>
      <c r="C56" s="984">
        <v>671</v>
      </c>
      <c r="D56" s="982">
        <v>1602</v>
      </c>
      <c r="E56" s="982">
        <v>2359</v>
      </c>
      <c r="F56" s="982">
        <v>1905</v>
      </c>
      <c r="G56" s="982">
        <v>3276</v>
      </c>
      <c r="H56" s="982">
        <v>1770</v>
      </c>
      <c r="I56" s="982">
        <v>1934</v>
      </c>
      <c r="J56" s="1743">
        <v>2528</v>
      </c>
      <c r="K56" s="1743">
        <v>1690</v>
      </c>
      <c r="L56" s="1743">
        <v>1694</v>
      </c>
      <c r="M56" s="1743">
        <v>1560</v>
      </c>
      <c r="N56" s="1743">
        <v>0</v>
      </c>
      <c r="O56" s="1743">
        <v>0</v>
      </c>
      <c r="P56" s="565">
        <f t="shared" si="0"/>
        <v>20989</v>
      </c>
    </row>
    <row r="57" spans="1:16" ht="17.100000000000001" customHeight="1">
      <c r="A57" s="563">
        <v>59</v>
      </c>
      <c r="B57" s="564" t="s">
        <v>100</v>
      </c>
      <c r="C57" s="984">
        <v>531</v>
      </c>
      <c r="D57" s="982">
        <v>1289</v>
      </c>
      <c r="E57" s="982">
        <v>1356</v>
      </c>
      <c r="F57" s="982">
        <v>1082</v>
      </c>
      <c r="G57" s="982">
        <v>3216</v>
      </c>
      <c r="H57" s="982">
        <v>2079</v>
      </c>
      <c r="I57" s="982">
        <v>2196</v>
      </c>
      <c r="J57" s="1743">
        <v>1730</v>
      </c>
      <c r="K57" s="1743">
        <v>2404</v>
      </c>
      <c r="L57" s="1743">
        <v>1530</v>
      </c>
      <c r="M57" s="1743">
        <v>0</v>
      </c>
      <c r="N57" s="1743">
        <v>0</v>
      </c>
      <c r="O57" s="1743">
        <v>0</v>
      </c>
      <c r="P57" s="565">
        <f t="shared" si="0"/>
        <v>17413</v>
      </c>
    </row>
    <row r="58" spans="1:16" ht="17.100000000000001" customHeight="1">
      <c r="A58" s="563">
        <v>60</v>
      </c>
      <c r="B58" s="564" t="s">
        <v>755</v>
      </c>
      <c r="C58" s="984">
        <v>235</v>
      </c>
      <c r="D58" s="982">
        <v>498</v>
      </c>
      <c r="E58" s="982">
        <v>512</v>
      </c>
      <c r="F58" s="982">
        <v>477</v>
      </c>
      <c r="G58" s="982">
        <v>1248</v>
      </c>
      <c r="H58" s="982">
        <v>862</v>
      </c>
      <c r="I58" s="982">
        <v>983</v>
      </c>
      <c r="J58" s="1743">
        <v>1274</v>
      </c>
      <c r="K58" s="1743">
        <v>2392</v>
      </c>
      <c r="L58" s="1743">
        <v>1442</v>
      </c>
      <c r="M58" s="1743">
        <v>0</v>
      </c>
      <c r="N58" s="1743">
        <v>0</v>
      </c>
      <c r="O58" s="1743">
        <v>0</v>
      </c>
      <c r="P58" s="565">
        <f t="shared" si="0"/>
        <v>9923</v>
      </c>
    </row>
    <row r="59" spans="1:16" ht="17.100000000000001" customHeight="1">
      <c r="A59" s="563">
        <v>61</v>
      </c>
      <c r="B59" s="564" t="s">
        <v>756</v>
      </c>
      <c r="C59" s="984">
        <v>1341</v>
      </c>
      <c r="D59" s="982">
        <v>1858</v>
      </c>
      <c r="E59" s="982">
        <v>1826</v>
      </c>
      <c r="F59" s="982">
        <v>1165</v>
      </c>
      <c r="G59" s="982">
        <v>2528</v>
      </c>
      <c r="H59" s="982">
        <v>1804</v>
      </c>
      <c r="I59" s="982">
        <v>2338</v>
      </c>
      <c r="J59" s="1743">
        <v>3058</v>
      </c>
      <c r="K59" s="1743">
        <v>1892</v>
      </c>
      <c r="L59" s="1743">
        <v>2136</v>
      </c>
      <c r="M59" s="1743">
        <v>686</v>
      </c>
      <c r="N59" s="1743">
        <v>1824</v>
      </c>
      <c r="O59" s="1743">
        <v>1522</v>
      </c>
      <c r="P59" s="565">
        <f t="shared" si="0"/>
        <v>23978</v>
      </c>
    </row>
    <row r="60" spans="1:16" ht="17.100000000000001" customHeight="1">
      <c r="A60" s="563">
        <v>62</v>
      </c>
      <c r="B60" s="564" t="s">
        <v>757</v>
      </c>
      <c r="C60" s="984">
        <v>2380</v>
      </c>
      <c r="D60" s="982">
        <v>5024</v>
      </c>
      <c r="E60" s="982">
        <v>5727</v>
      </c>
      <c r="F60" s="982">
        <v>3988</v>
      </c>
      <c r="G60" s="982">
        <v>9289</v>
      </c>
      <c r="H60" s="982">
        <v>5765</v>
      </c>
      <c r="I60" s="982">
        <v>6847</v>
      </c>
      <c r="J60" s="1743">
        <v>7698</v>
      </c>
      <c r="K60" s="1743">
        <v>10478</v>
      </c>
      <c r="L60" s="1743">
        <v>6364</v>
      </c>
      <c r="M60" s="1743">
        <v>5076</v>
      </c>
      <c r="N60" s="1743">
        <v>3826</v>
      </c>
      <c r="O60" s="1743">
        <v>2539</v>
      </c>
      <c r="P60" s="565">
        <f t="shared" si="0"/>
        <v>75001</v>
      </c>
    </row>
    <row r="61" spans="1:16" ht="17.100000000000001" customHeight="1">
      <c r="A61" s="563">
        <v>63</v>
      </c>
      <c r="B61" s="564" t="s">
        <v>758</v>
      </c>
      <c r="C61" s="984">
        <v>454</v>
      </c>
      <c r="D61" s="982">
        <v>948</v>
      </c>
      <c r="E61" s="982">
        <v>1178</v>
      </c>
      <c r="F61" s="982">
        <v>977</v>
      </c>
      <c r="G61" s="982">
        <v>2140</v>
      </c>
      <c r="H61" s="982">
        <v>1603</v>
      </c>
      <c r="I61" s="982">
        <v>2818</v>
      </c>
      <c r="J61" s="1743">
        <v>2085</v>
      </c>
      <c r="K61" s="1743">
        <v>10007</v>
      </c>
      <c r="L61" s="1743">
        <v>10079</v>
      </c>
      <c r="M61" s="1743">
        <v>9798</v>
      </c>
      <c r="N61" s="1743">
        <v>4652</v>
      </c>
      <c r="O61" s="1743">
        <v>8203</v>
      </c>
      <c r="P61" s="565">
        <f t="shared" si="0"/>
        <v>54942</v>
      </c>
    </row>
    <row r="62" spans="1:16" ht="17.100000000000001" customHeight="1">
      <c r="A62" s="563">
        <v>64</v>
      </c>
      <c r="B62" s="564" t="s">
        <v>823</v>
      </c>
      <c r="C62" s="984">
        <v>1019</v>
      </c>
      <c r="D62" s="982">
        <v>3208</v>
      </c>
      <c r="E62" s="982">
        <v>5015</v>
      </c>
      <c r="F62" s="982">
        <v>10666</v>
      </c>
      <c r="G62" s="982">
        <v>20060</v>
      </c>
      <c r="H62" s="982">
        <v>3785</v>
      </c>
      <c r="I62" s="982">
        <v>3885</v>
      </c>
      <c r="J62" s="1743">
        <v>3755</v>
      </c>
      <c r="K62" s="1743">
        <v>5956</v>
      </c>
      <c r="L62" s="1743">
        <v>6658</v>
      </c>
      <c r="M62" s="1743">
        <v>2715</v>
      </c>
      <c r="N62" s="1743">
        <v>2757</v>
      </c>
      <c r="O62" s="1743">
        <v>18702</v>
      </c>
      <c r="P62" s="565">
        <f t="shared" si="0"/>
        <v>88181</v>
      </c>
    </row>
    <row r="63" spans="1:16" ht="17.100000000000001" customHeight="1">
      <c r="A63" s="563">
        <v>65</v>
      </c>
      <c r="B63" s="564" t="s">
        <v>830</v>
      </c>
      <c r="C63" s="984">
        <v>1041</v>
      </c>
      <c r="D63" s="982">
        <v>3530</v>
      </c>
      <c r="E63" s="982">
        <v>3104</v>
      </c>
      <c r="F63" s="982">
        <v>1450</v>
      </c>
      <c r="G63" s="982">
        <v>2031</v>
      </c>
      <c r="H63" s="982">
        <v>892</v>
      </c>
      <c r="I63" s="982">
        <v>1633</v>
      </c>
      <c r="J63" s="1743">
        <v>2962</v>
      </c>
      <c r="K63" s="1743">
        <v>2915</v>
      </c>
      <c r="L63" s="1743">
        <v>4028</v>
      </c>
      <c r="M63" s="1743">
        <v>673</v>
      </c>
      <c r="N63" s="1743">
        <v>0</v>
      </c>
      <c r="O63" s="1743">
        <v>0</v>
      </c>
      <c r="P63" s="565">
        <f t="shared" si="0"/>
        <v>24259</v>
      </c>
    </row>
    <row r="64" spans="1:16" ht="17.100000000000001" customHeight="1">
      <c r="A64" s="563">
        <v>66</v>
      </c>
      <c r="B64" s="564" t="s">
        <v>671</v>
      </c>
      <c r="C64" s="984">
        <v>3366</v>
      </c>
      <c r="D64" s="982">
        <v>10634</v>
      </c>
      <c r="E64" s="982">
        <v>11284</v>
      </c>
      <c r="F64" s="982">
        <v>4623</v>
      </c>
      <c r="G64" s="982">
        <v>4875</v>
      </c>
      <c r="H64" s="982">
        <v>2110</v>
      </c>
      <c r="I64" s="982">
        <v>2447</v>
      </c>
      <c r="J64" s="1743">
        <v>2597</v>
      </c>
      <c r="K64" s="1743">
        <v>2820</v>
      </c>
      <c r="L64" s="1743">
        <v>2925</v>
      </c>
      <c r="M64" s="1743">
        <v>0</v>
      </c>
      <c r="N64" s="1743">
        <v>829</v>
      </c>
      <c r="O64" s="1743">
        <v>1256</v>
      </c>
      <c r="P64" s="565">
        <f t="shared" si="0"/>
        <v>49766</v>
      </c>
    </row>
    <row r="65" spans="1:16" ht="17.100000000000001" customHeight="1">
      <c r="A65" s="563">
        <v>68</v>
      </c>
      <c r="B65" s="564" t="s">
        <v>635</v>
      </c>
      <c r="C65" s="984">
        <v>42082</v>
      </c>
      <c r="D65" s="982">
        <v>18706</v>
      </c>
      <c r="E65" s="982">
        <v>16298</v>
      </c>
      <c r="F65" s="982">
        <v>6982</v>
      </c>
      <c r="G65" s="982">
        <v>12006</v>
      </c>
      <c r="H65" s="982">
        <v>5488</v>
      </c>
      <c r="I65" s="982">
        <v>4939</v>
      </c>
      <c r="J65" s="1743">
        <v>5167</v>
      </c>
      <c r="K65" s="1743">
        <v>5192</v>
      </c>
      <c r="L65" s="1743">
        <v>955</v>
      </c>
      <c r="M65" s="1743">
        <v>0</v>
      </c>
      <c r="N65" s="1743">
        <v>0</v>
      </c>
      <c r="O65" s="1743">
        <v>0</v>
      </c>
      <c r="P65" s="565">
        <f t="shared" si="0"/>
        <v>117815</v>
      </c>
    </row>
    <row r="66" spans="1:16" ht="17.100000000000001" customHeight="1">
      <c r="A66" s="563">
        <v>69</v>
      </c>
      <c r="B66" s="564" t="s">
        <v>521</v>
      </c>
      <c r="C66" s="984">
        <v>16796</v>
      </c>
      <c r="D66" s="982">
        <v>41573</v>
      </c>
      <c r="E66" s="982">
        <v>34683</v>
      </c>
      <c r="F66" s="982">
        <v>13166</v>
      </c>
      <c r="G66" s="982">
        <v>10377</v>
      </c>
      <c r="H66" s="982">
        <v>4176</v>
      </c>
      <c r="I66" s="982">
        <v>4011</v>
      </c>
      <c r="J66" s="1743">
        <v>2645</v>
      </c>
      <c r="K66" s="1743">
        <v>7680</v>
      </c>
      <c r="L66" s="1743">
        <v>3740</v>
      </c>
      <c r="M66" s="1743">
        <v>2597</v>
      </c>
      <c r="N66" s="1743">
        <v>0</v>
      </c>
      <c r="O66" s="1743">
        <v>0</v>
      </c>
      <c r="P66" s="565">
        <f t="shared" si="0"/>
        <v>141444</v>
      </c>
    </row>
    <row r="67" spans="1:16" ht="17.100000000000001" customHeight="1">
      <c r="A67" s="563">
        <v>70</v>
      </c>
      <c r="B67" s="564" t="s">
        <v>450</v>
      </c>
      <c r="C67" s="984">
        <v>5529</v>
      </c>
      <c r="D67" s="982">
        <v>11008</v>
      </c>
      <c r="E67" s="982">
        <v>9813</v>
      </c>
      <c r="F67" s="982">
        <v>9758</v>
      </c>
      <c r="G67" s="982">
        <f>((21903-2576)+-1000)+0</f>
        <v>18327</v>
      </c>
      <c r="H67" s="982">
        <v>13966</v>
      </c>
      <c r="I67" s="982">
        <v>21117</v>
      </c>
      <c r="J67" s="1743">
        <v>24845</v>
      </c>
      <c r="K67" s="1743">
        <v>32942</v>
      </c>
      <c r="L67" s="1743">
        <v>27759</v>
      </c>
      <c r="M67" s="1743">
        <v>8281</v>
      </c>
      <c r="N67" s="1743">
        <v>4526</v>
      </c>
      <c r="O67" s="1743">
        <v>27955</v>
      </c>
      <c r="P67" s="565">
        <f t="shared" si="0"/>
        <v>215826</v>
      </c>
    </row>
    <row r="68" spans="1:16" ht="17.100000000000001" customHeight="1">
      <c r="A68" s="563">
        <v>71</v>
      </c>
      <c r="B68" s="564" t="s">
        <v>451</v>
      </c>
      <c r="C68" s="984">
        <v>7136</v>
      </c>
      <c r="D68" s="982">
        <v>15005</v>
      </c>
      <c r="E68" s="982">
        <v>17851</v>
      </c>
      <c r="F68" s="982">
        <v>12603</v>
      </c>
      <c r="G68" s="982">
        <f>(29332+2576)+0</f>
        <v>31908</v>
      </c>
      <c r="H68" s="982">
        <v>14876</v>
      </c>
      <c r="I68" s="982">
        <v>12062</v>
      </c>
      <c r="J68" s="1743">
        <v>11900</v>
      </c>
      <c r="K68" s="1743">
        <v>15950</v>
      </c>
      <c r="L68" s="1743">
        <v>5428</v>
      </c>
      <c r="M68" s="1743">
        <v>5449</v>
      </c>
      <c r="N68" s="1743">
        <v>1895</v>
      </c>
      <c r="O68" s="1743">
        <v>0</v>
      </c>
      <c r="P68" s="565">
        <f t="shared" si="0"/>
        <v>152063</v>
      </c>
    </row>
    <row r="69" spans="1:16" ht="17.100000000000001" customHeight="1">
      <c r="A69" s="563">
        <v>72</v>
      </c>
      <c r="B69" s="564" t="s">
        <v>143</v>
      </c>
      <c r="C69" s="984">
        <v>257</v>
      </c>
      <c r="D69" s="982">
        <v>539</v>
      </c>
      <c r="E69" s="982">
        <v>587</v>
      </c>
      <c r="F69" s="982">
        <v>524</v>
      </c>
      <c r="G69" s="982">
        <v>957</v>
      </c>
      <c r="H69" s="982">
        <v>607</v>
      </c>
      <c r="I69" s="982">
        <v>878</v>
      </c>
      <c r="J69" s="1743">
        <v>935</v>
      </c>
      <c r="K69" s="1743">
        <v>2082</v>
      </c>
      <c r="L69" s="1743">
        <v>1752</v>
      </c>
      <c r="M69" s="1743">
        <v>816</v>
      </c>
      <c r="N69" s="1743">
        <v>941</v>
      </c>
      <c r="O69" s="1743">
        <v>1266</v>
      </c>
      <c r="P69" s="565">
        <f t="shared" si="0"/>
        <v>12141</v>
      </c>
    </row>
    <row r="70" spans="1:16" ht="17.100000000000001" customHeight="1">
      <c r="A70" s="563">
        <v>73</v>
      </c>
      <c r="B70" s="564" t="s">
        <v>144</v>
      </c>
      <c r="C70" s="984">
        <v>2201</v>
      </c>
      <c r="D70" s="982">
        <v>5071</v>
      </c>
      <c r="E70" s="982">
        <v>5464</v>
      </c>
      <c r="F70" s="982">
        <v>3617</v>
      </c>
      <c r="G70" s="982">
        <f>(341+6119)+0</f>
        <v>6460</v>
      </c>
      <c r="H70" s="982">
        <v>3629</v>
      </c>
      <c r="I70" s="982">
        <v>6478</v>
      </c>
      <c r="J70" s="1743">
        <v>5852</v>
      </c>
      <c r="K70" s="1743">
        <v>5949</v>
      </c>
      <c r="L70" s="1743">
        <v>4543</v>
      </c>
      <c r="M70" s="1743">
        <v>1424</v>
      </c>
      <c r="N70" s="1743">
        <v>0</v>
      </c>
      <c r="O70" s="1743">
        <v>5778</v>
      </c>
      <c r="P70" s="565">
        <f t="shared" ref="P70:P93" si="1">SUM(C70:O70)</f>
        <v>56466</v>
      </c>
    </row>
    <row r="71" spans="1:16" ht="17.100000000000001" customHeight="1">
      <c r="A71" s="563">
        <v>74</v>
      </c>
      <c r="B71" s="564" t="s">
        <v>770</v>
      </c>
      <c r="C71" s="984">
        <v>3122</v>
      </c>
      <c r="D71" s="982">
        <v>5120</v>
      </c>
      <c r="E71" s="982">
        <v>5402</v>
      </c>
      <c r="F71" s="982">
        <v>3612</v>
      </c>
      <c r="G71" s="982">
        <v>6437</v>
      </c>
      <c r="H71" s="982">
        <v>2569</v>
      </c>
      <c r="I71" s="982">
        <v>2775</v>
      </c>
      <c r="J71" s="1743">
        <v>1876</v>
      </c>
      <c r="K71" s="1743">
        <v>1008</v>
      </c>
      <c r="L71" s="1743">
        <v>1225</v>
      </c>
      <c r="M71" s="1743">
        <v>1449</v>
      </c>
      <c r="N71" s="1743">
        <v>845</v>
      </c>
      <c r="O71" s="1743">
        <v>7614</v>
      </c>
      <c r="P71" s="565">
        <f t="shared" si="1"/>
        <v>43054</v>
      </c>
    </row>
    <row r="72" spans="1:16" ht="17.100000000000001" customHeight="1">
      <c r="A72" s="563">
        <v>75</v>
      </c>
      <c r="B72" s="564" t="s">
        <v>723</v>
      </c>
      <c r="C72" s="984">
        <v>1166</v>
      </c>
      <c r="D72" s="982">
        <v>1604</v>
      </c>
      <c r="E72" s="982">
        <v>893</v>
      </c>
      <c r="F72" s="982">
        <v>409</v>
      </c>
      <c r="G72" s="982">
        <f>(811-341)+0</f>
        <v>470</v>
      </c>
      <c r="H72" s="982">
        <v>327</v>
      </c>
      <c r="I72" s="982">
        <v>388</v>
      </c>
      <c r="J72" s="1743">
        <v>413</v>
      </c>
      <c r="K72" s="1743">
        <v>798</v>
      </c>
      <c r="L72" s="1743">
        <v>404</v>
      </c>
      <c r="M72" s="1743">
        <v>0</v>
      </c>
      <c r="N72" s="1743">
        <v>0</v>
      </c>
      <c r="O72" s="1743">
        <v>0</v>
      </c>
      <c r="P72" s="565">
        <f t="shared" si="1"/>
        <v>6872</v>
      </c>
    </row>
    <row r="73" spans="1:16" ht="17.100000000000001" customHeight="1">
      <c r="A73" s="563">
        <v>77</v>
      </c>
      <c r="B73" s="564" t="s">
        <v>462</v>
      </c>
      <c r="C73" s="984">
        <v>2363</v>
      </c>
      <c r="D73" s="982">
        <v>3690</v>
      </c>
      <c r="E73" s="982">
        <v>3080</v>
      </c>
      <c r="F73" s="982">
        <v>2057</v>
      </c>
      <c r="G73" s="982">
        <v>3789</v>
      </c>
      <c r="H73" s="982">
        <v>1603</v>
      </c>
      <c r="I73" s="982">
        <v>2099</v>
      </c>
      <c r="J73" s="1743">
        <v>2959</v>
      </c>
      <c r="K73" s="1743">
        <v>4041</v>
      </c>
      <c r="L73" s="1743">
        <v>750</v>
      </c>
      <c r="M73" s="1743">
        <v>0</v>
      </c>
      <c r="N73" s="1743">
        <v>0</v>
      </c>
      <c r="O73" s="1743">
        <v>3082</v>
      </c>
      <c r="P73" s="565">
        <f t="shared" si="1"/>
        <v>29513</v>
      </c>
    </row>
    <row r="74" spans="1:16" ht="17.100000000000001" customHeight="1">
      <c r="A74" s="563">
        <v>78</v>
      </c>
      <c r="B74" s="564" t="s">
        <v>520</v>
      </c>
      <c r="C74" s="984">
        <v>393</v>
      </c>
      <c r="D74" s="982">
        <v>751</v>
      </c>
      <c r="E74" s="982">
        <v>1146</v>
      </c>
      <c r="F74" s="982">
        <v>911</v>
      </c>
      <c r="G74" s="982">
        <v>2432</v>
      </c>
      <c r="H74" s="982">
        <v>2866</v>
      </c>
      <c r="I74" s="982">
        <v>6064</v>
      </c>
      <c r="J74" s="1743">
        <v>5640</v>
      </c>
      <c r="K74" s="1743">
        <v>9776</v>
      </c>
      <c r="L74" s="1743">
        <v>11648</v>
      </c>
      <c r="M74" s="1743">
        <v>4067</v>
      </c>
      <c r="N74" s="1743">
        <v>1926</v>
      </c>
      <c r="O74" s="1743">
        <v>22542</v>
      </c>
      <c r="P74" s="565">
        <f t="shared" si="1"/>
        <v>70162</v>
      </c>
    </row>
    <row r="75" spans="1:16" ht="17.100000000000001" customHeight="1">
      <c r="A75" s="563">
        <v>79</v>
      </c>
      <c r="B75" s="564" t="s">
        <v>426</v>
      </c>
      <c r="C75" s="984">
        <v>2700</v>
      </c>
      <c r="D75" s="982">
        <v>5458</v>
      </c>
      <c r="E75" s="982">
        <v>5656</v>
      </c>
      <c r="F75" s="982">
        <v>3576</v>
      </c>
      <c r="G75" s="982">
        <v>6570</v>
      </c>
      <c r="H75" s="982">
        <v>3578</v>
      </c>
      <c r="I75" s="982">
        <v>4128</v>
      </c>
      <c r="J75" s="1743">
        <v>3532</v>
      </c>
      <c r="K75" s="1743">
        <v>5556</v>
      </c>
      <c r="L75" s="1743">
        <v>3174</v>
      </c>
      <c r="M75" s="1743">
        <v>1539</v>
      </c>
      <c r="N75" s="1743">
        <v>0</v>
      </c>
      <c r="O75" s="1743">
        <v>0</v>
      </c>
      <c r="P75" s="565">
        <f t="shared" si="1"/>
        <v>45467</v>
      </c>
    </row>
    <row r="76" spans="1:16" ht="17.100000000000001" customHeight="1">
      <c r="A76" s="563">
        <v>80</v>
      </c>
      <c r="B76" s="564" t="s">
        <v>602</v>
      </c>
      <c r="C76" s="984">
        <v>4325</v>
      </c>
      <c r="D76" s="982">
        <v>12359</v>
      </c>
      <c r="E76" s="982">
        <f>18973</f>
        <v>18973</v>
      </c>
      <c r="F76" s="982">
        <v>14217</v>
      </c>
      <c r="G76" s="982">
        <v>27407</v>
      </c>
      <c r="H76" s="982">
        <v>16595</v>
      </c>
      <c r="I76" s="982">
        <v>23806</v>
      </c>
      <c r="J76" s="1743">
        <v>38914</v>
      </c>
      <c r="K76" s="1743">
        <v>53718</v>
      </c>
      <c r="L76" s="1743">
        <v>43692</v>
      </c>
      <c r="M76" s="1743">
        <v>18039</v>
      </c>
      <c r="N76" s="1743">
        <v>5617</v>
      </c>
      <c r="O76" s="1743">
        <v>19836</v>
      </c>
      <c r="P76" s="565">
        <f t="shared" si="1"/>
        <v>297498</v>
      </c>
    </row>
    <row r="77" spans="1:16" ht="17.100000000000001" customHeight="1">
      <c r="A77" s="563">
        <v>81</v>
      </c>
      <c r="B77" s="564" t="s">
        <v>603</v>
      </c>
      <c r="C77" s="984">
        <v>24755</v>
      </c>
      <c r="D77" s="982">
        <v>23569</v>
      </c>
      <c r="E77" s="982">
        <v>31640</v>
      </c>
      <c r="F77" s="982">
        <v>21172</v>
      </c>
      <c r="G77" s="982">
        <v>52579</v>
      </c>
      <c r="H77" s="982">
        <v>32659</v>
      </c>
      <c r="I77" s="982">
        <v>53389</v>
      </c>
      <c r="J77" s="1743">
        <v>80002</v>
      </c>
      <c r="K77" s="1743">
        <v>142726</v>
      </c>
      <c r="L77" s="1743">
        <v>122301</v>
      </c>
      <c r="M77" s="1743">
        <v>43303</v>
      </c>
      <c r="N77" s="1743">
        <v>19694</v>
      </c>
      <c r="O77" s="1743">
        <v>70950</v>
      </c>
      <c r="P77" s="565">
        <f t="shared" si="1"/>
        <v>718739</v>
      </c>
    </row>
    <row r="78" spans="1:16" ht="17.100000000000001" customHeight="1">
      <c r="A78" s="563">
        <v>82</v>
      </c>
      <c r="B78" s="564" t="s">
        <v>364</v>
      </c>
      <c r="C78" s="984">
        <v>17804</v>
      </c>
      <c r="D78" s="982">
        <v>33870</v>
      </c>
      <c r="E78" s="982">
        <f>33965+525</f>
        <v>34490</v>
      </c>
      <c r="F78" s="982">
        <v>20719</v>
      </c>
      <c r="G78" s="982">
        <v>40634</v>
      </c>
      <c r="H78" s="982">
        <v>30402</v>
      </c>
      <c r="I78" s="982">
        <v>29757</v>
      </c>
      <c r="J78" s="1743">
        <v>34366</v>
      </c>
      <c r="K78" s="1743">
        <v>44950</v>
      </c>
      <c r="L78" s="1743">
        <v>35860</v>
      </c>
      <c r="M78" s="1743">
        <f>30384-525</f>
        <v>29859</v>
      </c>
      <c r="N78" s="1743">
        <v>13759</v>
      </c>
      <c r="O78" s="1743">
        <v>40360</v>
      </c>
      <c r="P78" s="565">
        <f t="shared" si="1"/>
        <v>406830</v>
      </c>
    </row>
    <row r="79" spans="1:16" ht="17.100000000000001" customHeight="1">
      <c r="A79" s="563">
        <v>84</v>
      </c>
      <c r="B79" s="564" t="s">
        <v>766</v>
      </c>
      <c r="C79" s="984">
        <v>633</v>
      </c>
      <c r="D79" s="982">
        <v>1560</v>
      </c>
      <c r="E79" s="982">
        <v>2026</v>
      </c>
      <c r="F79" s="982">
        <v>1861</v>
      </c>
      <c r="G79" s="982">
        <v>5603</v>
      </c>
      <c r="H79" s="982">
        <v>5355</v>
      </c>
      <c r="I79" s="982">
        <v>7148</v>
      </c>
      <c r="J79" s="1743">
        <v>13823</v>
      </c>
      <c r="K79" s="1743">
        <v>10740</v>
      </c>
      <c r="L79" s="1743">
        <v>9848</v>
      </c>
      <c r="M79" s="1743">
        <v>4142</v>
      </c>
      <c r="N79" s="1743">
        <v>10196</v>
      </c>
      <c r="O79" s="1743">
        <v>4974</v>
      </c>
      <c r="P79" s="565">
        <f t="shared" si="1"/>
        <v>77909</v>
      </c>
    </row>
    <row r="80" spans="1:16" s="1715" customFormat="1" ht="17.100000000000001" customHeight="1">
      <c r="A80" s="563">
        <v>85</v>
      </c>
      <c r="B80" s="564" t="s">
        <v>516</v>
      </c>
      <c r="C80" s="984">
        <v>5717</v>
      </c>
      <c r="D80" s="982">
        <v>16328</v>
      </c>
      <c r="E80" s="982">
        <v>32932</v>
      </c>
      <c r="F80" s="982">
        <v>31577</v>
      </c>
      <c r="G80" s="982">
        <v>70412</v>
      </c>
      <c r="H80" s="982">
        <v>48601</v>
      </c>
      <c r="I80" s="982">
        <v>68786</v>
      </c>
      <c r="J80" s="1743">
        <v>69811</v>
      </c>
      <c r="K80" s="1743">
        <v>75375</v>
      </c>
      <c r="L80" s="1743">
        <v>30714</v>
      </c>
      <c r="M80" s="1743">
        <v>13759</v>
      </c>
      <c r="N80" s="1743">
        <v>5883</v>
      </c>
      <c r="O80" s="1743">
        <v>18199</v>
      </c>
      <c r="P80" s="565">
        <f t="shared" si="1"/>
        <v>488094</v>
      </c>
    </row>
    <row r="81" spans="1:16" ht="17.100000000000001" customHeight="1">
      <c r="A81" s="563">
        <v>86</v>
      </c>
      <c r="B81" s="564" t="s">
        <v>849</v>
      </c>
      <c r="C81" s="984">
        <v>9267</v>
      </c>
      <c r="D81" s="982">
        <f>15072-570</f>
        <v>14502</v>
      </c>
      <c r="E81" s="982">
        <v>12216</v>
      </c>
      <c r="F81" s="982">
        <v>8030</v>
      </c>
      <c r="G81" s="982">
        <v>20854</v>
      </c>
      <c r="H81" s="982">
        <v>10854</v>
      </c>
      <c r="I81" s="982">
        <v>15265</v>
      </c>
      <c r="J81" s="1743">
        <v>27468</v>
      </c>
      <c r="K81" s="1743">
        <v>53591</v>
      </c>
      <c r="L81" s="1743">
        <v>63179</v>
      </c>
      <c r="M81" s="1743">
        <v>23551</v>
      </c>
      <c r="N81" s="1743">
        <v>12795</v>
      </c>
      <c r="O81" s="1743">
        <v>18113</v>
      </c>
      <c r="P81" s="565">
        <f t="shared" si="1"/>
        <v>289685</v>
      </c>
    </row>
    <row r="82" spans="1:16" ht="17.100000000000001" customHeight="1">
      <c r="A82" s="563">
        <v>87</v>
      </c>
      <c r="B82" s="564" t="s">
        <v>654</v>
      </c>
      <c r="C82" s="984">
        <v>401</v>
      </c>
      <c r="D82" s="982">
        <v>377</v>
      </c>
      <c r="E82" s="982">
        <v>829</v>
      </c>
      <c r="F82" s="982">
        <v>713</v>
      </c>
      <c r="G82" s="982">
        <v>3207</v>
      </c>
      <c r="H82" s="982">
        <v>3239</v>
      </c>
      <c r="I82" s="982">
        <v>5491</v>
      </c>
      <c r="J82" s="1743">
        <v>4861</v>
      </c>
      <c r="K82" s="1743">
        <v>3139</v>
      </c>
      <c r="L82" s="1743">
        <v>919</v>
      </c>
      <c r="M82" s="1743">
        <v>833</v>
      </c>
      <c r="N82" s="1743">
        <v>926</v>
      </c>
      <c r="O82" s="1743">
        <v>1593</v>
      </c>
      <c r="P82" s="565">
        <f t="shared" si="1"/>
        <v>26528</v>
      </c>
    </row>
    <row r="83" spans="1:16" ht="17.100000000000001" customHeight="1">
      <c r="A83" s="563">
        <v>88</v>
      </c>
      <c r="B83" s="564" t="s">
        <v>367</v>
      </c>
      <c r="C83" s="984">
        <v>509</v>
      </c>
      <c r="D83" s="982">
        <v>1353</v>
      </c>
      <c r="E83" s="982">
        <v>5143</v>
      </c>
      <c r="F83" s="982">
        <v>5978</v>
      </c>
      <c r="G83" s="982">
        <v>13476</v>
      </c>
      <c r="H83" s="982">
        <v>7131</v>
      </c>
      <c r="I83" s="982">
        <v>4786</v>
      </c>
      <c r="J83" s="1743">
        <v>2508</v>
      </c>
      <c r="K83" s="1743">
        <v>2925</v>
      </c>
      <c r="L83" s="1743">
        <v>3142</v>
      </c>
      <c r="M83" s="1743">
        <v>789</v>
      </c>
      <c r="N83" s="1743">
        <v>0</v>
      </c>
      <c r="O83" s="1743">
        <v>0</v>
      </c>
      <c r="P83" s="565">
        <f t="shared" si="1"/>
        <v>47740</v>
      </c>
    </row>
    <row r="84" spans="1:16" ht="17.100000000000001" customHeight="1">
      <c r="A84" s="563">
        <v>90</v>
      </c>
      <c r="B84" s="564" t="s">
        <v>261</v>
      </c>
      <c r="C84" s="984">
        <v>548</v>
      </c>
      <c r="D84" s="982">
        <v>789</v>
      </c>
      <c r="E84" s="982">
        <v>861</v>
      </c>
      <c r="F84" s="982">
        <v>723</v>
      </c>
      <c r="G84" s="982">
        <v>1652</v>
      </c>
      <c r="H84" s="982">
        <v>921</v>
      </c>
      <c r="I84" s="982">
        <v>1075</v>
      </c>
      <c r="J84" s="1743">
        <v>874</v>
      </c>
      <c r="K84" s="1743">
        <v>2630</v>
      </c>
      <c r="L84" s="1743">
        <v>2565</v>
      </c>
      <c r="M84" s="1743">
        <v>0</v>
      </c>
      <c r="N84" s="1743">
        <v>0</v>
      </c>
      <c r="O84" s="1743">
        <v>0</v>
      </c>
      <c r="P84" s="565">
        <f t="shared" si="1"/>
        <v>12638</v>
      </c>
    </row>
    <row r="85" spans="1:16" ht="17.100000000000001" customHeight="1">
      <c r="A85" s="563">
        <v>91</v>
      </c>
      <c r="B85" s="564" t="s">
        <v>262</v>
      </c>
      <c r="C85" s="984">
        <v>99</v>
      </c>
      <c r="D85" s="982">
        <v>169</v>
      </c>
      <c r="E85" s="982">
        <v>177</v>
      </c>
      <c r="F85" s="982">
        <v>108</v>
      </c>
      <c r="G85" s="982">
        <v>327</v>
      </c>
      <c r="H85" s="982">
        <v>229</v>
      </c>
      <c r="I85" s="982">
        <v>539</v>
      </c>
      <c r="J85" s="1743">
        <v>300</v>
      </c>
      <c r="K85" s="1743">
        <v>559</v>
      </c>
      <c r="L85" s="1743">
        <v>347</v>
      </c>
      <c r="M85" s="1743">
        <v>0</v>
      </c>
      <c r="N85" s="1743">
        <v>0</v>
      </c>
      <c r="O85" s="1743">
        <v>0</v>
      </c>
      <c r="P85" s="565">
        <f t="shared" si="1"/>
        <v>2854</v>
      </c>
    </row>
    <row r="86" spans="1:16" ht="17.100000000000001" customHeight="1">
      <c r="A86" s="563">
        <v>92</v>
      </c>
      <c r="B86" s="564" t="s">
        <v>263</v>
      </c>
      <c r="C86" s="984">
        <v>1851</v>
      </c>
      <c r="D86" s="982">
        <v>2386</v>
      </c>
      <c r="E86" s="982">
        <v>1065</v>
      </c>
      <c r="F86" s="982">
        <v>405</v>
      </c>
      <c r="G86" s="982">
        <v>556</v>
      </c>
      <c r="H86" s="982">
        <v>408</v>
      </c>
      <c r="I86" s="982">
        <v>107</v>
      </c>
      <c r="J86" s="1743">
        <v>503</v>
      </c>
      <c r="K86" s="1743">
        <v>578</v>
      </c>
      <c r="L86" s="1743">
        <v>0</v>
      </c>
      <c r="M86" s="1743">
        <v>0</v>
      </c>
      <c r="N86" s="1743">
        <v>0</v>
      </c>
      <c r="O86" s="1743">
        <v>0</v>
      </c>
      <c r="P86" s="565">
        <f t="shared" si="1"/>
        <v>7859</v>
      </c>
    </row>
    <row r="87" spans="1:16" ht="17.100000000000001" customHeight="1">
      <c r="A87" s="563">
        <v>93</v>
      </c>
      <c r="B87" s="564" t="s">
        <v>264</v>
      </c>
      <c r="C87" s="984">
        <v>3012</v>
      </c>
      <c r="D87" s="982">
        <v>5008</v>
      </c>
      <c r="E87" s="982">
        <v>4280</v>
      </c>
      <c r="F87" s="982">
        <v>2924</v>
      </c>
      <c r="G87" s="982">
        <v>5938</v>
      </c>
      <c r="H87" s="982">
        <v>4301</v>
      </c>
      <c r="I87" s="982">
        <v>6757</v>
      </c>
      <c r="J87" s="1743">
        <v>5599</v>
      </c>
      <c r="K87" s="1743">
        <v>5434</v>
      </c>
      <c r="L87" s="1743">
        <v>569</v>
      </c>
      <c r="M87" s="1743">
        <v>622</v>
      </c>
      <c r="N87" s="1743">
        <v>0</v>
      </c>
      <c r="O87" s="1743">
        <v>1706</v>
      </c>
      <c r="P87" s="565">
        <f t="shared" si="1"/>
        <v>46150</v>
      </c>
    </row>
    <row r="88" spans="1:16" ht="17.100000000000001" customHeight="1">
      <c r="A88" s="563">
        <v>94</v>
      </c>
      <c r="B88" s="564" t="s">
        <v>0</v>
      </c>
      <c r="C88" s="984">
        <v>4558</v>
      </c>
      <c r="D88" s="982">
        <v>5970</v>
      </c>
      <c r="E88" s="982">
        <v>6659</v>
      </c>
      <c r="F88" s="982">
        <v>3668</v>
      </c>
      <c r="G88" s="982">
        <v>6108</v>
      </c>
      <c r="H88" s="982">
        <v>3841</v>
      </c>
      <c r="I88" s="982">
        <v>5055</v>
      </c>
      <c r="J88" s="1743">
        <v>6397</v>
      </c>
      <c r="K88" s="1743">
        <v>5110</v>
      </c>
      <c r="L88" s="1743">
        <v>1669</v>
      </c>
      <c r="M88" s="1743">
        <v>0</v>
      </c>
      <c r="N88" s="1743">
        <v>0</v>
      </c>
      <c r="O88" s="1743">
        <v>0</v>
      </c>
      <c r="P88" s="565">
        <f t="shared" si="1"/>
        <v>49035</v>
      </c>
    </row>
    <row r="89" spans="1:16" ht="17.100000000000001" customHeight="1">
      <c r="A89" s="563">
        <v>95</v>
      </c>
      <c r="B89" s="564" t="s">
        <v>25</v>
      </c>
      <c r="C89" s="984">
        <v>4671</v>
      </c>
      <c r="D89" s="982">
        <v>7546</v>
      </c>
      <c r="E89" s="982">
        <v>7034</v>
      </c>
      <c r="F89" s="982">
        <v>4221</v>
      </c>
      <c r="G89" s="982">
        <v>10727</v>
      </c>
      <c r="H89" s="982">
        <v>6110</v>
      </c>
      <c r="I89" s="982">
        <v>5532</v>
      </c>
      <c r="J89" s="1743">
        <v>2284</v>
      </c>
      <c r="K89" s="1743">
        <v>5440</v>
      </c>
      <c r="L89" s="1743">
        <v>4532</v>
      </c>
      <c r="M89" s="1743">
        <v>4012</v>
      </c>
      <c r="N89" s="1743">
        <v>926</v>
      </c>
      <c r="O89" s="1743">
        <v>0</v>
      </c>
      <c r="P89" s="565">
        <f t="shared" si="1"/>
        <v>63035</v>
      </c>
    </row>
    <row r="90" spans="1:16" ht="17.100000000000001" customHeight="1">
      <c r="A90" s="563">
        <v>96</v>
      </c>
      <c r="B90" s="564" t="s">
        <v>229</v>
      </c>
      <c r="C90" s="984">
        <v>13969</v>
      </c>
      <c r="D90" s="982">
        <v>19036</v>
      </c>
      <c r="E90" s="982">
        <v>15840</v>
      </c>
      <c r="F90" s="982">
        <v>8737</v>
      </c>
      <c r="G90" s="982">
        <v>13226</v>
      </c>
      <c r="H90" s="982">
        <v>5369</v>
      </c>
      <c r="I90" s="982">
        <v>5759</v>
      </c>
      <c r="J90" s="1743">
        <v>5420</v>
      </c>
      <c r="K90" s="1743">
        <v>6502</v>
      </c>
      <c r="L90" s="1743">
        <v>5730</v>
      </c>
      <c r="M90" s="1743">
        <v>1914</v>
      </c>
      <c r="N90" s="1743">
        <v>837</v>
      </c>
      <c r="O90" s="1743">
        <v>0</v>
      </c>
      <c r="P90" s="565">
        <f t="shared" si="1"/>
        <v>102339</v>
      </c>
    </row>
    <row r="91" spans="1:16" ht="17.100000000000001" customHeight="1">
      <c r="A91" s="563">
        <v>97</v>
      </c>
      <c r="B91" s="564" t="s">
        <v>853</v>
      </c>
      <c r="C91" s="984">
        <v>16665</v>
      </c>
      <c r="D91" s="982">
        <f>2099+570</f>
        <v>2669</v>
      </c>
      <c r="E91" s="982">
        <v>924</v>
      </c>
      <c r="F91" s="982">
        <v>209</v>
      </c>
      <c r="G91" s="982">
        <v>252</v>
      </c>
      <c r="H91" s="982">
        <v>20</v>
      </c>
      <c r="I91" s="982">
        <v>32</v>
      </c>
      <c r="J91" s="1743">
        <v>0</v>
      </c>
      <c r="K91" s="1743">
        <v>0</v>
      </c>
      <c r="L91" s="1743">
        <v>0</v>
      </c>
      <c r="M91" s="1743">
        <v>0</v>
      </c>
      <c r="N91" s="1743">
        <v>0</v>
      </c>
      <c r="O91" s="1743">
        <v>0</v>
      </c>
      <c r="P91" s="565">
        <f t="shared" si="1"/>
        <v>20771</v>
      </c>
    </row>
    <row r="92" spans="1:16" ht="17.100000000000001" customHeight="1">
      <c r="A92" s="563">
        <v>98</v>
      </c>
      <c r="B92" s="564" t="s">
        <v>854</v>
      </c>
      <c r="C92" s="984">
        <v>336</v>
      </c>
      <c r="D92" s="982">
        <v>111</v>
      </c>
      <c r="E92" s="982">
        <v>122</v>
      </c>
      <c r="F92" s="982">
        <v>73</v>
      </c>
      <c r="G92" s="982">
        <v>72</v>
      </c>
      <c r="H92" s="982">
        <v>48</v>
      </c>
      <c r="I92" s="982">
        <v>125</v>
      </c>
      <c r="J92" s="1743">
        <v>0</v>
      </c>
      <c r="K92" s="1743">
        <v>0</v>
      </c>
      <c r="L92" s="1743">
        <v>0</v>
      </c>
      <c r="M92" s="1743">
        <v>705</v>
      </c>
      <c r="N92" s="1743">
        <v>0</v>
      </c>
      <c r="O92" s="1743">
        <v>0</v>
      </c>
      <c r="P92" s="565">
        <f t="shared" si="1"/>
        <v>1592</v>
      </c>
    </row>
    <row r="93" spans="1:16" ht="17.100000000000001" customHeight="1">
      <c r="A93" s="566">
        <v>99</v>
      </c>
      <c r="B93" s="567" t="s">
        <v>855</v>
      </c>
      <c r="C93" s="985">
        <v>119</v>
      </c>
      <c r="D93" s="982">
        <v>234</v>
      </c>
      <c r="E93" s="982">
        <v>388</v>
      </c>
      <c r="F93" s="982">
        <v>320</v>
      </c>
      <c r="G93" s="982">
        <v>807</v>
      </c>
      <c r="H93" s="982">
        <v>273</v>
      </c>
      <c r="I93" s="982">
        <v>431</v>
      </c>
      <c r="J93" s="1743">
        <v>758</v>
      </c>
      <c r="K93" s="1743">
        <v>387</v>
      </c>
      <c r="L93" s="1743">
        <v>321</v>
      </c>
      <c r="M93" s="1743">
        <v>0</v>
      </c>
      <c r="N93" s="1743">
        <v>0</v>
      </c>
      <c r="O93" s="1743">
        <v>0</v>
      </c>
      <c r="P93" s="704">
        <f t="shared" si="1"/>
        <v>4038</v>
      </c>
    </row>
    <row r="94" spans="1:16" ht="15" customHeight="1" thickBot="1">
      <c r="A94" s="2011" t="s">
        <v>885</v>
      </c>
      <c r="B94" s="2012"/>
      <c r="C94" s="555">
        <f>SUM(C6:C93)</f>
        <v>623379</v>
      </c>
      <c r="D94" s="555">
        <f t="shared" ref="D94:E94" si="2">SUM(D6:D93)</f>
        <v>1087461</v>
      </c>
      <c r="E94" s="555">
        <f t="shared" si="2"/>
        <v>1254642</v>
      </c>
      <c r="F94" s="555">
        <f t="shared" ref="F94:O94" si="3">SUM(F6:F93)</f>
        <v>845266</v>
      </c>
      <c r="G94" s="555">
        <f t="shared" si="3"/>
        <v>1666099</v>
      </c>
      <c r="H94" s="555">
        <f t="shared" si="3"/>
        <v>964365</v>
      </c>
      <c r="I94" s="555">
        <f t="shared" si="3"/>
        <v>1199598</v>
      </c>
      <c r="J94" s="1744">
        <f t="shared" si="3"/>
        <v>1313435</v>
      </c>
      <c r="K94" s="555">
        <f t="shared" si="3"/>
        <v>1780640</v>
      </c>
      <c r="L94" s="555">
        <f t="shared" si="3"/>
        <v>1251453</v>
      </c>
      <c r="M94" s="555">
        <f t="shared" si="3"/>
        <v>580873</v>
      </c>
      <c r="N94" s="555">
        <f t="shared" si="3"/>
        <v>301063</v>
      </c>
      <c r="O94" s="555">
        <f t="shared" si="3"/>
        <v>981085</v>
      </c>
      <c r="P94" s="568">
        <f>SUM(P6:P93)</f>
        <v>13849359</v>
      </c>
    </row>
  </sheetData>
  <mergeCells count="8">
    <mergeCell ref="A94:B94"/>
    <mergeCell ref="A1:P1"/>
    <mergeCell ref="A3:A5"/>
    <mergeCell ref="C3:O3"/>
    <mergeCell ref="C4:O4"/>
    <mergeCell ref="B3:B5"/>
    <mergeCell ref="P3:P5"/>
    <mergeCell ref="N2:P2"/>
  </mergeCells>
  <phoneticPr fontId="7" type="noConversion"/>
  <printOptions horizontalCentered="1" verticalCentered="1"/>
  <pageMargins left="0.31496062992125984" right="0" top="0.19685039370078741" bottom="0.19685039370078741" header="0.31496062992125984" footer="0.31496062992125984"/>
  <pageSetup paperSize="9" scale="52"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ayfa4">
    <tabColor theme="0" tint="-0.14999847407452621"/>
  </sheetPr>
  <dimension ref="A1:X252"/>
  <sheetViews>
    <sheetView showGridLines="0" zoomScaleNormal="100" workbookViewId="0">
      <selection activeCell="A3" sqref="A3"/>
    </sheetView>
  </sheetViews>
  <sheetFormatPr defaultRowHeight="20.100000000000001" customHeight="1"/>
  <cols>
    <col min="1" max="1" width="20.5703125" style="17" customWidth="1"/>
    <col min="2" max="4" width="16.7109375" style="17" customWidth="1"/>
    <col min="5" max="5" width="11.7109375" style="17" customWidth="1"/>
    <col min="6" max="6" width="16.7109375" style="17" customWidth="1"/>
    <col min="7" max="7" width="9.140625" style="835"/>
    <col min="8" max="8" width="11.28515625" style="832" bestFit="1" customWidth="1"/>
    <col min="9" max="24" width="9.140625" style="832"/>
    <col min="25" max="16384" width="9.140625" style="17"/>
  </cols>
  <sheetData>
    <row r="1" spans="1:24" ht="20.100000000000001" customHeight="1">
      <c r="A1" s="323" t="s">
        <v>281</v>
      </c>
      <c r="C1" s="18"/>
      <c r="D1" s="18"/>
      <c r="E1" s="18"/>
    </row>
    <row r="2" spans="1:24" ht="20.100000000000001" customHeight="1">
      <c r="A2" s="324" t="s">
        <v>963</v>
      </c>
      <c r="B2" s="9"/>
      <c r="C2" s="12"/>
      <c r="D2" s="9"/>
      <c r="E2" s="9"/>
      <c r="F2" s="9"/>
    </row>
    <row r="3" spans="1:24" ht="20.100000000000001" customHeight="1" thickBot="1">
      <c r="A3" s="8"/>
      <c r="B3" s="8"/>
      <c r="C3" s="8"/>
      <c r="D3" s="8"/>
      <c r="E3" s="8"/>
      <c r="F3" s="8"/>
    </row>
    <row r="4" spans="1:24" ht="20.100000000000001" customHeight="1">
      <c r="A4" s="655"/>
      <c r="B4" s="656" t="s">
        <v>719</v>
      </c>
      <c r="C4" s="656" t="s">
        <v>247</v>
      </c>
      <c r="D4" s="656" t="s">
        <v>117</v>
      </c>
      <c r="E4" s="1751" t="s">
        <v>1101</v>
      </c>
      <c r="F4" s="657" t="s">
        <v>720</v>
      </c>
    </row>
    <row r="5" spans="1:24" ht="20.100000000000001" customHeight="1" thickBot="1">
      <c r="A5" s="658"/>
      <c r="B5" s="659" t="s">
        <v>211</v>
      </c>
      <c r="C5" s="659" t="s">
        <v>613</v>
      </c>
      <c r="D5" s="659" t="s">
        <v>118</v>
      </c>
      <c r="E5" s="1752"/>
      <c r="F5" s="660" t="s">
        <v>868</v>
      </c>
    </row>
    <row r="6" spans="1:24" s="325" customFormat="1" ht="50.1" customHeight="1">
      <c r="A6" s="703" t="s">
        <v>964</v>
      </c>
      <c r="B6" s="327">
        <v>2549</v>
      </c>
      <c r="C6" s="327">
        <f>71+58</f>
        <v>129</v>
      </c>
      <c r="D6" s="327">
        <v>17</v>
      </c>
      <c r="E6" s="327"/>
      <c r="F6" s="328">
        <f>+D6+C6+B6</f>
        <v>2695</v>
      </c>
      <c r="G6" s="836"/>
      <c r="H6" s="837"/>
      <c r="I6" s="838"/>
      <c r="J6" s="838"/>
      <c r="K6" s="838"/>
      <c r="L6" s="838"/>
      <c r="M6" s="838"/>
      <c r="N6" s="838"/>
      <c r="O6" s="838"/>
      <c r="P6" s="862"/>
      <c r="Q6" s="838"/>
      <c r="R6" s="838"/>
      <c r="S6" s="838"/>
      <c r="T6" s="838"/>
      <c r="U6" s="838"/>
      <c r="V6" s="838"/>
      <c r="W6" s="838"/>
      <c r="X6" s="838"/>
    </row>
    <row r="7" spans="1:24" s="325" customFormat="1" ht="50.1" customHeight="1">
      <c r="A7" s="326" t="s">
        <v>965</v>
      </c>
      <c r="B7" s="327">
        <v>24479</v>
      </c>
      <c r="C7" s="327">
        <v>419</v>
      </c>
      <c r="D7" s="327">
        <v>109</v>
      </c>
      <c r="E7" s="327">
        <v>45</v>
      </c>
      <c r="F7" s="709">
        <f>+B7+D7+C7+E7</f>
        <v>25052</v>
      </c>
      <c r="G7" s="836"/>
      <c r="H7" s="838"/>
      <c r="I7" s="838"/>
      <c r="J7" s="838"/>
      <c r="K7" s="838"/>
      <c r="L7" s="838"/>
      <c r="M7" s="838"/>
      <c r="N7" s="838"/>
      <c r="O7" s="838"/>
      <c r="P7" s="838"/>
      <c r="Q7" s="838"/>
      <c r="R7" s="838"/>
      <c r="S7" s="838"/>
      <c r="T7" s="838"/>
      <c r="U7" s="838"/>
      <c r="V7" s="838"/>
      <c r="W7" s="838"/>
      <c r="X7" s="838"/>
    </row>
    <row r="8" spans="1:24" s="325" customFormat="1" ht="39.950000000000003" customHeight="1" thickBot="1">
      <c r="A8" s="661" t="s">
        <v>966</v>
      </c>
      <c r="B8" s="662">
        <f>+B7+B6</f>
        <v>27028</v>
      </c>
      <c r="C8" s="662">
        <f>+C7+C6</f>
        <v>548</v>
      </c>
      <c r="D8" s="662">
        <f>+D7+D6</f>
        <v>126</v>
      </c>
      <c r="E8" s="662">
        <f>+E7+E6</f>
        <v>45</v>
      </c>
      <c r="F8" s="663">
        <f>+F7+F6</f>
        <v>27747</v>
      </c>
      <c r="G8" s="836"/>
      <c r="H8" s="838"/>
      <c r="I8" s="838"/>
      <c r="J8" s="838"/>
      <c r="K8" s="838"/>
      <c r="L8" s="838"/>
      <c r="M8" s="838"/>
      <c r="N8" s="838"/>
      <c r="O8" s="838"/>
      <c r="P8" s="838"/>
      <c r="Q8" s="838"/>
      <c r="R8" s="838"/>
      <c r="S8" s="838"/>
      <c r="T8" s="838"/>
      <c r="U8" s="838"/>
      <c r="V8" s="838"/>
      <c r="W8" s="838"/>
      <c r="X8" s="838"/>
    </row>
    <row r="9" spans="1:24" s="29" customFormat="1" ht="20.100000000000001" customHeight="1">
      <c r="A9" s="570"/>
      <c r="B9" s="570"/>
      <c r="C9" s="570"/>
      <c r="D9" s="570"/>
      <c r="E9" s="570"/>
      <c r="F9" s="570"/>
      <c r="G9" s="835"/>
      <c r="H9" s="839"/>
      <c r="I9" s="832"/>
      <c r="J9" s="832"/>
      <c r="K9" s="832"/>
      <c r="L9" s="832"/>
      <c r="M9" s="832"/>
      <c r="N9" s="832"/>
      <c r="O9" s="832"/>
      <c r="P9" s="832"/>
      <c r="Q9" s="832"/>
      <c r="R9" s="832"/>
      <c r="S9" s="832"/>
      <c r="T9" s="832"/>
      <c r="U9" s="832"/>
      <c r="V9" s="832"/>
      <c r="W9" s="832"/>
      <c r="X9" s="832"/>
    </row>
    <row r="10" spans="1:24" s="29" customFormat="1" ht="27" customHeight="1">
      <c r="A10" s="809"/>
      <c r="B10" s="810" t="s">
        <v>719</v>
      </c>
      <c r="C10" s="810" t="s">
        <v>247</v>
      </c>
      <c r="D10" s="810" t="s">
        <v>117</v>
      </c>
      <c r="E10" s="810"/>
      <c r="F10" s="810"/>
      <c r="G10" s="835"/>
      <c r="H10" s="832"/>
      <c r="I10" s="832"/>
      <c r="J10" s="832"/>
      <c r="K10" s="832"/>
      <c r="L10" s="832"/>
      <c r="M10" s="832"/>
      <c r="N10" s="832"/>
      <c r="O10" s="832"/>
      <c r="P10" s="832"/>
      <c r="Q10" s="832"/>
      <c r="R10" s="832"/>
      <c r="S10" s="832"/>
      <c r="T10" s="832"/>
      <c r="U10" s="832"/>
      <c r="V10" s="832"/>
      <c r="W10" s="832"/>
      <c r="X10" s="832"/>
    </row>
    <row r="11" spans="1:24" s="29" customFormat="1" ht="20.100000000000001" customHeight="1">
      <c r="A11" s="809"/>
      <c r="B11" s="811" t="s">
        <v>211</v>
      </c>
      <c r="C11" s="811" t="s">
        <v>613</v>
      </c>
      <c r="D11" s="811" t="s">
        <v>118</v>
      </c>
      <c r="E11" s="811"/>
      <c r="F11" s="811"/>
      <c r="G11" s="835"/>
      <c r="H11" s="832"/>
      <c r="I11" s="832"/>
      <c r="J11" s="832"/>
      <c r="K11" s="832"/>
      <c r="L11" s="832"/>
      <c r="M11" s="832"/>
      <c r="N11" s="832"/>
      <c r="O11" s="832"/>
      <c r="P11" s="832"/>
      <c r="Q11" s="832"/>
      <c r="R11" s="832"/>
      <c r="S11" s="832"/>
      <c r="T11" s="832"/>
      <c r="U11" s="832"/>
      <c r="V11" s="832"/>
      <c r="W11" s="832"/>
      <c r="X11" s="832"/>
    </row>
    <row r="12" spans="1:24" s="29" customFormat="1" ht="35.25" customHeight="1">
      <c r="A12" s="812" t="s">
        <v>1130</v>
      </c>
      <c r="B12" s="813">
        <f>+B6/$F$6</f>
        <v>0.94582560296846008</v>
      </c>
      <c r="C12" s="813">
        <f>+C6/$F$6</f>
        <v>4.7866419294990727E-2</v>
      </c>
      <c r="D12" s="813">
        <f>+D6/$F$6</f>
        <v>6.3079777365491647E-3</v>
      </c>
      <c r="E12" s="813"/>
      <c r="F12" s="814"/>
      <c r="G12" s="835"/>
      <c r="H12" s="832"/>
      <c r="I12" s="832"/>
      <c r="J12" s="832"/>
      <c r="K12" s="832"/>
      <c r="L12" s="832"/>
      <c r="M12" s="832"/>
      <c r="N12" s="832"/>
      <c r="O12" s="832"/>
      <c r="P12" s="832"/>
      <c r="Q12" s="832"/>
      <c r="R12" s="832"/>
      <c r="S12" s="832"/>
      <c r="T12" s="832"/>
      <c r="U12" s="832"/>
      <c r="V12" s="832"/>
      <c r="W12" s="832"/>
      <c r="X12" s="832"/>
    </row>
    <row r="13" spans="1:24" s="29" customFormat="1" ht="20.100000000000001" customHeight="1">
      <c r="A13" s="702"/>
      <c r="B13" s="10" t="s">
        <v>729</v>
      </c>
      <c r="C13" s="702"/>
      <c r="D13" s="702"/>
      <c r="E13" s="702"/>
      <c r="F13" s="733"/>
      <c r="G13" s="835"/>
      <c r="H13" s="832"/>
      <c r="I13" s="832"/>
      <c r="J13" s="832"/>
      <c r="K13" s="832"/>
      <c r="L13" s="832"/>
      <c r="M13" s="832"/>
      <c r="N13" s="832"/>
      <c r="O13" s="832"/>
      <c r="P13" s="832"/>
      <c r="Q13" s="832"/>
      <c r="R13" s="832"/>
      <c r="S13" s="832"/>
      <c r="T13" s="832"/>
      <c r="U13" s="832"/>
      <c r="V13" s="832"/>
      <c r="W13" s="832"/>
      <c r="X13" s="832"/>
    </row>
    <row r="14" spans="1:24" s="29" customFormat="1" ht="20.100000000000001" customHeight="1">
      <c r="A14" s="570"/>
      <c r="B14" s="732"/>
      <c r="C14" s="732"/>
      <c r="D14" s="732"/>
      <c r="E14" s="732"/>
      <c r="F14" s="570"/>
      <c r="G14" s="835"/>
      <c r="H14" s="832"/>
      <c r="I14" s="832"/>
      <c r="J14" s="832"/>
      <c r="K14" s="832"/>
      <c r="L14" s="832"/>
      <c r="M14" s="832"/>
      <c r="N14" s="832"/>
      <c r="O14" s="832"/>
      <c r="P14" s="832"/>
      <c r="Q14" s="832"/>
      <c r="R14" s="832"/>
      <c r="S14" s="832"/>
      <c r="T14" s="832"/>
      <c r="U14" s="832"/>
      <c r="V14" s="832"/>
      <c r="W14" s="832"/>
      <c r="X14" s="832"/>
    </row>
    <row r="15" spans="1:24" s="29" customFormat="1" ht="20.100000000000001" customHeight="1">
      <c r="A15" s="570"/>
      <c r="B15" s="598"/>
      <c r="C15" s="598"/>
      <c r="D15" s="598"/>
      <c r="E15" s="598"/>
      <c r="F15" s="570"/>
      <c r="G15" s="835"/>
      <c r="H15" s="832"/>
      <c r="I15" s="832"/>
      <c r="J15" s="832"/>
      <c r="K15" s="832"/>
      <c r="L15" s="832"/>
      <c r="M15" s="832"/>
      <c r="N15" s="832"/>
      <c r="O15" s="832"/>
      <c r="P15" s="832"/>
      <c r="Q15" s="832"/>
      <c r="R15" s="832"/>
      <c r="S15" s="832"/>
      <c r="T15" s="832"/>
      <c r="U15" s="832"/>
      <c r="V15" s="832"/>
      <c r="W15" s="832"/>
      <c r="X15" s="832"/>
    </row>
    <row r="16" spans="1:24" s="29" customFormat="1" ht="20.100000000000001" customHeight="1">
      <c r="A16" s="570"/>
      <c r="B16" s="599"/>
      <c r="C16" s="600"/>
      <c r="D16" s="601"/>
      <c r="E16" s="601"/>
      <c r="F16" s="570"/>
      <c r="G16" s="835"/>
      <c r="H16" s="832"/>
      <c r="I16" s="832"/>
      <c r="J16" s="832"/>
      <c r="K16" s="832"/>
      <c r="L16" s="832"/>
      <c r="M16" s="832"/>
      <c r="N16" s="832"/>
      <c r="O16" s="832"/>
      <c r="P16" s="832"/>
      <c r="Q16" s="832"/>
      <c r="R16" s="832"/>
      <c r="S16" s="832"/>
      <c r="T16" s="832"/>
      <c r="U16" s="832"/>
      <c r="V16" s="832"/>
      <c r="W16" s="832"/>
      <c r="X16" s="832"/>
    </row>
    <row r="17" spans="1:24" s="29" customFormat="1" ht="20.100000000000001" customHeight="1">
      <c r="A17" s="570"/>
      <c r="B17" s="570"/>
      <c r="C17" s="570"/>
      <c r="D17" s="570"/>
      <c r="E17" s="570"/>
      <c r="F17" s="570"/>
      <c r="G17" s="835"/>
      <c r="H17" s="832"/>
      <c r="I17" s="832"/>
      <c r="J17" s="832"/>
      <c r="K17" s="832"/>
      <c r="L17" s="832"/>
      <c r="M17" s="832"/>
      <c r="N17" s="832"/>
      <c r="O17" s="832"/>
      <c r="P17" s="832"/>
      <c r="Q17" s="832"/>
      <c r="R17" s="832"/>
      <c r="S17" s="832"/>
      <c r="T17" s="832"/>
      <c r="U17" s="832"/>
      <c r="V17" s="832"/>
      <c r="W17" s="832"/>
      <c r="X17" s="832"/>
    </row>
    <row r="18" spans="1:24" s="29" customFormat="1" ht="20.100000000000001" customHeight="1">
      <c r="G18" s="835"/>
      <c r="H18" s="832"/>
      <c r="I18" s="832"/>
      <c r="J18" s="832"/>
      <c r="K18" s="832"/>
      <c r="L18" s="832"/>
      <c r="M18" s="832"/>
      <c r="N18" s="832"/>
      <c r="O18" s="832"/>
      <c r="P18" s="832"/>
      <c r="Q18" s="832"/>
      <c r="R18" s="832"/>
      <c r="S18" s="832"/>
      <c r="T18" s="832"/>
      <c r="U18" s="832"/>
      <c r="V18" s="832"/>
      <c r="W18" s="832"/>
      <c r="X18" s="832"/>
    </row>
    <row r="19" spans="1:24" s="29" customFormat="1" ht="20.100000000000001" customHeight="1">
      <c r="G19" s="835"/>
      <c r="H19" s="832"/>
      <c r="I19" s="832"/>
      <c r="J19" s="832"/>
      <c r="K19" s="832"/>
      <c r="L19" s="832"/>
      <c r="M19" s="832"/>
      <c r="N19" s="832"/>
      <c r="O19" s="832"/>
      <c r="P19" s="832"/>
      <c r="Q19" s="832"/>
      <c r="R19" s="832"/>
      <c r="S19" s="832"/>
      <c r="T19" s="832"/>
      <c r="U19" s="832"/>
      <c r="V19" s="832"/>
      <c r="W19" s="832"/>
      <c r="X19" s="832"/>
    </row>
    <row r="20" spans="1:24" s="29" customFormat="1" ht="20.100000000000001" customHeight="1">
      <c r="G20" s="835"/>
      <c r="H20" s="832"/>
      <c r="I20" s="832"/>
      <c r="J20" s="832"/>
      <c r="K20" s="832"/>
      <c r="L20" s="832"/>
      <c r="M20" s="832"/>
      <c r="N20" s="832"/>
      <c r="O20" s="832"/>
      <c r="P20" s="832"/>
      <c r="Q20" s="832"/>
      <c r="R20" s="832"/>
      <c r="S20" s="832"/>
      <c r="T20" s="832"/>
      <c r="U20" s="832"/>
      <c r="V20" s="832"/>
      <c r="W20" s="832"/>
      <c r="X20" s="832"/>
    </row>
    <row r="21" spans="1:24" s="29" customFormat="1" ht="20.100000000000001" customHeight="1">
      <c r="A21" s="570"/>
      <c r="B21" s="570"/>
      <c r="C21" s="570"/>
      <c r="D21" s="570"/>
      <c r="E21" s="570"/>
      <c r="F21" s="570"/>
      <c r="G21" s="835"/>
      <c r="H21" s="832"/>
      <c r="I21" s="832"/>
      <c r="J21" s="832"/>
      <c r="K21" s="832"/>
      <c r="L21" s="832"/>
      <c r="M21" s="832"/>
      <c r="N21" s="832"/>
      <c r="O21" s="832"/>
      <c r="P21" s="832"/>
      <c r="Q21" s="832"/>
      <c r="R21" s="832"/>
      <c r="S21" s="832"/>
      <c r="T21" s="832"/>
      <c r="U21" s="832"/>
      <c r="V21" s="832"/>
      <c r="W21" s="832"/>
      <c r="X21" s="832"/>
    </row>
    <row r="22" spans="1:24" s="29" customFormat="1" ht="20.100000000000001" customHeight="1">
      <c r="A22" s="702"/>
      <c r="B22" s="702"/>
      <c r="C22" s="702"/>
      <c r="D22" s="702"/>
      <c r="E22" s="701"/>
      <c r="F22" s="702"/>
      <c r="G22" s="835"/>
      <c r="H22" s="832"/>
      <c r="I22" s="832"/>
      <c r="J22" s="832"/>
      <c r="K22" s="832"/>
      <c r="L22" s="832"/>
      <c r="M22" s="832"/>
      <c r="N22" s="832"/>
      <c r="O22" s="832"/>
      <c r="P22" s="832"/>
      <c r="Q22" s="832"/>
      <c r="R22" s="832"/>
      <c r="S22" s="832"/>
      <c r="T22" s="832"/>
      <c r="U22" s="832"/>
      <c r="V22" s="832"/>
      <c r="W22" s="832"/>
      <c r="X22" s="832"/>
    </row>
    <row r="23" spans="1:24" s="29" customFormat="1" ht="20.100000000000001" customHeight="1">
      <c r="A23" s="809"/>
      <c r="B23" s="810" t="s">
        <v>719</v>
      </c>
      <c r="C23" s="810" t="s">
        <v>247</v>
      </c>
      <c r="D23" s="810" t="s">
        <v>117</v>
      </c>
      <c r="E23" s="811" t="s">
        <v>1101</v>
      </c>
      <c r="F23" s="814"/>
      <c r="G23" s="835"/>
      <c r="H23" s="832"/>
      <c r="I23" s="832"/>
      <c r="J23" s="832"/>
      <c r="K23" s="832"/>
      <c r="L23" s="832"/>
      <c r="M23" s="832"/>
      <c r="N23" s="832"/>
      <c r="O23" s="832"/>
      <c r="P23" s="832"/>
      <c r="Q23" s="832"/>
      <c r="R23" s="832"/>
      <c r="S23" s="832"/>
      <c r="T23" s="832"/>
      <c r="U23" s="832"/>
      <c r="V23" s="832"/>
      <c r="W23" s="832"/>
      <c r="X23" s="832"/>
    </row>
    <row r="24" spans="1:24" s="29" customFormat="1" ht="20.100000000000001" customHeight="1">
      <c r="A24" s="809"/>
      <c r="B24" s="811" t="s">
        <v>211</v>
      </c>
      <c r="C24" s="811" t="s">
        <v>613</v>
      </c>
      <c r="D24" s="811" t="s">
        <v>118</v>
      </c>
      <c r="E24" s="810"/>
      <c r="F24" s="814"/>
      <c r="G24" s="835"/>
      <c r="H24" s="832"/>
      <c r="I24" s="832"/>
      <c r="J24" s="832"/>
      <c r="K24" s="832"/>
      <c r="L24" s="832"/>
      <c r="M24" s="832"/>
      <c r="N24" s="832"/>
      <c r="O24" s="832"/>
      <c r="P24" s="832"/>
      <c r="Q24" s="832"/>
      <c r="R24" s="832"/>
      <c r="S24" s="832"/>
      <c r="T24" s="832"/>
      <c r="U24" s="832"/>
      <c r="V24" s="832"/>
      <c r="W24" s="832"/>
      <c r="X24" s="832"/>
    </row>
    <row r="25" spans="1:24" s="29" customFormat="1" ht="42" customHeight="1">
      <c r="A25" s="824" t="s">
        <v>1139</v>
      </c>
      <c r="B25" s="825">
        <f>+B7/$F$7</f>
        <v>0.97712757464473898</v>
      </c>
      <c r="C25" s="825">
        <f>+C7/$F$7</f>
        <v>1.6725211559955294E-2</v>
      </c>
      <c r="D25" s="825">
        <f>+D7/$F$7</f>
        <v>4.350950023950184E-3</v>
      </c>
      <c r="E25" s="825">
        <f>+E7/$F$7</f>
        <v>1.7962637713555803E-3</v>
      </c>
      <c r="F25" s="814"/>
      <c r="G25" s="835"/>
      <c r="H25" s="832"/>
      <c r="I25" s="832"/>
      <c r="J25" s="832"/>
      <c r="K25" s="832"/>
      <c r="L25" s="832"/>
      <c r="M25" s="832"/>
      <c r="N25" s="832"/>
      <c r="O25" s="832"/>
      <c r="P25" s="832"/>
      <c r="Q25" s="832"/>
      <c r="R25" s="832"/>
      <c r="S25" s="832"/>
      <c r="T25" s="832"/>
      <c r="U25" s="832"/>
      <c r="V25" s="832"/>
      <c r="W25" s="832"/>
      <c r="X25" s="832"/>
    </row>
    <row r="26" spans="1:24" s="29" customFormat="1" ht="20.100000000000001" customHeight="1">
      <c r="A26" s="814"/>
      <c r="B26" s="814"/>
      <c r="C26" s="814"/>
      <c r="D26" s="814"/>
      <c r="E26" s="814"/>
      <c r="F26" s="814"/>
      <c r="G26" s="835"/>
      <c r="H26" s="832"/>
      <c r="I26" s="832"/>
      <c r="J26" s="832"/>
      <c r="K26" s="832"/>
      <c r="L26" s="832"/>
      <c r="M26" s="832"/>
      <c r="N26" s="832"/>
      <c r="O26" s="832"/>
      <c r="P26" s="832"/>
      <c r="Q26" s="832"/>
      <c r="R26" s="832"/>
      <c r="S26" s="832"/>
      <c r="T26" s="832"/>
      <c r="U26" s="832"/>
      <c r="V26" s="832"/>
      <c r="W26" s="832"/>
      <c r="X26" s="832"/>
    </row>
    <row r="27" spans="1:24" s="29" customFormat="1" ht="20.100000000000001" customHeight="1">
      <c r="A27" s="823"/>
      <c r="B27" s="823"/>
      <c r="C27" s="823"/>
      <c r="D27" s="823"/>
      <c r="E27" s="823"/>
      <c r="F27" s="823"/>
      <c r="G27" s="835"/>
      <c r="H27" s="832"/>
      <c r="I27" s="832"/>
      <c r="J27" s="832"/>
      <c r="K27" s="832"/>
      <c r="L27" s="832"/>
      <c r="M27" s="832"/>
      <c r="N27" s="832"/>
      <c r="O27" s="832"/>
      <c r="P27" s="832"/>
      <c r="Q27" s="832"/>
      <c r="R27" s="832"/>
      <c r="S27" s="832"/>
      <c r="T27" s="832"/>
      <c r="U27" s="832"/>
      <c r="V27" s="832"/>
      <c r="W27" s="832"/>
      <c r="X27" s="832"/>
    </row>
    <row r="28" spans="1:24" s="29" customFormat="1" ht="20.100000000000001" customHeight="1">
      <c r="A28" s="823" t="s">
        <v>719</v>
      </c>
      <c r="B28" s="823" t="s">
        <v>247</v>
      </c>
      <c r="C28" s="823" t="s">
        <v>117</v>
      </c>
      <c r="D28" s="823"/>
      <c r="E28" s="823"/>
      <c r="F28" s="823"/>
      <c r="G28" s="835"/>
      <c r="H28" s="832"/>
      <c r="I28" s="832"/>
      <c r="J28" s="832"/>
      <c r="K28" s="832"/>
      <c r="L28" s="832"/>
      <c r="M28" s="832"/>
      <c r="N28" s="832"/>
      <c r="O28" s="832"/>
      <c r="P28" s="832"/>
      <c r="Q28" s="832"/>
      <c r="R28" s="832"/>
      <c r="S28" s="832"/>
      <c r="T28" s="832"/>
      <c r="U28" s="832"/>
      <c r="V28" s="832"/>
      <c r="W28" s="832"/>
      <c r="X28" s="832"/>
    </row>
    <row r="29" spans="1:24" s="29" customFormat="1" ht="20.100000000000001" customHeight="1">
      <c r="A29" s="823" t="s">
        <v>211</v>
      </c>
      <c r="B29" s="823" t="s">
        <v>613</v>
      </c>
      <c r="C29" s="823" t="s">
        <v>118</v>
      </c>
      <c r="D29" s="823"/>
      <c r="E29" s="823"/>
      <c r="F29" s="823"/>
      <c r="G29" s="835"/>
      <c r="H29" s="832"/>
      <c r="I29" s="832"/>
      <c r="J29" s="832"/>
      <c r="K29" s="832"/>
      <c r="L29" s="832"/>
      <c r="M29" s="832"/>
      <c r="N29" s="832"/>
      <c r="O29" s="832"/>
      <c r="P29" s="832"/>
      <c r="Q29" s="832"/>
      <c r="R29" s="832"/>
      <c r="S29" s="832"/>
      <c r="T29" s="832"/>
      <c r="U29" s="832"/>
      <c r="V29" s="832"/>
      <c r="W29" s="832"/>
      <c r="X29" s="832"/>
    </row>
    <row r="30" spans="1:24" s="29" customFormat="1" ht="20.100000000000001" customHeight="1">
      <c r="A30" s="823"/>
      <c r="B30" s="823"/>
      <c r="C30" s="823"/>
      <c r="D30" s="823"/>
      <c r="E30" s="823"/>
      <c r="F30" s="823"/>
      <c r="G30" s="835"/>
      <c r="H30" s="832"/>
      <c r="I30" s="832"/>
      <c r="J30" s="832"/>
      <c r="K30" s="832"/>
      <c r="L30" s="832"/>
      <c r="M30" s="832"/>
      <c r="N30" s="832"/>
      <c r="O30" s="832"/>
      <c r="P30" s="832"/>
      <c r="Q30" s="832"/>
      <c r="R30" s="832"/>
      <c r="S30" s="832"/>
      <c r="T30" s="832"/>
      <c r="U30" s="832"/>
      <c r="V30" s="832"/>
      <c r="W30" s="832"/>
      <c r="X30" s="832"/>
    </row>
    <row r="31" spans="1:24" s="29" customFormat="1" ht="20.100000000000001" customHeight="1">
      <c r="A31" s="826">
        <f>+B7/F7</f>
        <v>0.97712757464473898</v>
      </c>
      <c r="B31" s="826">
        <f>+C7/F7</f>
        <v>1.6725211559955294E-2</v>
      </c>
      <c r="C31" s="826">
        <f>+D7/F7</f>
        <v>4.350950023950184E-3</v>
      </c>
      <c r="D31" s="823"/>
      <c r="E31" s="823"/>
      <c r="F31" s="823"/>
      <c r="G31" s="835"/>
      <c r="H31" s="832"/>
      <c r="I31" s="832"/>
      <c r="J31" s="832"/>
      <c r="K31" s="832"/>
      <c r="L31" s="832"/>
      <c r="M31" s="832"/>
      <c r="N31" s="832"/>
      <c r="O31" s="832"/>
      <c r="P31" s="832"/>
      <c r="Q31" s="832"/>
      <c r="R31" s="832"/>
      <c r="S31" s="832"/>
      <c r="T31" s="832"/>
      <c r="U31" s="832"/>
      <c r="V31" s="832"/>
      <c r="W31" s="832"/>
      <c r="X31" s="832"/>
    </row>
    <row r="32" spans="1:24" s="29" customFormat="1" ht="20.100000000000001" customHeight="1">
      <c r="A32" s="823"/>
      <c r="B32" s="823"/>
      <c r="C32" s="827"/>
      <c r="D32" s="827"/>
      <c r="E32" s="827"/>
      <c r="F32" s="823"/>
      <c r="G32" s="835"/>
      <c r="H32" s="832"/>
      <c r="I32" s="832"/>
      <c r="J32" s="832"/>
      <c r="K32" s="832"/>
      <c r="L32" s="832"/>
      <c r="M32" s="832"/>
      <c r="N32" s="832"/>
      <c r="O32" s="832"/>
      <c r="P32" s="832"/>
      <c r="Q32" s="832"/>
      <c r="R32" s="832"/>
      <c r="S32" s="832"/>
      <c r="T32" s="832"/>
      <c r="U32" s="832"/>
      <c r="V32" s="832"/>
      <c r="W32" s="832"/>
      <c r="X32" s="832"/>
    </row>
    <row r="33" spans="1:24" s="29" customFormat="1" ht="20.100000000000001" customHeight="1">
      <c r="A33" s="823"/>
      <c r="B33" s="823"/>
      <c r="C33" s="823"/>
      <c r="D33" s="823"/>
      <c r="E33" s="823"/>
      <c r="F33" s="823"/>
      <c r="G33" s="835"/>
      <c r="H33" s="832"/>
      <c r="I33" s="832"/>
      <c r="J33" s="832"/>
      <c r="K33" s="832"/>
      <c r="L33" s="832"/>
      <c r="M33" s="832"/>
      <c r="N33" s="832"/>
      <c r="O33" s="832"/>
      <c r="P33" s="832"/>
      <c r="Q33" s="832"/>
      <c r="R33" s="832"/>
      <c r="S33" s="832"/>
      <c r="T33" s="832"/>
      <c r="U33" s="832"/>
      <c r="V33" s="832"/>
      <c r="W33" s="832"/>
      <c r="X33" s="832"/>
    </row>
    <row r="34" spans="1:24" s="29" customFormat="1" ht="20.100000000000001" customHeight="1">
      <c r="A34" s="823"/>
      <c r="B34" s="823"/>
      <c r="C34" s="823"/>
      <c r="D34" s="823"/>
      <c r="E34" s="823"/>
      <c r="F34" s="823"/>
      <c r="G34" s="835"/>
      <c r="H34" s="832"/>
      <c r="I34" s="832"/>
      <c r="J34" s="832"/>
      <c r="K34" s="832"/>
      <c r="L34" s="832"/>
      <c r="M34" s="832"/>
      <c r="N34" s="832"/>
      <c r="O34" s="832"/>
      <c r="P34" s="832"/>
      <c r="Q34" s="832"/>
      <c r="R34" s="832"/>
      <c r="S34" s="832"/>
      <c r="T34" s="832"/>
      <c r="U34" s="832"/>
      <c r="V34" s="832"/>
      <c r="W34" s="832"/>
      <c r="X34" s="832"/>
    </row>
    <row r="35" spans="1:24" s="29" customFormat="1" ht="20.100000000000001" customHeight="1">
      <c r="A35" s="823"/>
      <c r="B35" s="823"/>
      <c r="C35" s="823"/>
      <c r="D35" s="823"/>
      <c r="E35" s="823"/>
      <c r="F35" s="823"/>
      <c r="G35" s="835"/>
      <c r="H35" s="832"/>
      <c r="I35" s="832"/>
      <c r="J35" s="832"/>
      <c r="K35" s="832"/>
      <c r="L35" s="832"/>
      <c r="M35" s="832"/>
      <c r="N35" s="832"/>
      <c r="O35" s="832"/>
      <c r="P35" s="832"/>
      <c r="Q35" s="832"/>
      <c r="R35" s="832"/>
      <c r="S35" s="832"/>
      <c r="T35" s="832"/>
      <c r="U35" s="832"/>
      <c r="V35" s="832"/>
      <c r="W35" s="832"/>
      <c r="X35" s="832"/>
    </row>
    <row r="36" spans="1:24" s="29" customFormat="1" ht="20.100000000000001" customHeight="1">
      <c r="A36" s="823"/>
      <c r="B36" s="823"/>
      <c r="C36" s="823"/>
      <c r="D36" s="823"/>
      <c r="E36" s="823"/>
      <c r="F36" s="823"/>
      <c r="G36" s="835"/>
      <c r="H36" s="832"/>
      <c r="I36" s="832"/>
      <c r="J36" s="832"/>
      <c r="K36" s="832"/>
      <c r="L36" s="832"/>
      <c r="M36" s="832"/>
      <c r="N36" s="832"/>
      <c r="O36" s="832"/>
      <c r="P36" s="832"/>
      <c r="Q36" s="832"/>
      <c r="R36" s="832"/>
      <c r="S36" s="832"/>
      <c r="T36" s="832"/>
      <c r="U36" s="832"/>
      <c r="V36" s="832"/>
      <c r="W36" s="832"/>
      <c r="X36" s="832"/>
    </row>
    <row r="37" spans="1:24" s="29" customFormat="1" ht="20.100000000000001" customHeight="1">
      <c r="A37" s="823"/>
      <c r="B37" s="823"/>
      <c r="C37" s="823"/>
      <c r="D37" s="823"/>
      <c r="E37" s="823"/>
      <c r="F37" s="823"/>
      <c r="G37" s="835"/>
      <c r="H37" s="832"/>
      <c r="I37" s="832"/>
      <c r="J37" s="832"/>
      <c r="K37" s="832"/>
      <c r="L37" s="832"/>
      <c r="M37" s="832"/>
      <c r="N37" s="832"/>
      <c r="O37" s="832"/>
      <c r="P37" s="832"/>
      <c r="Q37" s="832"/>
      <c r="R37" s="832"/>
      <c r="S37" s="832"/>
      <c r="T37" s="832"/>
      <c r="U37" s="832"/>
      <c r="V37" s="832"/>
      <c r="W37" s="832"/>
      <c r="X37" s="832"/>
    </row>
    <row r="38" spans="1:24" s="29" customFormat="1" ht="20.100000000000001" customHeight="1">
      <c r="A38" s="823"/>
      <c r="B38" s="823"/>
      <c r="C38" s="823"/>
      <c r="D38" s="823"/>
      <c r="E38" s="823"/>
      <c r="F38" s="823"/>
      <c r="G38" s="835"/>
      <c r="H38" s="832"/>
      <c r="I38" s="832"/>
      <c r="J38" s="832"/>
      <c r="K38" s="832"/>
      <c r="L38" s="832"/>
      <c r="M38" s="832"/>
      <c r="N38" s="832"/>
      <c r="O38" s="832"/>
      <c r="P38" s="832"/>
      <c r="Q38" s="832"/>
      <c r="R38" s="832"/>
      <c r="S38" s="832"/>
      <c r="T38" s="832"/>
      <c r="U38" s="832"/>
      <c r="V38" s="832"/>
      <c r="W38" s="832"/>
      <c r="X38" s="832"/>
    </row>
    <row r="39" spans="1:24" s="29" customFormat="1" ht="20.100000000000001" customHeight="1">
      <c r="A39" s="823"/>
      <c r="B39" s="823"/>
      <c r="C39" s="823"/>
      <c r="D39" s="823"/>
      <c r="E39" s="823"/>
      <c r="F39" s="823"/>
      <c r="G39" s="835"/>
      <c r="H39" s="832"/>
      <c r="I39" s="832"/>
      <c r="J39" s="832"/>
      <c r="K39" s="832"/>
      <c r="L39" s="832"/>
      <c r="M39" s="832"/>
      <c r="N39" s="832"/>
      <c r="O39" s="832"/>
      <c r="P39" s="832"/>
      <c r="Q39" s="832"/>
      <c r="R39" s="832"/>
      <c r="S39" s="832"/>
      <c r="T39" s="832"/>
      <c r="U39" s="832"/>
      <c r="V39" s="832"/>
      <c r="W39" s="832"/>
      <c r="X39" s="832"/>
    </row>
    <row r="40" spans="1:24" s="29" customFormat="1" ht="20.100000000000001" customHeight="1">
      <c r="A40" s="823"/>
      <c r="B40" s="823"/>
      <c r="C40" s="823"/>
      <c r="D40" s="823"/>
      <c r="E40" s="823"/>
      <c r="F40" s="823"/>
      <c r="G40" s="835"/>
      <c r="H40" s="832"/>
      <c r="I40" s="832"/>
      <c r="J40" s="832"/>
      <c r="K40" s="832"/>
      <c r="L40" s="832"/>
      <c r="M40" s="832"/>
      <c r="N40" s="832"/>
      <c r="O40" s="832"/>
      <c r="P40" s="832"/>
      <c r="Q40" s="832"/>
      <c r="R40" s="832"/>
      <c r="S40" s="832"/>
      <c r="T40" s="832"/>
      <c r="U40" s="832"/>
      <c r="V40" s="832"/>
      <c r="W40" s="832"/>
      <c r="X40" s="832"/>
    </row>
    <row r="41" spans="1:24" s="29" customFormat="1" ht="20.100000000000001" customHeight="1">
      <c r="A41" s="823"/>
      <c r="B41" s="823"/>
      <c r="C41" s="823"/>
      <c r="D41" s="823"/>
      <c r="E41" s="823"/>
      <c r="F41" s="823"/>
      <c r="G41" s="835"/>
      <c r="H41" s="832"/>
      <c r="I41" s="832"/>
      <c r="J41" s="832"/>
      <c r="K41" s="832"/>
      <c r="L41" s="832"/>
      <c r="M41" s="832"/>
      <c r="N41" s="832"/>
      <c r="O41" s="832"/>
      <c r="P41" s="832"/>
      <c r="Q41" s="832"/>
      <c r="R41" s="832"/>
      <c r="S41" s="832"/>
      <c r="T41" s="832"/>
      <c r="U41" s="832"/>
      <c r="V41" s="832"/>
      <c r="W41" s="832"/>
      <c r="X41" s="832"/>
    </row>
    <row r="42" spans="1:24" s="29" customFormat="1" ht="20.100000000000001" customHeight="1">
      <c r="A42" s="823"/>
      <c r="B42" s="828"/>
      <c r="C42" s="828"/>
      <c r="D42" s="828"/>
      <c r="E42" s="828"/>
      <c r="F42" s="823"/>
      <c r="G42" s="835"/>
      <c r="H42" s="832"/>
      <c r="I42" s="832"/>
      <c r="J42" s="832"/>
      <c r="K42" s="832"/>
      <c r="L42" s="832"/>
      <c r="M42" s="832"/>
      <c r="N42" s="832"/>
      <c r="O42" s="832"/>
      <c r="P42" s="832"/>
      <c r="Q42" s="832"/>
      <c r="R42" s="832"/>
      <c r="S42" s="832"/>
      <c r="T42" s="832"/>
      <c r="U42" s="832"/>
      <c r="V42" s="832"/>
      <c r="W42" s="832"/>
      <c r="X42" s="832"/>
    </row>
    <row r="43" spans="1:24" s="29" customFormat="1" ht="20.100000000000001" customHeight="1">
      <c r="A43" s="823"/>
      <c r="B43" s="829"/>
      <c r="C43" s="829"/>
      <c r="D43" s="829"/>
      <c r="E43" s="829"/>
      <c r="F43" s="823"/>
      <c r="G43" s="835"/>
      <c r="H43" s="832"/>
      <c r="I43" s="832"/>
      <c r="J43" s="832"/>
      <c r="K43" s="832"/>
      <c r="L43" s="832"/>
      <c r="M43" s="832"/>
      <c r="N43" s="832"/>
      <c r="O43" s="832"/>
      <c r="P43" s="832"/>
      <c r="Q43" s="832"/>
      <c r="R43" s="832"/>
      <c r="S43" s="832"/>
      <c r="T43" s="832"/>
      <c r="U43" s="832"/>
      <c r="V43" s="832"/>
      <c r="W43" s="832"/>
      <c r="X43" s="832"/>
    </row>
    <row r="44" spans="1:24" s="29" customFormat="1" ht="20.100000000000001" customHeight="1">
      <c r="A44" s="823"/>
      <c r="B44" s="827"/>
      <c r="C44" s="827"/>
      <c r="D44" s="823"/>
      <c r="E44" s="823"/>
      <c r="F44" s="823"/>
      <c r="G44" s="835"/>
      <c r="H44" s="832"/>
      <c r="I44" s="832"/>
      <c r="J44" s="832"/>
      <c r="K44" s="832"/>
      <c r="L44" s="832"/>
      <c r="M44" s="832"/>
      <c r="N44" s="832"/>
      <c r="O44" s="832"/>
      <c r="P44" s="832"/>
      <c r="Q44" s="832"/>
      <c r="R44" s="832"/>
      <c r="S44" s="832"/>
      <c r="T44" s="832"/>
      <c r="U44" s="832"/>
      <c r="V44" s="832"/>
      <c r="W44" s="832"/>
      <c r="X44" s="832"/>
    </row>
    <row r="45" spans="1:24" s="29" customFormat="1" ht="20.100000000000001" customHeight="1">
      <c r="A45" s="823"/>
      <c r="B45" s="823"/>
      <c r="C45" s="823"/>
      <c r="D45" s="823"/>
      <c r="E45" s="823"/>
      <c r="F45" s="823"/>
      <c r="G45" s="835"/>
      <c r="H45" s="832"/>
      <c r="I45" s="832"/>
      <c r="J45" s="832"/>
      <c r="K45" s="832"/>
      <c r="L45" s="832"/>
      <c r="M45" s="832"/>
      <c r="N45" s="832"/>
      <c r="O45" s="832"/>
      <c r="P45" s="832"/>
      <c r="Q45" s="832"/>
      <c r="R45" s="832"/>
      <c r="S45" s="832"/>
      <c r="T45" s="832"/>
      <c r="U45" s="832"/>
      <c r="V45" s="832"/>
      <c r="W45" s="832"/>
      <c r="X45" s="832"/>
    </row>
    <row r="46" spans="1:24" s="29" customFormat="1" ht="20.100000000000001" customHeight="1">
      <c r="A46" s="823"/>
      <c r="B46" s="823"/>
      <c r="C46" s="823"/>
      <c r="D46" s="823"/>
      <c r="E46" s="823"/>
      <c r="F46" s="823"/>
      <c r="G46" s="835"/>
      <c r="H46" s="832"/>
      <c r="I46" s="832"/>
      <c r="J46" s="832"/>
      <c r="K46" s="832"/>
      <c r="L46" s="832"/>
      <c r="M46" s="832"/>
      <c r="N46" s="832"/>
      <c r="O46" s="832"/>
      <c r="P46" s="832"/>
      <c r="Q46" s="832"/>
      <c r="R46" s="832"/>
      <c r="S46" s="832"/>
      <c r="T46" s="832"/>
      <c r="U46" s="832"/>
      <c r="V46" s="832"/>
      <c r="W46" s="832"/>
      <c r="X46" s="832"/>
    </row>
    <row r="47" spans="1:24" s="29" customFormat="1" ht="20.100000000000001" customHeight="1">
      <c r="A47" s="823"/>
      <c r="B47" s="823"/>
      <c r="C47" s="823"/>
      <c r="D47" s="823"/>
      <c r="E47" s="823"/>
      <c r="F47" s="823"/>
      <c r="G47" s="835"/>
      <c r="H47" s="832"/>
      <c r="I47" s="832"/>
      <c r="J47" s="832"/>
      <c r="K47" s="832"/>
      <c r="L47" s="832"/>
      <c r="M47" s="832"/>
      <c r="N47" s="832"/>
      <c r="O47" s="832"/>
      <c r="P47" s="832"/>
      <c r="Q47" s="832"/>
      <c r="R47" s="832"/>
      <c r="S47" s="832"/>
      <c r="T47" s="832"/>
      <c r="U47" s="832"/>
      <c r="V47" s="832"/>
      <c r="W47" s="832"/>
      <c r="X47" s="832"/>
    </row>
    <row r="48" spans="1:24" s="29" customFormat="1" ht="20.100000000000001" customHeight="1">
      <c r="A48" s="814"/>
      <c r="B48" s="814"/>
      <c r="C48" s="814"/>
      <c r="D48" s="814"/>
      <c r="E48" s="814"/>
      <c r="F48" s="814"/>
      <c r="G48" s="835"/>
      <c r="H48" s="832"/>
      <c r="I48" s="832"/>
      <c r="J48" s="832"/>
      <c r="K48" s="832"/>
      <c r="L48" s="832"/>
      <c r="M48" s="832"/>
      <c r="N48" s="832"/>
      <c r="O48" s="832"/>
      <c r="P48" s="832"/>
      <c r="Q48" s="832"/>
      <c r="R48" s="832"/>
      <c r="S48" s="832"/>
      <c r="T48" s="832"/>
      <c r="U48" s="832"/>
      <c r="V48" s="832"/>
      <c r="W48" s="832"/>
      <c r="X48" s="832"/>
    </row>
    <row r="49" spans="1:24" s="29" customFormat="1" ht="20.100000000000001" customHeight="1">
      <c r="A49" s="814"/>
      <c r="B49" s="814"/>
      <c r="C49" s="814"/>
      <c r="D49" s="814"/>
      <c r="E49" s="814"/>
      <c r="F49" s="814"/>
      <c r="G49" s="835"/>
      <c r="H49" s="832"/>
      <c r="I49" s="832"/>
      <c r="J49" s="832"/>
      <c r="K49" s="832"/>
      <c r="L49" s="832"/>
      <c r="M49" s="832"/>
      <c r="N49" s="832"/>
      <c r="O49" s="832"/>
      <c r="P49" s="832"/>
      <c r="Q49" s="832"/>
      <c r="R49" s="832"/>
      <c r="S49" s="832"/>
      <c r="T49" s="832"/>
      <c r="U49" s="832"/>
      <c r="V49" s="832"/>
      <c r="W49" s="832"/>
      <c r="X49" s="832"/>
    </row>
    <row r="50" spans="1:24" s="29" customFormat="1" ht="20.100000000000001" customHeight="1">
      <c r="A50" s="814"/>
      <c r="B50" s="814"/>
      <c r="C50" s="814"/>
      <c r="D50" s="814"/>
      <c r="E50" s="814"/>
      <c r="F50" s="814"/>
      <c r="G50" s="835"/>
      <c r="H50" s="832"/>
      <c r="I50" s="832"/>
      <c r="J50" s="832"/>
      <c r="K50" s="832"/>
      <c r="L50" s="832"/>
      <c r="M50" s="832"/>
      <c r="N50" s="832"/>
      <c r="O50" s="832"/>
      <c r="P50" s="832"/>
      <c r="Q50" s="832"/>
      <c r="R50" s="832"/>
      <c r="S50" s="832"/>
      <c r="T50" s="832"/>
      <c r="U50" s="832"/>
      <c r="V50" s="832"/>
      <c r="W50" s="832"/>
      <c r="X50" s="832"/>
    </row>
    <row r="51" spans="1:24" s="29" customFormat="1" ht="20.100000000000001" customHeight="1">
      <c r="A51" s="823"/>
      <c r="B51" s="823"/>
      <c r="C51" s="823"/>
      <c r="D51" s="823"/>
      <c r="E51" s="823"/>
      <c r="F51" s="823"/>
      <c r="G51" s="835"/>
      <c r="H51" s="832"/>
      <c r="I51" s="832"/>
      <c r="J51" s="832"/>
      <c r="K51" s="832"/>
      <c r="L51" s="832"/>
      <c r="M51" s="832"/>
      <c r="N51" s="832"/>
      <c r="O51" s="832"/>
      <c r="P51" s="832"/>
      <c r="Q51" s="832"/>
      <c r="R51" s="832"/>
      <c r="S51" s="832"/>
      <c r="T51" s="832"/>
      <c r="U51" s="832"/>
      <c r="V51" s="832"/>
      <c r="W51" s="832"/>
      <c r="X51" s="832"/>
    </row>
    <row r="52" spans="1:24" s="29" customFormat="1" ht="20.100000000000001" customHeight="1">
      <c r="A52" s="823"/>
      <c r="B52" s="823"/>
      <c r="C52" s="823"/>
      <c r="D52" s="823"/>
      <c r="E52" s="823"/>
      <c r="F52" s="823"/>
      <c r="G52" s="835"/>
      <c r="H52" s="832"/>
      <c r="I52" s="832"/>
      <c r="J52" s="832"/>
      <c r="K52" s="832"/>
      <c r="L52" s="832"/>
      <c r="M52" s="832"/>
      <c r="N52" s="832"/>
      <c r="O52" s="832"/>
      <c r="P52" s="832"/>
      <c r="Q52" s="832"/>
      <c r="R52" s="832"/>
      <c r="S52" s="832"/>
      <c r="T52" s="832"/>
      <c r="U52" s="832"/>
      <c r="V52" s="832"/>
      <c r="W52" s="832"/>
      <c r="X52" s="832"/>
    </row>
    <row r="53" spans="1:24" s="29" customFormat="1" ht="20.100000000000001" customHeight="1">
      <c r="A53" s="823"/>
      <c r="B53" s="823"/>
      <c r="C53" s="823"/>
      <c r="D53" s="823"/>
      <c r="E53" s="823"/>
      <c r="F53" s="823"/>
      <c r="G53" s="835"/>
      <c r="H53" s="832"/>
      <c r="I53" s="832"/>
      <c r="J53" s="832"/>
      <c r="K53" s="832"/>
      <c r="L53" s="832"/>
      <c r="M53" s="832"/>
      <c r="N53" s="832"/>
      <c r="O53" s="832"/>
      <c r="P53" s="832"/>
      <c r="Q53" s="832"/>
      <c r="R53" s="832"/>
      <c r="S53" s="832"/>
      <c r="T53" s="832"/>
      <c r="U53" s="832"/>
      <c r="V53" s="832"/>
      <c r="W53" s="832"/>
      <c r="X53" s="832"/>
    </row>
    <row r="54" spans="1:24" s="29" customFormat="1" ht="20.100000000000001" customHeight="1">
      <c r="A54" s="823"/>
      <c r="B54" s="823"/>
      <c r="C54" s="823"/>
      <c r="D54" s="823"/>
      <c r="E54" s="823"/>
      <c r="F54" s="823"/>
      <c r="G54" s="835"/>
      <c r="H54" s="832"/>
      <c r="I54" s="832"/>
      <c r="J54" s="832"/>
      <c r="K54" s="832"/>
      <c r="L54" s="832"/>
      <c r="M54" s="832"/>
      <c r="N54" s="832"/>
      <c r="O54" s="832"/>
      <c r="P54" s="832"/>
      <c r="Q54" s="832"/>
      <c r="R54" s="832"/>
      <c r="S54" s="832"/>
      <c r="T54" s="832"/>
      <c r="U54" s="832"/>
      <c r="V54" s="832"/>
      <c r="W54" s="832"/>
      <c r="X54" s="832"/>
    </row>
    <row r="55" spans="1:24" s="29" customFormat="1" ht="20.100000000000001" customHeight="1">
      <c r="A55" s="823"/>
      <c r="B55" s="823"/>
      <c r="C55" s="823"/>
      <c r="D55" s="823"/>
      <c r="E55" s="823"/>
      <c r="F55" s="823"/>
      <c r="G55" s="835"/>
      <c r="H55" s="832"/>
      <c r="I55" s="832"/>
      <c r="J55" s="832"/>
      <c r="K55" s="832"/>
      <c r="L55" s="832"/>
      <c r="M55" s="832"/>
      <c r="N55" s="832"/>
      <c r="O55" s="832"/>
      <c r="P55" s="832"/>
      <c r="Q55" s="832"/>
      <c r="R55" s="832"/>
      <c r="S55" s="832"/>
      <c r="T55" s="832"/>
      <c r="U55" s="832"/>
      <c r="V55" s="832"/>
      <c r="W55" s="832"/>
      <c r="X55" s="832"/>
    </row>
    <row r="56" spans="1:24" s="29" customFormat="1" ht="20.100000000000001" customHeight="1">
      <c r="A56" s="823"/>
      <c r="B56" s="823"/>
      <c r="C56" s="823"/>
      <c r="D56" s="823"/>
      <c r="E56" s="823"/>
      <c r="F56" s="823"/>
      <c r="G56" s="835"/>
      <c r="H56" s="832"/>
      <c r="I56" s="832"/>
      <c r="J56" s="832"/>
      <c r="K56" s="832"/>
      <c r="L56" s="832"/>
      <c r="M56" s="832"/>
      <c r="N56" s="832"/>
      <c r="O56" s="832"/>
      <c r="P56" s="832"/>
      <c r="Q56" s="832"/>
      <c r="R56" s="832"/>
      <c r="S56" s="832"/>
      <c r="T56" s="832"/>
      <c r="U56" s="832"/>
      <c r="V56" s="832"/>
      <c r="W56" s="832"/>
      <c r="X56" s="832"/>
    </row>
    <row r="57" spans="1:24" s="29" customFormat="1" ht="20.100000000000001" customHeight="1">
      <c r="A57" s="823"/>
      <c r="B57" s="823"/>
      <c r="C57" s="823"/>
      <c r="D57" s="823"/>
      <c r="E57" s="823"/>
      <c r="F57" s="823"/>
      <c r="G57" s="835"/>
      <c r="H57" s="832"/>
      <c r="I57" s="832"/>
      <c r="J57" s="832"/>
      <c r="K57" s="832"/>
      <c r="L57" s="832"/>
      <c r="M57" s="832"/>
      <c r="N57" s="832"/>
      <c r="O57" s="832"/>
      <c r="P57" s="832"/>
      <c r="Q57" s="832"/>
      <c r="R57" s="832"/>
      <c r="S57" s="832"/>
      <c r="T57" s="832"/>
      <c r="U57" s="832"/>
      <c r="V57" s="832"/>
      <c r="W57" s="832"/>
      <c r="X57" s="832"/>
    </row>
    <row r="58" spans="1:24" s="29" customFormat="1" ht="20.100000000000001" customHeight="1">
      <c r="A58" s="823"/>
      <c r="B58" s="823"/>
      <c r="C58" s="823"/>
      <c r="D58" s="823"/>
      <c r="E58" s="823"/>
      <c r="F58" s="823"/>
      <c r="G58" s="835"/>
      <c r="H58" s="832"/>
      <c r="I58" s="832"/>
      <c r="J58" s="832"/>
      <c r="K58" s="832"/>
      <c r="L58" s="832"/>
      <c r="M58" s="832"/>
      <c r="N58" s="832"/>
      <c r="O58" s="832"/>
      <c r="P58" s="832"/>
      <c r="Q58" s="832"/>
      <c r="R58" s="832"/>
      <c r="S58" s="832"/>
      <c r="T58" s="832"/>
      <c r="U58" s="832"/>
      <c r="V58" s="832"/>
      <c r="W58" s="832"/>
      <c r="X58" s="832"/>
    </row>
    <row r="59" spans="1:24" s="29" customFormat="1" ht="20.100000000000001" customHeight="1">
      <c r="A59" s="823"/>
      <c r="B59" s="823"/>
      <c r="C59" s="823"/>
      <c r="D59" s="823"/>
      <c r="E59" s="823"/>
      <c r="F59" s="823"/>
      <c r="G59" s="835"/>
      <c r="H59" s="832"/>
      <c r="I59" s="832"/>
      <c r="J59" s="832"/>
      <c r="K59" s="832"/>
      <c r="L59" s="832"/>
      <c r="M59" s="832"/>
      <c r="N59" s="832"/>
      <c r="O59" s="832"/>
      <c r="P59" s="832"/>
      <c r="Q59" s="832"/>
      <c r="R59" s="832"/>
      <c r="S59" s="832"/>
      <c r="T59" s="832"/>
      <c r="U59" s="832"/>
      <c r="V59" s="832"/>
      <c r="W59" s="832"/>
      <c r="X59" s="832"/>
    </row>
    <row r="60" spans="1:24" s="29" customFormat="1" ht="20.100000000000001" customHeight="1">
      <c r="A60" s="823"/>
      <c r="B60" s="823"/>
      <c r="C60" s="823"/>
      <c r="D60" s="823"/>
      <c r="E60" s="823"/>
      <c r="F60" s="823"/>
      <c r="G60" s="835"/>
      <c r="H60" s="832"/>
      <c r="I60" s="832"/>
      <c r="J60" s="832"/>
      <c r="K60" s="832"/>
      <c r="L60" s="832"/>
      <c r="M60" s="832"/>
      <c r="N60" s="832"/>
      <c r="O60" s="832"/>
      <c r="P60" s="832"/>
      <c r="Q60" s="832"/>
      <c r="R60" s="832"/>
      <c r="S60" s="832"/>
      <c r="T60" s="832"/>
      <c r="U60" s="832"/>
      <c r="V60" s="832"/>
      <c r="W60" s="832"/>
      <c r="X60" s="832"/>
    </row>
    <row r="61" spans="1:24" s="29" customFormat="1" ht="20.100000000000001" customHeight="1">
      <c r="A61" s="823"/>
      <c r="B61" s="823"/>
      <c r="C61" s="823"/>
      <c r="D61" s="823"/>
      <c r="E61" s="823"/>
      <c r="F61" s="823"/>
      <c r="G61" s="835"/>
      <c r="H61" s="832"/>
      <c r="I61" s="832"/>
      <c r="J61" s="832"/>
      <c r="K61" s="832"/>
      <c r="L61" s="832"/>
      <c r="M61" s="832"/>
      <c r="N61" s="832"/>
      <c r="O61" s="832"/>
      <c r="P61" s="832"/>
      <c r="Q61" s="832"/>
      <c r="R61" s="832"/>
      <c r="S61" s="832"/>
      <c r="T61" s="832"/>
      <c r="U61" s="832"/>
      <c r="V61" s="832"/>
      <c r="W61" s="832"/>
      <c r="X61" s="832"/>
    </row>
    <row r="62" spans="1:24" s="29" customFormat="1" ht="20.100000000000001" customHeight="1">
      <c r="A62" s="823"/>
      <c r="B62" s="823"/>
      <c r="C62" s="823"/>
      <c r="D62" s="823"/>
      <c r="E62" s="823"/>
      <c r="F62" s="823"/>
      <c r="G62" s="835"/>
      <c r="H62" s="832"/>
      <c r="I62" s="832"/>
      <c r="J62" s="832"/>
      <c r="K62" s="832"/>
      <c r="L62" s="832"/>
      <c r="M62" s="832"/>
      <c r="N62" s="832"/>
      <c r="O62" s="832"/>
      <c r="P62" s="832"/>
      <c r="Q62" s="832"/>
      <c r="R62" s="832"/>
      <c r="S62" s="832"/>
      <c r="T62" s="832"/>
      <c r="U62" s="832"/>
      <c r="V62" s="832"/>
      <c r="W62" s="832"/>
      <c r="X62" s="832"/>
    </row>
    <row r="63" spans="1:24" s="29" customFormat="1" ht="20.100000000000001" customHeight="1">
      <c r="A63" s="823"/>
      <c r="B63" s="823"/>
      <c r="C63" s="823"/>
      <c r="D63" s="823"/>
      <c r="E63" s="823"/>
      <c r="F63" s="823"/>
      <c r="G63" s="835"/>
      <c r="H63" s="832"/>
      <c r="I63" s="832"/>
      <c r="J63" s="832"/>
      <c r="K63" s="832"/>
      <c r="L63" s="832"/>
      <c r="M63" s="832"/>
      <c r="N63" s="832"/>
      <c r="O63" s="832"/>
      <c r="P63" s="832"/>
      <c r="Q63" s="832"/>
      <c r="R63" s="832"/>
      <c r="S63" s="832"/>
      <c r="T63" s="832"/>
      <c r="U63" s="832"/>
      <c r="V63" s="832"/>
      <c r="W63" s="832"/>
      <c r="X63" s="832"/>
    </row>
    <row r="64" spans="1:24" s="29" customFormat="1" ht="20.100000000000001" customHeight="1">
      <c r="A64" s="823"/>
      <c r="B64" s="823"/>
      <c r="C64" s="823"/>
      <c r="D64" s="823"/>
      <c r="E64" s="823"/>
      <c r="F64" s="823"/>
      <c r="G64" s="835"/>
      <c r="H64" s="832"/>
      <c r="I64" s="832"/>
      <c r="J64" s="832"/>
      <c r="K64" s="832"/>
      <c r="L64" s="832"/>
      <c r="M64" s="832"/>
      <c r="N64" s="832"/>
      <c r="O64" s="832"/>
      <c r="P64" s="832"/>
      <c r="Q64" s="832"/>
      <c r="R64" s="832"/>
      <c r="S64" s="832"/>
      <c r="T64" s="832"/>
      <c r="U64" s="832"/>
      <c r="V64" s="832"/>
      <c r="W64" s="832"/>
      <c r="X64" s="832"/>
    </row>
    <row r="65" spans="1:24" s="29" customFormat="1" ht="20.100000000000001" customHeight="1">
      <c r="A65" s="823"/>
      <c r="B65" s="823"/>
      <c r="C65" s="823"/>
      <c r="D65" s="823"/>
      <c r="E65" s="823"/>
      <c r="F65" s="823"/>
      <c r="G65" s="835"/>
      <c r="H65" s="832"/>
      <c r="I65" s="832"/>
      <c r="J65" s="832"/>
      <c r="K65" s="832"/>
      <c r="L65" s="832"/>
      <c r="M65" s="832"/>
      <c r="N65" s="832"/>
      <c r="O65" s="832"/>
      <c r="P65" s="832"/>
      <c r="Q65" s="832"/>
      <c r="R65" s="832"/>
      <c r="S65" s="832"/>
      <c r="T65" s="832"/>
      <c r="U65" s="832"/>
      <c r="V65" s="832"/>
      <c r="W65" s="832"/>
      <c r="X65" s="832"/>
    </row>
    <row r="66" spans="1:24" s="29" customFormat="1" ht="20.100000000000001" customHeight="1">
      <c r="A66" s="823"/>
      <c r="B66" s="823"/>
      <c r="C66" s="823"/>
      <c r="D66" s="823"/>
      <c r="E66" s="823"/>
      <c r="F66" s="823"/>
      <c r="G66" s="835"/>
      <c r="H66" s="832"/>
      <c r="I66" s="832"/>
      <c r="J66" s="832"/>
      <c r="K66" s="832"/>
      <c r="L66" s="832"/>
      <c r="M66" s="832"/>
      <c r="N66" s="832"/>
      <c r="O66" s="832"/>
      <c r="P66" s="832"/>
      <c r="Q66" s="832"/>
      <c r="R66" s="832"/>
      <c r="S66" s="832"/>
      <c r="T66" s="832"/>
      <c r="U66" s="832"/>
      <c r="V66" s="832"/>
      <c r="W66" s="832"/>
      <c r="X66" s="832"/>
    </row>
    <row r="67" spans="1:24" s="29" customFormat="1" ht="20.100000000000001" customHeight="1">
      <c r="A67" s="823"/>
      <c r="B67" s="823"/>
      <c r="C67" s="823"/>
      <c r="D67" s="823"/>
      <c r="E67" s="823"/>
      <c r="F67" s="823"/>
      <c r="G67" s="835"/>
      <c r="H67" s="832"/>
      <c r="I67" s="832"/>
      <c r="J67" s="832"/>
      <c r="K67" s="832"/>
      <c r="L67" s="832"/>
      <c r="M67" s="832"/>
      <c r="N67" s="832"/>
      <c r="O67" s="832"/>
      <c r="P67" s="832"/>
      <c r="Q67" s="832"/>
      <c r="R67" s="832"/>
      <c r="S67" s="832"/>
      <c r="T67" s="832"/>
      <c r="U67" s="832"/>
      <c r="V67" s="832"/>
      <c r="W67" s="832"/>
      <c r="X67" s="832"/>
    </row>
    <row r="68" spans="1:24" s="29" customFormat="1" ht="20.100000000000001" customHeight="1">
      <c r="A68" s="823"/>
      <c r="B68" s="823"/>
      <c r="C68" s="823"/>
      <c r="D68" s="823"/>
      <c r="E68" s="823"/>
      <c r="F68" s="823"/>
      <c r="G68" s="835"/>
      <c r="H68" s="832"/>
      <c r="I68" s="832"/>
      <c r="J68" s="832"/>
      <c r="K68" s="832"/>
      <c r="L68" s="832"/>
      <c r="M68" s="832"/>
      <c r="N68" s="832"/>
      <c r="O68" s="832"/>
      <c r="P68" s="832"/>
      <c r="Q68" s="832"/>
      <c r="R68" s="832"/>
      <c r="S68" s="832"/>
      <c r="T68" s="832"/>
      <c r="U68" s="832"/>
      <c r="V68" s="832"/>
      <c r="W68" s="832"/>
      <c r="X68" s="832"/>
    </row>
    <row r="69" spans="1:24" s="29" customFormat="1" ht="20.100000000000001" customHeight="1">
      <c r="A69" s="823"/>
      <c r="B69" s="823"/>
      <c r="C69" s="823"/>
      <c r="D69" s="823"/>
      <c r="E69" s="823"/>
      <c r="F69" s="823"/>
      <c r="G69" s="835"/>
      <c r="H69" s="832"/>
      <c r="I69" s="832"/>
      <c r="J69" s="832"/>
      <c r="K69" s="832"/>
      <c r="L69" s="832"/>
      <c r="M69" s="832"/>
      <c r="N69" s="832"/>
      <c r="O69" s="832"/>
      <c r="P69" s="832"/>
      <c r="Q69" s="832"/>
      <c r="R69" s="832"/>
      <c r="S69" s="832"/>
      <c r="T69" s="832"/>
      <c r="U69" s="832"/>
      <c r="V69" s="832"/>
      <c r="W69" s="832"/>
      <c r="X69" s="832"/>
    </row>
    <row r="70" spans="1:24" s="29" customFormat="1" ht="20.100000000000001" customHeight="1">
      <c r="G70" s="835"/>
      <c r="H70" s="832"/>
      <c r="I70" s="832"/>
      <c r="J70" s="832"/>
      <c r="K70" s="832"/>
      <c r="L70" s="832"/>
      <c r="M70" s="832"/>
      <c r="N70" s="832"/>
      <c r="O70" s="832"/>
      <c r="P70" s="832"/>
      <c r="Q70" s="832"/>
      <c r="R70" s="832"/>
      <c r="S70" s="832"/>
      <c r="T70" s="832"/>
      <c r="U70" s="832"/>
      <c r="V70" s="832"/>
      <c r="W70" s="832"/>
      <c r="X70" s="832"/>
    </row>
    <row r="71" spans="1:24" s="29" customFormat="1" ht="20.100000000000001" customHeight="1">
      <c r="G71" s="835"/>
      <c r="H71" s="832"/>
      <c r="I71" s="832"/>
      <c r="J71" s="832"/>
      <c r="K71" s="832"/>
      <c r="L71" s="832"/>
      <c r="M71" s="832"/>
      <c r="N71" s="832"/>
      <c r="O71" s="832"/>
      <c r="P71" s="832"/>
      <c r="Q71" s="832"/>
      <c r="R71" s="832"/>
      <c r="S71" s="832"/>
      <c r="T71" s="832"/>
      <c r="U71" s="832"/>
      <c r="V71" s="832"/>
      <c r="W71" s="832"/>
      <c r="X71" s="832"/>
    </row>
    <row r="72" spans="1:24" s="29" customFormat="1" ht="20.100000000000001" customHeight="1">
      <c r="G72" s="835"/>
      <c r="H72" s="832"/>
      <c r="I72" s="832"/>
      <c r="J72" s="832"/>
      <c r="K72" s="832"/>
      <c r="L72" s="832"/>
      <c r="M72" s="832"/>
      <c r="N72" s="832"/>
      <c r="O72" s="832"/>
      <c r="P72" s="832"/>
      <c r="Q72" s="832"/>
      <c r="R72" s="832"/>
      <c r="S72" s="832"/>
      <c r="T72" s="832"/>
      <c r="U72" s="832"/>
      <c r="V72" s="832"/>
      <c r="W72" s="832"/>
      <c r="X72" s="832"/>
    </row>
    <row r="73" spans="1:24" s="29" customFormat="1" ht="20.100000000000001" customHeight="1">
      <c r="G73" s="835"/>
      <c r="H73" s="832"/>
      <c r="I73" s="832"/>
      <c r="J73" s="832"/>
      <c r="K73" s="832"/>
      <c r="L73" s="832"/>
      <c r="M73" s="832"/>
      <c r="N73" s="832"/>
      <c r="O73" s="832"/>
      <c r="P73" s="832"/>
      <c r="Q73" s="832"/>
      <c r="R73" s="832"/>
      <c r="S73" s="832"/>
      <c r="T73" s="832"/>
      <c r="U73" s="832"/>
      <c r="V73" s="832"/>
      <c r="W73" s="832"/>
      <c r="X73" s="832"/>
    </row>
    <row r="74" spans="1:24" s="29" customFormat="1" ht="20.100000000000001" customHeight="1">
      <c r="G74" s="835"/>
      <c r="H74" s="832"/>
      <c r="I74" s="832"/>
      <c r="J74" s="832"/>
      <c r="K74" s="832"/>
      <c r="L74" s="832"/>
      <c r="M74" s="832"/>
      <c r="N74" s="832"/>
      <c r="O74" s="832"/>
      <c r="P74" s="832"/>
      <c r="Q74" s="832"/>
      <c r="R74" s="832"/>
      <c r="S74" s="832"/>
      <c r="T74" s="832"/>
      <c r="U74" s="832"/>
      <c r="V74" s="832"/>
      <c r="W74" s="832"/>
      <c r="X74" s="832"/>
    </row>
    <row r="75" spans="1:24" s="29" customFormat="1" ht="20.100000000000001" customHeight="1">
      <c r="G75" s="835"/>
      <c r="H75" s="832"/>
      <c r="I75" s="832"/>
      <c r="J75" s="832"/>
      <c r="K75" s="832"/>
      <c r="L75" s="832"/>
      <c r="M75" s="832"/>
      <c r="N75" s="832"/>
      <c r="O75" s="832"/>
      <c r="P75" s="832"/>
      <c r="Q75" s="832"/>
      <c r="R75" s="832"/>
      <c r="S75" s="832"/>
      <c r="T75" s="832"/>
      <c r="U75" s="832"/>
      <c r="V75" s="832"/>
      <c r="W75" s="832"/>
      <c r="X75" s="832"/>
    </row>
    <row r="76" spans="1:24" s="29" customFormat="1" ht="20.100000000000001" customHeight="1">
      <c r="G76" s="835"/>
      <c r="H76" s="832"/>
      <c r="I76" s="832"/>
      <c r="J76" s="832"/>
      <c r="K76" s="832"/>
      <c r="L76" s="832"/>
      <c r="M76" s="832"/>
      <c r="N76" s="832"/>
      <c r="O76" s="832"/>
      <c r="P76" s="832"/>
      <c r="Q76" s="832"/>
      <c r="R76" s="832"/>
      <c r="S76" s="832"/>
      <c r="T76" s="832"/>
      <c r="U76" s="832"/>
      <c r="V76" s="832"/>
      <c r="W76" s="832"/>
      <c r="X76" s="832"/>
    </row>
    <row r="77" spans="1:24" s="29" customFormat="1" ht="20.100000000000001" customHeight="1">
      <c r="G77" s="835"/>
      <c r="H77" s="832"/>
      <c r="I77" s="832"/>
      <c r="J77" s="832"/>
      <c r="K77" s="832"/>
      <c r="L77" s="832"/>
      <c r="M77" s="832"/>
      <c r="N77" s="832"/>
      <c r="O77" s="832"/>
      <c r="P77" s="832"/>
      <c r="Q77" s="832"/>
      <c r="R77" s="832"/>
      <c r="S77" s="832"/>
      <c r="T77" s="832"/>
      <c r="U77" s="832"/>
      <c r="V77" s="832"/>
      <c r="W77" s="832"/>
      <c r="X77" s="832"/>
    </row>
    <row r="78" spans="1:24" s="29" customFormat="1" ht="20.100000000000001" customHeight="1">
      <c r="G78" s="835"/>
      <c r="H78" s="832"/>
      <c r="I78" s="832"/>
      <c r="J78" s="832"/>
      <c r="K78" s="832"/>
      <c r="L78" s="832"/>
      <c r="M78" s="832"/>
      <c r="N78" s="832"/>
      <c r="O78" s="832"/>
      <c r="P78" s="832"/>
      <c r="Q78" s="832"/>
      <c r="R78" s="832"/>
      <c r="S78" s="832"/>
      <c r="T78" s="832"/>
      <c r="U78" s="832"/>
      <c r="V78" s="832"/>
      <c r="W78" s="832"/>
      <c r="X78" s="832"/>
    </row>
    <row r="79" spans="1:24" s="29" customFormat="1" ht="20.100000000000001" customHeight="1">
      <c r="G79" s="835"/>
      <c r="H79" s="832"/>
      <c r="I79" s="832"/>
      <c r="J79" s="832"/>
      <c r="K79" s="832"/>
      <c r="L79" s="832"/>
      <c r="M79" s="832"/>
      <c r="N79" s="832"/>
      <c r="O79" s="832"/>
      <c r="P79" s="832"/>
      <c r="Q79" s="832"/>
      <c r="R79" s="832"/>
      <c r="S79" s="832"/>
      <c r="T79" s="832"/>
      <c r="U79" s="832"/>
      <c r="V79" s="832"/>
      <c r="W79" s="832"/>
      <c r="X79" s="832"/>
    </row>
    <row r="80" spans="1:24" s="29" customFormat="1" ht="20.100000000000001" customHeight="1">
      <c r="G80" s="835"/>
      <c r="H80" s="832"/>
      <c r="I80" s="832"/>
      <c r="J80" s="832"/>
      <c r="K80" s="832"/>
      <c r="L80" s="832"/>
      <c r="M80" s="832"/>
      <c r="N80" s="832"/>
      <c r="O80" s="832"/>
      <c r="P80" s="832"/>
      <c r="Q80" s="832"/>
      <c r="R80" s="832"/>
      <c r="S80" s="832"/>
      <c r="T80" s="832"/>
      <c r="U80" s="832"/>
      <c r="V80" s="832"/>
      <c r="W80" s="832"/>
      <c r="X80" s="832"/>
    </row>
    <row r="81" spans="7:24" s="29" customFormat="1" ht="20.100000000000001" customHeight="1">
      <c r="G81" s="835"/>
      <c r="H81" s="832"/>
      <c r="I81" s="832"/>
      <c r="J81" s="832"/>
      <c r="K81" s="832"/>
      <c r="L81" s="832"/>
      <c r="M81" s="832"/>
      <c r="N81" s="832"/>
      <c r="O81" s="832"/>
      <c r="P81" s="832"/>
      <c r="Q81" s="832"/>
      <c r="R81" s="832"/>
      <c r="S81" s="832"/>
      <c r="T81" s="832"/>
      <c r="U81" s="832"/>
      <c r="V81" s="832"/>
      <c r="W81" s="832"/>
      <c r="X81" s="832"/>
    </row>
    <row r="82" spans="7:24" s="29" customFormat="1" ht="20.100000000000001" customHeight="1">
      <c r="G82" s="835"/>
      <c r="H82" s="832"/>
      <c r="I82" s="832"/>
      <c r="J82" s="832"/>
      <c r="K82" s="832"/>
      <c r="L82" s="832"/>
      <c r="M82" s="832"/>
      <c r="N82" s="832"/>
      <c r="O82" s="832"/>
      <c r="P82" s="832"/>
      <c r="Q82" s="832"/>
      <c r="R82" s="832"/>
      <c r="S82" s="832"/>
      <c r="T82" s="832"/>
      <c r="U82" s="832"/>
      <c r="V82" s="832"/>
      <c r="W82" s="832"/>
      <c r="X82" s="832"/>
    </row>
    <row r="83" spans="7:24" s="29" customFormat="1" ht="20.100000000000001" customHeight="1">
      <c r="G83" s="835"/>
      <c r="H83" s="832"/>
      <c r="I83" s="832"/>
      <c r="J83" s="832"/>
      <c r="K83" s="832"/>
      <c r="L83" s="832"/>
      <c r="M83" s="832"/>
      <c r="N83" s="832"/>
      <c r="O83" s="832"/>
      <c r="P83" s="832"/>
      <c r="Q83" s="832"/>
      <c r="R83" s="832"/>
      <c r="S83" s="832"/>
      <c r="T83" s="832"/>
      <c r="U83" s="832"/>
      <c r="V83" s="832"/>
      <c r="W83" s="832"/>
      <c r="X83" s="832"/>
    </row>
    <row r="84" spans="7:24" s="29" customFormat="1" ht="20.100000000000001" customHeight="1">
      <c r="G84" s="835"/>
      <c r="H84" s="832"/>
      <c r="I84" s="832"/>
      <c r="J84" s="832"/>
      <c r="K84" s="832"/>
      <c r="L84" s="832"/>
      <c r="M84" s="832"/>
      <c r="N84" s="832"/>
      <c r="O84" s="832"/>
      <c r="P84" s="832"/>
      <c r="Q84" s="832"/>
      <c r="R84" s="832"/>
      <c r="S84" s="832"/>
      <c r="T84" s="832"/>
      <c r="U84" s="832"/>
      <c r="V84" s="832"/>
      <c r="W84" s="832"/>
      <c r="X84" s="832"/>
    </row>
    <row r="85" spans="7:24" s="29" customFormat="1" ht="20.100000000000001" customHeight="1">
      <c r="G85" s="835"/>
      <c r="H85" s="832"/>
      <c r="I85" s="832"/>
      <c r="J85" s="832"/>
      <c r="K85" s="832"/>
      <c r="L85" s="832"/>
      <c r="M85" s="832"/>
      <c r="N85" s="832"/>
      <c r="O85" s="832"/>
      <c r="P85" s="832"/>
      <c r="Q85" s="832"/>
      <c r="R85" s="832"/>
      <c r="S85" s="832"/>
      <c r="T85" s="832"/>
      <c r="U85" s="832"/>
      <c r="V85" s="832"/>
      <c r="W85" s="832"/>
      <c r="X85" s="832"/>
    </row>
    <row r="86" spans="7:24" s="29" customFormat="1" ht="20.100000000000001" customHeight="1">
      <c r="G86" s="835"/>
      <c r="H86" s="832"/>
      <c r="I86" s="832"/>
      <c r="J86" s="832"/>
      <c r="K86" s="832"/>
      <c r="L86" s="832"/>
      <c r="M86" s="832"/>
      <c r="N86" s="832"/>
      <c r="O86" s="832"/>
      <c r="P86" s="832"/>
      <c r="Q86" s="832"/>
      <c r="R86" s="832"/>
      <c r="S86" s="832"/>
      <c r="T86" s="832"/>
      <c r="U86" s="832"/>
      <c r="V86" s="832"/>
      <c r="W86" s="832"/>
      <c r="X86" s="832"/>
    </row>
    <row r="87" spans="7:24" s="29" customFormat="1" ht="20.100000000000001" customHeight="1">
      <c r="G87" s="835"/>
      <c r="H87" s="832"/>
      <c r="I87" s="832"/>
      <c r="J87" s="832"/>
      <c r="K87" s="832"/>
      <c r="L87" s="832"/>
      <c r="M87" s="832"/>
      <c r="N87" s="832"/>
      <c r="O87" s="832"/>
      <c r="P87" s="832"/>
      <c r="Q87" s="832"/>
      <c r="R87" s="832"/>
      <c r="S87" s="832"/>
      <c r="T87" s="832"/>
      <c r="U87" s="832"/>
      <c r="V87" s="832"/>
      <c r="W87" s="832"/>
      <c r="X87" s="832"/>
    </row>
    <row r="88" spans="7:24" s="29" customFormat="1" ht="20.100000000000001" customHeight="1">
      <c r="G88" s="835"/>
      <c r="H88" s="832"/>
      <c r="I88" s="832"/>
      <c r="J88" s="832"/>
      <c r="K88" s="832"/>
      <c r="L88" s="832"/>
      <c r="M88" s="832"/>
      <c r="N88" s="832"/>
      <c r="O88" s="832"/>
      <c r="P88" s="832"/>
      <c r="Q88" s="832"/>
      <c r="R88" s="832"/>
      <c r="S88" s="832"/>
      <c r="T88" s="832"/>
      <c r="U88" s="832"/>
      <c r="V88" s="832"/>
      <c r="W88" s="832"/>
      <c r="X88" s="832"/>
    </row>
    <row r="89" spans="7:24" s="29" customFormat="1" ht="20.100000000000001" customHeight="1">
      <c r="G89" s="835"/>
      <c r="H89" s="832"/>
      <c r="I89" s="832"/>
      <c r="J89" s="832"/>
      <c r="K89" s="832"/>
      <c r="L89" s="832"/>
      <c r="M89" s="832"/>
      <c r="N89" s="832"/>
      <c r="O89" s="832"/>
      <c r="P89" s="832"/>
      <c r="Q89" s="832"/>
      <c r="R89" s="832"/>
      <c r="S89" s="832"/>
      <c r="T89" s="832"/>
      <c r="U89" s="832"/>
      <c r="V89" s="832"/>
      <c r="W89" s="832"/>
      <c r="X89" s="832"/>
    </row>
    <row r="90" spans="7:24" s="29" customFormat="1" ht="20.100000000000001" customHeight="1">
      <c r="G90" s="835"/>
      <c r="H90" s="832"/>
      <c r="I90" s="832"/>
      <c r="J90" s="832"/>
      <c r="K90" s="832"/>
      <c r="L90" s="832"/>
      <c r="M90" s="832"/>
      <c r="N90" s="832"/>
      <c r="O90" s="832"/>
      <c r="P90" s="832"/>
      <c r="Q90" s="832"/>
      <c r="R90" s="832"/>
      <c r="S90" s="832"/>
      <c r="T90" s="832"/>
      <c r="U90" s="832"/>
      <c r="V90" s="832"/>
      <c r="W90" s="832"/>
      <c r="X90" s="832"/>
    </row>
    <row r="91" spans="7:24" s="29" customFormat="1" ht="20.100000000000001" customHeight="1">
      <c r="G91" s="835"/>
      <c r="H91" s="832"/>
      <c r="I91" s="832"/>
      <c r="J91" s="832"/>
      <c r="K91" s="832"/>
      <c r="L91" s="832"/>
      <c r="M91" s="832"/>
      <c r="N91" s="832"/>
      <c r="O91" s="832"/>
      <c r="P91" s="832"/>
      <c r="Q91" s="832"/>
      <c r="R91" s="832"/>
      <c r="S91" s="832"/>
      <c r="T91" s="832"/>
      <c r="U91" s="832"/>
      <c r="V91" s="832"/>
      <c r="W91" s="832"/>
      <c r="X91" s="832"/>
    </row>
    <row r="92" spans="7:24" s="29" customFormat="1" ht="20.100000000000001" customHeight="1">
      <c r="G92" s="835"/>
      <c r="H92" s="832"/>
      <c r="I92" s="832"/>
      <c r="J92" s="832"/>
      <c r="K92" s="832"/>
      <c r="L92" s="832"/>
      <c r="M92" s="832"/>
      <c r="N92" s="832"/>
      <c r="O92" s="832"/>
      <c r="P92" s="832"/>
      <c r="Q92" s="832"/>
      <c r="R92" s="832"/>
      <c r="S92" s="832"/>
      <c r="T92" s="832"/>
      <c r="U92" s="832"/>
      <c r="V92" s="832"/>
      <c r="W92" s="832"/>
      <c r="X92" s="832"/>
    </row>
    <row r="93" spans="7:24" s="29" customFormat="1" ht="20.100000000000001" customHeight="1">
      <c r="G93" s="835"/>
      <c r="H93" s="832"/>
      <c r="I93" s="832"/>
      <c r="J93" s="832"/>
      <c r="K93" s="832"/>
      <c r="L93" s="832"/>
      <c r="M93" s="832"/>
      <c r="N93" s="832"/>
      <c r="O93" s="832"/>
      <c r="P93" s="832"/>
      <c r="Q93" s="832"/>
      <c r="R93" s="832"/>
      <c r="S93" s="832"/>
      <c r="T93" s="832"/>
      <c r="U93" s="832"/>
      <c r="V93" s="832"/>
      <c r="W93" s="832"/>
      <c r="X93" s="832"/>
    </row>
    <row r="94" spans="7:24" s="29" customFormat="1" ht="20.100000000000001" customHeight="1">
      <c r="G94" s="835"/>
      <c r="H94" s="832"/>
      <c r="I94" s="832"/>
      <c r="J94" s="832"/>
      <c r="K94" s="832"/>
      <c r="L94" s="832"/>
      <c r="M94" s="832"/>
      <c r="N94" s="832"/>
      <c r="O94" s="832"/>
      <c r="P94" s="832"/>
      <c r="Q94" s="832"/>
      <c r="R94" s="832"/>
      <c r="S94" s="832"/>
      <c r="T94" s="832"/>
      <c r="U94" s="832"/>
      <c r="V94" s="832"/>
      <c r="W94" s="832"/>
      <c r="X94" s="832"/>
    </row>
    <row r="95" spans="7:24" s="29" customFormat="1" ht="20.100000000000001" customHeight="1">
      <c r="G95" s="835"/>
      <c r="H95" s="832"/>
      <c r="I95" s="832"/>
      <c r="J95" s="832"/>
      <c r="K95" s="832"/>
      <c r="L95" s="832"/>
      <c r="M95" s="832"/>
      <c r="N95" s="832"/>
      <c r="O95" s="832"/>
      <c r="P95" s="832"/>
      <c r="Q95" s="832"/>
      <c r="R95" s="832"/>
      <c r="S95" s="832"/>
      <c r="T95" s="832"/>
      <c r="U95" s="832"/>
      <c r="V95" s="832"/>
      <c r="W95" s="832"/>
      <c r="X95" s="832"/>
    </row>
    <row r="96" spans="7:24" s="29" customFormat="1" ht="20.100000000000001" customHeight="1">
      <c r="G96" s="835"/>
      <c r="H96" s="832"/>
      <c r="I96" s="832"/>
      <c r="J96" s="832"/>
      <c r="K96" s="832"/>
      <c r="L96" s="832"/>
      <c r="M96" s="832"/>
      <c r="N96" s="832"/>
      <c r="O96" s="832"/>
      <c r="P96" s="832"/>
      <c r="Q96" s="832"/>
      <c r="R96" s="832"/>
      <c r="S96" s="832"/>
      <c r="T96" s="832"/>
      <c r="U96" s="832"/>
      <c r="V96" s="832"/>
      <c r="W96" s="832"/>
      <c r="X96" s="832"/>
    </row>
    <row r="97" spans="7:24" s="29" customFormat="1" ht="20.100000000000001" customHeight="1">
      <c r="G97" s="835"/>
      <c r="H97" s="832"/>
      <c r="I97" s="832"/>
      <c r="J97" s="832"/>
      <c r="K97" s="832"/>
      <c r="L97" s="832"/>
      <c r="M97" s="832"/>
      <c r="N97" s="832"/>
      <c r="O97" s="832"/>
      <c r="P97" s="832"/>
      <c r="Q97" s="832"/>
      <c r="R97" s="832"/>
      <c r="S97" s="832"/>
      <c r="T97" s="832"/>
      <c r="U97" s="832"/>
      <c r="V97" s="832"/>
      <c r="W97" s="832"/>
      <c r="X97" s="832"/>
    </row>
    <row r="98" spans="7:24" s="29" customFormat="1" ht="20.100000000000001" customHeight="1">
      <c r="G98" s="835"/>
      <c r="H98" s="832"/>
      <c r="I98" s="832"/>
      <c r="J98" s="832"/>
      <c r="K98" s="832"/>
      <c r="L98" s="832"/>
      <c r="M98" s="832"/>
      <c r="N98" s="832"/>
      <c r="O98" s="832"/>
      <c r="P98" s="832"/>
      <c r="Q98" s="832"/>
      <c r="R98" s="832"/>
      <c r="S98" s="832"/>
      <c r="T98" s="832"/>
      <c r="U98" s="832"/>
      <c r="V98" s="832"/>
      <c r="W98" s="832"/>
      <c r="X98" s="832"/>
    </row>
    <row r="99" spans="7:24" s="29" customFormat="1" ht="20.100000000000001" customHeight="1">
      <c r="G99" s="835"/>
      <c r="H99" s="832"/>
      <c r="I99" s="832"/>
      <c r="J99" s="832"/>
      <c r="K99" s="832"/>
      <c r="L99" s="832"/>
      <c r="M99" s="832"/>
      <c r="N99" s="832"/>
      <c r="O99" s="832"/>
      <c r="P99" s="832"/>
      <c r="Q99" s="832"/>
      <c r="R99" s="832"/>
      <c r="S99" s="832"/>
      <c r="T99" s="832"/>
      <c r="U99" s="832"/>
      <c r="V99" s="832"/>
      <c r="W99" s="832"/>
      <c r="X99" s="832"/>
    </row>
    <row r="100" spans="7:24" s="29" customFormat="1" ht="20.100000000000001" customHeight="1">
      <c r="G100" s="835"/>
      <c r="H100" s="832"/>
      <c r="I100" s="832"/>
      <c r="J100" s="832"/>
      <c r="K100" s="832"/>
      <c r="L100" s="832"/>
      <c r="M100" s="832"/>
      <c r="N100" s="832"/>
      <c r="O100" s="832"/>
      <c r="P100" s="832"/>
      <c r="Q100" s="832"/>
      <c r="R100" s="832"/>
      <c r="S100" s="832"/>
      <c r="T100" s="832"/>
      <c r="U100" s="832"/>
      <c r="V100" s="832"/>
      <c r="W100" s="832"/>
      <c r="X100" s="832"/>
    </row>
    <row r="101" spans="7:24" s="29" customFormat="1" ht="20.100000000000001" customHeight="1">
      <c r="G101" s="835"/>
      <c r="H101" s="832"/>
      <c r="I101" s="832"/>
      <c r="J101" s="832"/>
      <c r="K101" s="832"/>
      <c r="L101" s="832"/>
      <c r="M101" s="832"/>
      <c r="N101" s="832"/>
      <c r="O101" s="832"/>
      <c r="P101" s="832"/>
      <c r="Q101" s="832"/>
      <c r="R101" s="832"/>
      <c r="S101" s="832"/>
      <c r="T101" s="832"/>
      <c r="U101" s="832"/>
      <c r="V101" s="832"/>
      <c r="W101" s="832"/>
      <c r="X101" s="832"/>
    </row>
    <row r="102" spans="7:24" s="29" customFormat="1" ht="20.100000000000001" customHeight="1">
      <c r="G102" s="835"/>
      <c r="H102" s="832"/>
      <c r="I102" s="832"/>
      <c r="J102" s="832"/>
      <c r="K102" s="832"/>
      <c r="L102" s="832"/>
      <c r="M102" s="832"/>
      <c r="N102" s="832"/>
      <c r="O102" s="832"/>
      <c r="P102" s="832"/>
      <c r="Q102" s="832"/>
      <c r="R102" s="832"/>
      <c r="S102" s="832"/>
      <c r="T102" s="832"/>
      <c r="U102" s="832"/>
      <c r="V102" s="832"/>
      <c r="W102" s="832"/>
      <c r="X102" s="832"/>
    </row>
    <row r="103" spans="7:24" s="29" customFormat="1" ht="20.100000000000001" customHeight="1">
      <c r="G103" s="835"/>
      <c r="H103" s="832"/>
      <c r="I103" s="832"/>
      <c r="J103" s="832"/>
      <c r="K103" s="832"/>
      <c r="L103" s="832"/>
      <c r="M103" s="832"/>
      <c r="N103" s="832"/>
      <c r="O103" s="832"/>
      <c r="P103" s="832"/>
      <c r="Q103" s="832"/>
      <c r="R103" s="832"/>
      <c r="S103" s="832"/>
      <c r="T103" s="832"/>
      <c r="U103" s="832"/>
      <c r="V103" s="832"/>
      <c r="W103" s="832"/>
      <c r="X103" s="832"/>
    </row>
    <row r="104" spans="7:24" s="29" customFormat="1" ht="20.100000000000001" customHeight="1">
      <c r="G104" s="835"/>
      <c r="H104" s="832"/>
      <c r="I104" s="832"/>
      <c r="J104" s="832"/>
      <c r="K104" s="832"/>
      <c r="L104" s="832"/>
      <c r="M104" s="832"/>
      <c r="N104" s="832"/>
      <c r="O104" s="832"/>
      <c r="P104" s="832"/>
      <c r="Q104" s="832"/>
      <c r="R104" s="832"/>
      <c r="S104" s="832"/>
      <c r="T104" s="832"/>
      <c r="U104" s="832"/>
      <c r="V104" s="832"/>
      <c r="W104" s="832"/>
      <c r="X104" s="832"/>
    </row>
    <row r="105" spans="7:24" s="29" customFormat="1" ht="20.100000000000001" customHeight="1">
      <c r="G105" s="835"/>
      <c r="H105" s="832"/>
      <c r="I105" s="832"/>
      <c r="J105" s="832"/>
      <c r="K105" s="832"/>
      <c r="L105" s="832"/>
      <c r="M105" s="832"/>
      <c r="N105" s="832"/>
      <c r="O105" s="832"/>
      <c r="P105" s="832"/>
      <c r="Q105" s="832"/>
      <c r="R105" s="832"/>
      <c r="S105" s="832"/>
      <c r="T105" s="832"/>
      <c r="U105" s="832"/>
      <c r="V105" s="832"/>
      <c r="W105" s="832"/>
      <c r="X105" s="832"/>
    </row>
    <row r="106" spans="7:24" s="29" customFormat="1" ht="20.100000000000001" customHeight="1">
      <c r="G106" s="835"/>
      <c r="H106" s="832"/>
      <c r="I106" s="832"/>
      <c r="J106" s="832"/>
      <c r="K106" s="832"/>
      <c r="L106" s="832"/>
      <c r="M106" s="832"/>
      <c r="N106" s="832"/>
      <c r="O106" s="832"/>
      <c r="P106" s="832"/>
      <c r="Q106" s="832"/>
      <c r="R106" s="832"/>
      <c r="S106" s="832"/>
      <c r="T106" s="832"/>
      <c r="U106" s="832"/>
      <c r="V106" s="832"/>
      <c r="W106" s="832"/>
      <c r="X106" s="832"/>
    </row>
    <row r="107" spans="7:24" s="29" customFormat="1" ht="20.100000000000001" customHeight="1">
      <c r="G107" s="835"/>
      <c r="H107" s="832"/>
      <c r="I107" s="832"/>
      <c r="J107" s="832"/>
      <c r="K107" s="832"/>
      <c r="L107" s="832"/>
      <c r="M107" s="832"/>
      <c r="N107" s="832"/>
      <c r="O107" s="832"/>
      <c r="P107" s="832"/>
      <c r="Q107" s="832"/>
      <c r="R107" s="832"/>
      <c r="S107" s="832"/>
      <c r="T107" s="832"/>
      <c r="U107" s="832"/>
      <c r="V107" s="832"/>
      <c r="W107" s="832"/>
      <c r="X107" s="832"/>
    </row>
    <row r="108" spans="7:24" s="29" customFormat="1" ht="20.100000000000001" customHeight="1">
      <c r="G108" s="835"/>
      <c r="H108" s="832"/>
      <c r="I108" s="832"/>
      <c r="J108" s="832"/>
      <c r="K108" s="832"/>
      <c r="L108" s="832"/>
      <c r="M108" s="832"/>
      <c r="N108" s="832"/>
      <c r="O108" s="832"/>
      <c r="P108" s="832"/>
      <c r="Q108" s="832"/>
      <c r="R108" s="832"/>
      <c r="S108" s="832"/>
      <c r="T108" s="832"/>
      <c r="U108" s="832"/>
      <c r="V108" s="832"/>
      <c r="W108" s="832"/>
      <c r="X108" s="832"/>
    </row>
    <row r="109" spans="7:24" s="29" customFormat="1" ht="20.100000000000001" customHeight="1">
      <c r="G109" s="835"/>
      <c r="H109" s="832"/>
      <c r="I109" s="832"/>
      <c r="J109" s="832"/>
      <c r="K109" s="832"/>
      <c r="L109" s="832"/>
      <c r="M109" s="832"/>
      <c r="N109" s="832"/>
      <c r="O109" s="832"/>
      <c r="P109" s="832"/>
      <c r="Q109" s="832"/>
      <c r="R109" s="832"/>
      <c r="S109" s="832"/>
      <c r="T109" s="832"/>
      <c r="U109" s="832"/>
      <c r="V109" s="832"/>
      <c r="W109" s="832"/>
      <c r="X109" s="832"/>
    </row>
    <row r="110" spans="7:24" s="29" customFormat="1" ht="20.100000000000001" customHeight="1">
      <c r="G110" s="835"/>
      <c r="H110" s="832"/>
      <c r="I110" s="832"/>
      <c r="J110" s="832"/>
      <c r="K110" s="832"/>
      <c r="L110" s="832"/>
      <c r="M110" s="832"/>
      <c r="N110" s="832"/>
      <c r="O110" s="832"/>
      <c r="P110" s="832"/>
      <c r="Q110" s="832"/>
      <c r="R110" s="832"/>
      <c r="S110" s="832"/>
      <c r="T110" s="832"/>
      <c r="U110" s="832"/>
      <c r="V110" s="832"/>
      <c r="W110" s="832"/>
      <c r="X110" s="832"/>
    </row>
    <row r="111" spans="7:24" s="29" customFormat="1" ht="20.100000000000001" customHeight="1">
      <c r="G111" s="835"/>
      <c r="H111" s="832"/>
      <c r="I111" s="832"/>
      <c r="J111" s="832"/>
      <c r="K111" s="832"/>
      <c r="L111" s="832"/>
      <c r="M111" s="832"/>
      <c r="N111" s="832"/>
      <c r="O111" s="832"/>
      <c r="P111" s="832"/>
      <c r="Q111" s="832"/>
      <c r="R111" s="832"/>
      <c r="S111" s="832"/>
      <c r="T111" s="832"/>
      <c r="U111" s="832"/>
      <c r="V111" s="832"/>
      <c r="W111" s="832"/>
      <c r="X111" s="832"/>
    </row>
    <row r="112" spans="7:24" s="29" customFormat="1" ht="20.100000000000001" customHeight="1">
      <c r="G112" s="835"/>
      <c r="H112" s="832"/>
      <c r="I112" s="832"/>
      <c r="J112" s="832"/>
      <c r="K112" s="832"/>
      <c r="L112" s="832"/>
      <c r="M112" s="832"/>
      <c r="N112" s="832"/>
      <c r="O112" s="832"/>
      <c r="P112" s="832"/>
      <c r="Q112" s="832"/>
      <c r="R112" s="832"/>
      <c r="S112" s="832"/>
      <c r="T112" s="832"/>
      <c r="U112" s="832"/>
      <c r="V112" s="832"/>
      <c r="W112" s="832"/>
      <c r="X112" s="832"/>
    </row>
    <row r="113" spans="7:24" s="29" customFormat="1" ht="20.100000000000001" customHeight="1">
      <c r="G113" s="835"/>
      <c r="H113" s="832"/>
      <c r="I113" s="832"/>
      <c r="J113" s="832"/>
      <c r="K113" s="832"/>
      <c r="L113" s="832"/>
      <c r="M113" s="832"/>
      <c r="N113" s="832"/>
      <c r="O113" s="832"/>
      <c r="P113" s="832"/>
      <c r="Q113" s="832"/>
      <c r="R113" s="832"/>
      <c r="S113" s="832"/>
      <c r="T113" s="832"/>
      <c r="U113" s="832"/>
      <c r="V113" s="832"/>
      <c r="W113" s="832"/>
      <c r="X113" s="832"/>
    </row>
    <row r="114" spans="7:24" s="29" customFormat="1" ht="20.100000000000001" customHeight="1">
      <c r="G114" s="835"/>
      <c r="H114" s="832"/>
      <c r="I114" s="832"/>
      <c r="J114" s="832"/>
      <c r="K114" s="832"/>
      <c r="L114" s="832"/>
      <c r="M114" s="832"/>
      <c r="N114" s="832"/>
      <c r="O114" s="832"/>
      <c r="P114" s="832"/>
      <c r="Q114" s="832"/>
      <c r="R114" s="832"/>
      <c r="S114" s="832"/>
      <c r="T114" s="832"/>
      <c r="U114" s="832"/>
      <c r="V114" s="832"/>
      <c r="W114" s="832"/>
      <c r="X114" s="832"/>
    </row>
    <row r="115" spans="7:24" s="29" customFormat="1" ht="20.100000000000001" customHeight="1">
      <c r="G115" s="835"/>
      <c r="H115" s="832"/>
      <c r="I115" s="832"/>
      <c r="J115" s="832"/>
      <c r="K115" s="832"/>
      <c r="L115" s="832"/>
      <c r="M115" s="832"/>
      <c r="N115" s="832"/>
      <c r="O115" s="832"/>
      <c r="P115" s="832"/>
      <c r="Q115" s="832"/>
      <c r="R115" s="832"/>
      <c r="S115" s="832"/>
      <c r="T115" s="832"/>
      <c r="U115" s="832"/>
      <c r="V115" s="832"/>
      <c r="W115" s="832"/>
      <c r="X115" s="832"/>
    </row>
    <row r="116" spans="7:24" s="29" customFormat="1" ht="20.100000000000001" customHeight="1">
      <c r="G116" s="835"/>
      <c r="H116" s="832"/>
      <c r="I116" s="832"/>
      <c r="J116" s="832"/>
      <c r="K116" s="832"/>
      <c r="L116" s="832"/>
      <c r="M116" s="832"/>
      <c r="N116" s="832"/>
      <c r="O116" s="832"/>
      <c r="P116" s="832"/>
      <c r="Q116" s="832"/>
      <c r="R116" s="832"/>
      <c r="S116" s="832"/>
      <c r="T116" s="832"/>
      <c r="U116" s="832"/>
      <c r="V116" s="832"/>
      <c r="W116" s="832"/>
      <c r="X116" s="832"/>
    </row>
    <row r="117" spans="7:24" s="29" customFormat="1" ht="20.100000000000001" customHeight="1">
      <c r="G117" s="835"/>
      <c r="H117" s="832"/>
      <c r="I117" s="832"/>
      <c r="J117" s="832"/>
      <c r="K117" s="832"/>
      <c r="L117" s="832"/>
      <c r="M117" s="832"/>
      <c r="N117" s="832"/>
      <c r="O117" s="832"/>
      <c r="P117" s="832"/>
      <c r="Q117" s="832"/>
      <c r="R117" s="832"/>
      <c r="S117" s="832"/>
      <c r="T117" s="832"/>
      <c r="U117" s="832"/>
      <c r="V117" s="832"/>
      <c r="W117" s="832"/>
      <c r="X117" s="832"/>
    </row>
    <row r="118" spans="7:24" s="29" customFormat="1" ht="20.100000000000001" customHeight="1">
      <c r="G118" s="835"/>
      <c r="H118" s="832"/>
      <c r="I118" s="832"/>
      <c r="J118" s="832"/>
      <c r="K118" s="832"/>
      <c r="L118" s="832"/>
      <c r="M118" s="832"/>
      <c r="N118" s="832"/>
      <c r="O118" s="832"/>
      <c r="P118" s="832"/>
      <c r="Q118" s="832"/>
      <c r="R118" s="832"/>
      <c r="S118" s="832"/>
      <c r="T118" s="832"/>
      <c r="U118" s="832"/>
      <c r="V118" s="832"/>
      <c r="W118" s="832"/>
      <c r="X118" s="832"/>
    </row>
    <row r="119" spans="7:24" s="29" customFormat="1" ht="20.100000000000001" customHeight="1">
      <c r="G119" s="835"/>
      <c r="H119" s="832"/>
      <c r="I119" s="832"/>
      <c r="J119" s="832"/>
      <c r="K119" s="832"/>
      <c r="L119" s="832"/>
      <c r="M119" s="832"/>
      <c r="N119" s="832"/>
      <c r="O119" s="832"/>
      <c r="P119" s="832"/>
      <c r="Q119" s="832"/>
      <c r="R119" s="832"/>
      <c r="S119" s="832"/>
      <c r="T119" s="832"/>
      <c r="U119" s="832"/>
      <c r="V119" s="832"/>
      <c r="W119" s="832"/>
      <c r="X119" s="832"/>
    </row>
    <row r="120" spans="7:24" s="29" customFormat="1" ht="20.100000000000001" customHeight="1">
      <c r="G120" s="835"/>
      <c r="H120" s="832"/>
      <c r="I120" s="832"/>
      <c r="J120" s="832"/>
      <c r="K120" s="832"/>
      <c r="L120" s="832"/>
      <c r="M120" s="832"/>
      <c r="N120" s="832"/>
      <c r="O120" s="832"/>
      <c r="P120" s="832"/>
      <c r="Q120" s="832"/>
      <c r="R120" s="832"/>
      <c r="S120" s="832"/>
      <c r="T120" s="832"/>
      <c r="U120" s="832"/>
      <c r="V120" s="832"/>
      <c r="W120" s="832"/>
      <c r="X120" s="832"/>
    </row>
    <row r="121" spans="7:24" s="29" customFormat="1" ht="20.100000000000001" customHeight="1">
      <c r="G121" s="835"/>
      <c r="H121" s="832"/>
      <c r="I121" s="832"/>
      <c r="J121" s="832"/>
      <c r="K121" s="832"/>
      <c r="L121" s="832"/>
      <c r="M121" s="832"/>
      <c r="N121" s="832"/>
      <c r="O121" s="832"/>
      <c r="P121" s="832"/>
      <c r="Q121" s="832"/>
      <c r="R121" s="832"/>
      <c r="S121" s="832"/>
      <c r="T121" s="832"/>
      <c r="U121" s="832"/>
      <c r="V121" s="832"/>
      <c r="W121" s="832"/>
      <c r="X121" s="832"/>
    </row>
    <row r="122" spans="7:24" s="29" customFormat="1" ht="20.100000000000001" customHeight="1">
      <c r="G122" s="835"/>
      <c r="H122" s="832"/>
      <c r="I122" s="832"/>
      <c r="J122" s="832"/>
      <c r="K122" s="832"/>
      <c r="L122" s="832"/>
      <c r="M122" s="832"/>
      <c r="N122" s="832"/>
      <c r="O122" s="832"/>
      <c r="P122" s="832"/>
      <c r="Q122" s="832"/>
      <c r="R122" s="832"/>
      <c r="S122" s="832"/>
      <c r="T122" s="832"/>
      <c r="U122" s="832"/>
      <c r="V122" s="832"/>
      <c r="W122" s="832"/>
      <c r="X122" s="832"/>
    </row>
    <row r="123" spans="7:24" s="29" customFormat="1" ht="20.100000000000001" customHeight="1">
      <c r="G123" s="835"/>
      <c r="H123" s="832"/>
      <c r="I123" s="832"/>
      <c r="J123" s="832"/>
      <c r="K123" s="832"/>
      <c r="L123" s="832"/>
      <c r="M123" s="832"/>
      <c r="N123" s="832"/>
      <c r="O123" s="832"/>
      <c r="P123" s="832"/>
      <c r="Q123" s="832"/>
      <c r="R123" s="832"/>
      <c r="S123" s="832"/>
      <c r="T123" s="832"/>
      <c r="U123" s="832"/>
      <c r="V123" s="832"/>
      <c r="W123" s="832"/>
      <c r="X123" s="832"/>
    </row>
    <row r="124" spans="7:24" s="29" customFormat="1" ht="20.100000000000001" customHeight="1">
      <c r="G124" s="835"/>
      <c r="H124" s="832"/>
      <c r="I124" s="832"/>
      <c r="J124" s="832"/>
      <c r="K124" s="832"/>
      <c r="L124" s="832"/>
      <c r="M124" s="832"/>
      <c r="N124" s="832"/>
      <c r="O124" s="832"/>
      <c r="P124" s="832"/>
      <c r="Q124" s="832"/>
      <c r="R124" s="832"/>
      <c r="S124" s="832"/>
      <c r="T124" s="832"/>
      <c r="U124" s="832"/>
      <c r="V124" s="832"/>
      <c r="W124" s="832"/>
      <c r="X124" s="832"/>
    </row>
    <row r="125" spans="7:24" s="29" customFormat="1" ht="20.100000000000001" customHeight="1">
      <c r="G125" s="835"/>
      <c r="H125" s="832"/>
      <c r="I125" s="832"/>
      <c r="J125" s="832"/>
      <c r="K125" s="832"/>
      <c r="L125" s="832"/>
      <c r="M125" s="832"/>
      <c r="N125" s="832"/>
      <c r="O125" s="832"/>
      <c r="P125" s="832"/>
      <c r="Q125" s="832"/>
      <c r="R125" s="832"/>
      <c r="S125" s="832"/>
      <c r="T125" s="832"/>
      <c r="U125" s="832"/>
      <c r="V125" s="832"/>
      <c r="W125" s="832"/>
      <c r="X125" s="832"/>
    </row>
    <row r="126" spans="7:24" s="29" customFormat="1" ht="20.100000000000001" customHeight="1">
      <c r="G126" s="835"/>
      <c r="H126" s="832"/>
      <c r="I126" s="832"/>
      <c r="J126" s="832"/>
      <c r="K126" s="832"/>
      <c r="L126" s="832"/>
      <c r="M126" s="832"/>
      <c r="N126" s="832"/>
      <c r="O126" s="832"/>
      <c r="P126" s="832"/>
      <c r="Q126" s="832"/>
      <c r="R126" s="832"/>
      <c r="S126" s="832"/>
      <c r="T126" s="832"/>
      <c r="U126" s="832"/>
      <c r="V126" s="832"/>
      <c r="W126" s="832"/>
      <c r="X126" s="832"/>
    </row>
    <row r="127" spans="7:24" s="29" customFormat="1" ht="20.100000000000001" customHeight="1">
      <c r="G127" s="835"/>
      <c r="H127" s="832"/>
      <c r="I127" s="832"/>
      <c r="J127" s="832"/>
      <c r="K127" s="832"/>
      <c r="L127" s="832"/>
      <c r="M127" s="832"/>
      <c r="N127" s="832"/>
      <c r="O127" s="832"/>
      <c r="P127" s="832"/>
      <c r="Q127" s="832"/>
      <c r="R127" s="832"/>
      <c r="S127" s="832"/>
      <c r="T127" s="832"/>
      <c r="U127" s="832"/>
      <c r="V127" s="832"/>
      <c r="W127" s="832"/>
      <c r="X127" s="832"/>
    </row>
    <row r="128" spans="7:24" s="29" customFormat="1" ht="20.100000000000001" customHeight="1">
      <c r="G128" s="835"/>
      <c r="H128" s="832"/>
      <c r="I128" s="832"/>
      <c r="J128" s="832"/>
      <c r="K128" s="832"/>
      <c r="L128" s="832"/>
      <c r="M128" s="832"/>
      <c r="N128" s="832"/>
      <c r="O128" s="832"/>
      <c r="P128" s="832"/>
      <c r="Q128" s="832"/>
      <c r="R128" s="832"/>
      <c r="S128" s="832"/>
      <c r="T128" s="832"/>
      <c r="U128" s="832"/>
      <c r="V128" s="832"/>
      <c r="W128" s="832"/>
      <c r="X128" s="832"/>
    </row>
    <row r="129" spans="7:24" s="29" customFormat="1" ht="20.100000000000001" customHeight="1">
      <c r="G129" s="835"/>
      <c r="H129" s="832"/>
      <c r="I129" s="832"/>
      <c r="J129" s="832"/>
      <c r="K129" s="832"/>
      <c r="L129" s="832"/>
      <c r="M129" s="832"/>
      <c r="N129" s="832"/>
      <c r="O129" s="832"/>
      <c r="P129" s="832"/>
      <c r="Q129" s="832"/>
      <c r="R129" s="832"/>
      <c r="S129" s="832"/>
      <c r="T129" s="832"/>
      <c r="U129" s="832"/>
      <c r="V129" s="832"/>
      <c r="W129" s="832"/>
      <c r="X129" s="832"/>
    </row>
    <row r="130" spans="7:24" s="29" customFormat="1" ht="20.100000000000001" customHeight="1">
      <c r="G130" s="835"/>
      <c r="H130" s="832"/>
      <c r="I130" s="832"/>
      <c r="J130" s="832"/>
      <c r="K130" s="832"/>
      <c r="L130" s="832"/>
      <c r="M130" s="832"/>
      <c r="N130" s="832"/>
      <c r="O130" s="832"/>
      <c r="P130" s="832"/>
      <c r="Q130" s="832"/>
      <c r="R130" s="832"/>
      <c r="S130" s="832"/>
      <c r="T130" s="832"/>
      <c r="U130" s="832"/>
      <c r="V130" s="832"/>
      <c r="W130" s="832"/>
      <c r="X130" s="832"/>
    </row>
    <row r="131" spans="7:24" s="29" customFormat="1" ht="20.100000000000001" customHeight="1">
      <c r="G131" s="835"/>
      <c r="H131" s="832"/>
      <c r="I131" s="832"/>
      <c r="J131" s="832"/>
      <c r="K131" s="832"/>
      <c r="L131" s="832"/>
      <c r="M131" s="832"/>
      <c r="N131" s="832"/>
      <c r="O131" s="832"/>
      <c r="P131" s="832"/>
      <c r="Q131" s="832"/>
      <c r="R131" s="832"/>
      <c r="S131" s="832"/>
      <c r="T131" s="832"/>
      <c r="U131" s="832"/>
      <c r="V131" s="832"/>
      <c r="W131" s="832"/>
      <c r="X131" s="832"/>
    </row>
    <row r="132" spans="7:24" s="29" customFormat="1" ht="20.100000000000001" customHeight="1">
      <c r="G132" s="835"/>
      <c r="H132" s="832"/>
      <c r="I132" s="832"/>
      <c r="J132" s="832"/>
      <c r="K132" s="832"/>
      <c r="L132" s="832"/>
      <c r="M132" s="832"/>
      <c r="N132" s="832"/>
      <c r="O132" s="832"/>
      <c r="P132" s="832"/>
      <c r="Q132" s="832"/>
      <c r="R132" s="832"/>
      <c r="S132" s="832"/>
      <c r="T132" s="832"/>
      <c r="U132" s="832"/>
      <c r="V132" s="832"/>
      <c r="W132" s="832"/>
      <c r="X132" s="832"/>
    </row>
    <row r="133" spans="7:24" s="29" customFormat="1" ht="20.100000000000001" customHeight="1">
      <c r="G133" s="835"/>
      <c r="H133" s="832"/>
      <c r="I133" s="832"/>
      <c r="J133" s="832"/>
      <c r="K133" s="832"/>
      <c r="L133" s="832"/>
      <c r="M133" s="832"/>
      <c r="N133" s="832"/>
      <c r="O133" s="832"/>
      <c r="P133" s="832"/>
      <c r="Q133" s="832"/>
      <c r="R133" s="832"/>
      <c r="S133" s="832"/>
      <c r="T133" s="832"/>
      <c r="U133" s="832"/>
      <c r="V133" s="832"/>
      <c r="W133" s="832"/>
      <c r="X133" s="832"/>
    </row>
    <row r="134" spans="7:24" s="29" customFormat="1" ht="20.100000000000001" customHeight="1">
      <c r="G134" s="835"/>
      <c r="H134" s="832"/>
      <c r="I134" s="832"/>
      <c r="J134" s="832"/>
      <c r="K134" s="832"/>
      <c r="L134" s="832"/>
      <c r="M134" s="832"/>
      <c r="N134" s="832"/>
      <c r="O134" s="832"/>
      <c r="P134" s="832"/>
      <c r="Q134" s="832"/>
      <c r="R134" s="832"/>
      <c r="S134" s="832"/>
      <c r="T134" s="832"/>
      <c r="U134" s="832"/>
      <c r="V134" s="832"/>
      <c r="W134" s="832"/>
      <c r="X134" s="832"/>
    </row>
    <row r="135" spans="7:24" s="29" customFormat="1" ht="20.100000000000001" customHeight="1">
      <c r="G135" s="835"/>
      <c r="H135" s="832"/>
      <c r="I135" s="832"/>
      <c r="J135" s="832"/>
      <c r="K135" s="832"/>
      <c r="L135" s="832"/>
      <c r="M135" s="832"/>
      <c r="N135" s="832"/>
      <c r="O135" s="832"/>
      <c r="P135" s="832"/>
      <c r="Q135" s="832"/>
      <c r="R135" s="832"/>
      <c r="S135" s="832"/>
      <c r="T135" s="832"/>
      <c r="U135" s="832"/>
      <c r="V135" s="832"/>
      <c r="W135" s="832"/>
      <c r="X135" s="832"/>
    </row>
    <row r="136" spans="7:24" s="29" customFormat="1" ht="20.100000000000001" customHeight="1">
      <c r="G136" s="835"/>
      <c r="H136" s="832"/>
      <c r="I136" s="832"/>
      <c r="J136" s="832"/>
      <c r="K136" s="832"/>
      <c r="L136" s="832"/>
      <c r="M136" s="832"/>
      <c r="N136" s="832"/>
      <c r="O136" s="832"/>
      <c r="P136" s="832"/>
      <c r="Q136" s="832"/>
      <c r="R136" s="832"/>
      <c r="S136" s="832"/>
      <c r="T136" s="832"/>
      <c r="U136" s="832"/>
      <c r="V136" s="832"/>
      <c r="W136" s="832"/>
      <c r="X136" s="832"/>
    </row>
    <row r="137" spans="7:24" s="29" customFormat="1" ht="20.100000000000001" customHeight="1">
      <c r="G137" s="835"/>
      <c r="H137" s="832"/>
      <c r="I137" s="832"/>
      <c r="J137" s="832"/>
      <c r="K137" s="832"/>
      <c r="L137" s="832"/>
      <c r="M137" s="832"/>
      <c r="N137" s="832"/>
      <c r="O137" s="832"/>
      <c r="P137" s="832"/>
      <c r="Q137" s="832"/>
      <c r="R137" s="832"/>
      <c r="S137" s="832"/>
      <c r="T137" s="832"/>
      <c r="U137" s="832"/>
      <c r="V137" s="832"/>
      <c r="W137" s="832"/>
      <c r="X137" s="832"/>
    </row>
    <row r="138" spans="7:24" s="29" customFormat="1" ht="20.100000000000001" customHeight="1">
      <c r="G138" s="835"/>
      <c r="H138" s="832"/>
      <c r="I138" s="832"/>
      <c r="J138" s="832"/>
      <c r="K138" s="832"/>
      <c r="L138" s="832"/>
      <c r="M138" s="832"/>
      <c r="N138" s="832"/>
      <c r="O138" s="832"/>
      <c r="P138" s="832"/>
      <c r="Q138" s="832"/>
      <c r="R138" s="832"/>
      <c r="S138" s="832"/>
      <c r="T138" s="832"/>
      <c r="U138" s="832"/>
      <c r="V138" s="832"/>
      <c r="W138" s="832"/>
      <c r="X138" s="832"/>
    </row>
    <row r="139" spans="7:24" s="29" customFormat="1" ht="20.100000000000001" customHeight="1">
      <c r="G139" s="835"/>
      <c r="H139" s="832"/>
      <c r="I139" s="832"/>
      <c r="J139" s="832"/>
      <c r="K139" s="832"/>
      <c r="L139" s="832"/>
      <c r="M139" s="832"/>
      <c r="N139" s="832"/>
      <c r="O139" s="832"/>
      <c r="P139" s="832"/>
      <c r="Q139" s="832"/>
      <c r="R139" s="832"/>
      <c r="S139" s="832"/>
      <c r="T139" s="832"/>
      <c r="U139" s="832"/>
      <c r="V139" s="832"/>
      <c r="W139" s="832"/>
      <c r="X139" s="832"/>
    </row>
    <row r="140" spans="7:24" s="29" customFormat="1" ht="20.100000000000001" customHeight="1">
      <c r="G140" s="835"/>
      <c r="H140" s="832"/>
      <c r="I140" s="832"/>
      <c r="J140" s="832"/>
      <c r="K140" s="832"/>
      <c r="L140" s="832"/>
      <c r="M140" s="832"/>
      <c r="N140" s="832"/>
      <c r="O140" s="832"/>
      <c r="P140" s="832"/>
      <c r="Q140" s="832"/>
      <c r="R140" s="832"/>
      <c r="S140" s="832"/>
      <c r="T140" s="832"/>
      <c r="U140" s="832"/>
      <c r="V140" s="832"/>
      <c r="W140" s="832"/>
      <c r="X140" s="832"/>
    </row>
    <row r="141" spans="7:24" s="29" customFormat="1" ht="20.100000000000001" customHeight="1">
      <c r="G141" s="835"/>
      <c r="H141" s="832"/>
      <c r="I141" s="832"/>
      <c r="J141" s="832"/>
      <c r="K141" s="832"/>
      <c r="L141" s="832"/>
      <c r="M141" s="832"/>
      <c r="N141" s="832"/>
      <c r="O141" s="832"/>
      <c r="P141" s="832"/>
      <c r="Q141" s="832"/>
      <c r="R141" s="832"/>
      <c r="S141" s="832"/>
      <c r="T141" s="832"/>
      <c r="U141" s="832"/>
      <c r="V141" s="832"/>
      <c r="W141" s="832"/>
      <c r="X141" s="832"/>
    </row>
    <row r="142" spans="7:24" s="29" customFormat="1" ht="20.100000000000001" customHeight="1">
      <c r="G142" s="835"/>
      <c r="H142" s="832"/>
      <c r="I142" s="832"/>
      <c r="J142" s="832"/>
      <c r="K142" s="832"/>
      <c r="L142" s="832"/>
      <c r="M142" s="832"/>
      <c r="N142" s="832"/>
      <c r="O142" s="832"/>
      <c r="P142" s="832"/>
      <c r="Q142" s="832"/>
      <c r="R142" s="832"/>
      <c r="S142" s="832"/>
      <c r="T142" s="832"/>
      <c r="U142" s="832"/>
      <c r="V142" s="832"/>
      <c r="W142" s="832"/>
      <c r="X142" s="832"/>
    </row>
    <row r="143" spans="7:24" s="29" customFormat="1" ht="20.100000000000001" customHeight="1">
      <c r="G143" s="835"/>
      <c r="H143" s="832"/>
      <c r="I143" s="832"/>
      <c r="J143" s="832"/>
      <c r="K143" s="832"/>
      <c r="L143" s="832"/>
      <c r="M143" s="832"/>
      <c r="N143" s="832"/>
      <c r="O143" s="832"/>
      <c r="P143" s="832"/>
      <c r="Q143" s="832"/>
      <c r="R143" s="832"/>
      <c r="S143" s="832"/>
      <c r="T143" s="832"/>
      <c r="U143" s="832"/>
      <c r="V143" s="832"/>
      <c r="W143" s="832"/>
      <c r="X143" s="832"/>
    </row>
    <row r="144" spans="7:24" s="29" customFormat="1" ht="20.100000000000001" customHeight="1">
      <c r="G144" s="835"/>
      <c r="H144" s="832"/>
      <c r="I144" s="832"/>
      <c r="J144" s="832"/>
      <c r="K144" s="832"/>
      <c r="L144" s="832"/>
      <c r="M144" s="832"/>
      <c r="N144" s="832"/>
      <c r="O144" s="832"/>
      <c r="P144" s="832"/>
      <c r="Q144" s="832"/>
      <c r="R144" s="832"/>
      <c r="S144" s="832"/>
      <c r="T144" s="832"/>
      <c r="U144" s="832"/>
      <c r="V144" s="832"/>
      <c r="W144" s="832"/>
      <c r="X144" s="832"/>
    </row>
    <row r="145" spans="7:24" s="29" customFormat="1" ht="20.100000000000001" customHeight="1">
      <c r="G145" s="835"/>
      <c r="H145" s="832"/>
      <c r="I145" s="832"/>
      <c r="J145" s="832"/>
      <c r="K145" s="832"/>
      <c r="L145" s="832"/>
      <c r="M145" s="832"/>
      <c r="N145" s="832"/>
      <c r="O145" s="832"/>
      <c r="P145" s="832"/>
      <c r="Q145" s="832"/>
      <c r="R145" s="832"/>
      <c r="S145" s="832"/>
      <c r="T145" s="832"/>
      <c r="U145" s="832"/>
      <c r="V145" s="832"/>
      <c r="W145" s="832"/>
      <c r="X145" s="832"/>
    </row>
    <row r="146" spans="7:24" s="29" customFormat="1" ht="20.100000000000001" customHeight="1">
      <c r="G146" s="835"/>
      <c r="H146" s="832"/>
      <c r="I146" s="832"/>
      <c r="J146" s="832"/>
      <c r="K146" s="832"/>
      <c r="L146" s="832"/>
      <c r="M146" s="832"/>
      <c r="N146" s="832"/>
      <c r="O146" s="832"/>
      <c r="P146" s="832"/>
      <c r="Q146" s="832"/>
      <c r="R146" s="832"/>
      <c r="S146" s="832"/>
      <c r="T146" s="832"/>
      <c r="U146" s="832"/>
      <c r="V146" s="832"/>
      <c r="W146" s="832"/>
      <c r="X146" s="832"/>
    </row>
    <row r="147" spans="7:24" s="29" customFormat="1" ht="20.100000000000001" customHeight="1">
      <c r="G147" s="835"/>
      <c r="H147" s="832"/>
      <c r="I147" s="832"/>
      <c r="J147" s="832"/>
      <c r="K147" s="832"/>
      <c r="L147" s="832"/>
      <c r="M147" s="832"/>
      <c r="N147" s="832"/>
      <c r="O147" s="832"/>
      <c r="P147" s="832"/>
      <c r="Q147" s="832"/>
      <c r="R147" s="832"/>
      <c r="S147" s="832"/>
      <c r="T147" s="832"/>
      <c r="U147" s="832"/>
      <c r="V147" s="832"/>
      <c r="W147" s="832"/>
      <c r="X147" s="832"/>
    </row>
    <row r="148" spans="7:24" s="29" customFormat="1" ht="20.100000000000001" customHeight="1">
      <c r="G148" s="835"/>
      <c r="H148" s="832"/>
      <c r="I148" s="832"/>
      <c r="J148" s="832"/>
      <c r="K148" s="832"/>
      <c r="L148" s="832"/>
      <c r="M148" s="832"/>
      <c r="N148" s="832"/>
      <c r="O148" s="832"/>
      <c r="P148" s="832"/>
      <c r="Q148" s="832"/>
      <c r="R148" s="832"/>
      <c r="S148" s="832"/>
      <c r="T148" s="832"/>
      <c r="U148" s="832"/>
      <c r="V148" s="832"/>
      <c r="W148" s="832"/>
      <c r="X148" s="832"/>
    </row>
    <row r="149" spans="7:24" s="29" customFormat="1" ht="20.100000000000001" customHeight="1">
      <c r="G149" s="835"/>
      <c r="H149" s="832"/>
      <c r="I149" s="832"/>
      <c r="J149" s="832"/>
      <c r="K149" s="832"/>
      <c r="L149" s="832"/>
      <c r="M149" s="832"/>
      <c r="N149" s="832"/>
      <c r="O149" s="832"/>
      <c r="P149" s="832"/>
      <c r="Q149" s="832"/>
      <c r="R149" s="832"/>
      <c r="S149" s="832"/>
      <c r="T149" s="832"/>
      <c r="U149" s="832"/>
      <c r="V149" s="832"/>
      <c r="W149" s="832"/>
      <c r="X149" s="832"/>
    </row>
    <row r="150" spans="7:24" s="29" customFormat="1" ht="20.100000000000001" customHeight="1">
      <c r="G150" s="835"/>
      <c r="H150" s="832"/>
      <c r="I150" s="832"/>
      <c r="J150" s="832"/>
      <c r="K150" s="832"/>
      <c r="L150" s="832"/>
      <c r="M150" s="832"/>
      <c r="N150" s="832"/>
      <c r="O150" s="832"/>
      <c r="P150" s="832"/>
      <c r="Q150" s="832"/>
      <c r="R150" s="832"/>
      <c r="S150" s="832"/>
      <c r="T150" s="832"/>
      <c r="U150" s="832"/>
      <c r="V150" s="832"/>
      <c r="W150" s="832"/>
      <c r="X150" s="832"/>
    </row>
    <row r="151" spans="7:24" s="29" customFormat="1" ht="20.100000000000001" customHeight="1">
      <c r="G151" s="835"/>
      <c r="H151" s="832"/>
      <c r="I151" s="832"/>
      <c r="J151" s="832"/>
      <c r="K151" s="832"/>
      <c r="L151" s="832"/>
      <c r="M151" s="832"/>
      <c r="N151" s="832"/>
      <c r="O151" s="832"/>
      <c r="P151" s="832"/>
      <c r="Q151" s="832"/>
      <c r="R151" s="832"/>
      <c r="S151" s="832"/>
      <c r="T151" s="832"/>
      <c r="U151" s="832"/>
      <c r="V151" s="832"/>
      <c r="W151" s="832"/>
      <c r="X151" s="832"/>
    </row>
    <row r="152" spans="7:24" s="29" customFormat="1" ht="20.100000000000001" customHeight="1">
      <c r="G152" s="835"/>
      <c r="H152" s="832"/>
      <c r="I152" s="832"/>
      <c r="J152" s="832"/>
      <c r="K152" s="832"/>
      <c r="L152" s="832"/>
      <c r="M152" s="832"/>
      <c r="N152" s="832"/>
      <c r="O152" s="832"/>
      <c r="P152" s="832"/>
      <c r="Q152" s="832"/>
      <c r="R152" s="832"/>
      <c r="S152" s="832"/>
      <c r="T152" s="832"/>
      <c r="U152" s="832"/>
      <c r="V152" s="832"/>
      <c r="W152" s="832"/>
      <c r="X152" s="832"/>
    </row>
    <row r="153" spans="7:24" s="29" customFormat="1" ht="20.100000000000001" customHeight="1">
      <c r="G153" s="835"/>
      <c r="H153" s="832"/>
      <c r="I153" s="832"/>
      <c r="J153" s="832"/>
      <c r="K153" s="832"/>
      <c r="L153" s="832"/>
      <c r="M153" s="832"/>
      <c r="N153" s="832"/>
      <c r="O153" s="832"/>
      <c r="P153" s="832"/>
      <c r="Q153" s="832"/>
      <c r="R153" s="832"/>
      <c r="S153" s="832"/>
      <c r="T153" s="832"/>
      <c r="U153" s="832"/>
      <c r="V153" s="832"/>
      <c r="W153" s="832"/>
      <c r="X153" s="832"/>
    </row>
    <row r="154" spans="7:24" s="29" customFormat="1" ht="20.100000000000001" customHeight="1">
      <c r="G154" s="835"/>
      <c r="H154" s="832"/>
      <c r="I154" s="832"/>
      <c r="J154" s="832"/>
      <c r="K154" s="832"/>
      <c r="L154" s="832"/>
      <c r="M154" s="832"/>
      <c r="N154" s="832"/>
      <c r="O154" s="832"/>
      <c r="P154" s="832"/>
      <c r="Q154" s="832"/>
      <c r="R154" s="832"/>
      <c r="S154" s="832"/>
      <c r="T154" s="832"/>
      <c r="U154" s="832"/>
      <c r="V154" s="832"/>
      <c r="W154" s="832"/>
      <c r="X154" s="832"/>
    </row>
    <row r="155" spans="7:24" s="29" customFormat="1" ht="20.100000000000001" customHeight="1">
      <c r="G155" s="835"/>
      <c r="H155" s="832"/>
      <c r="I155" s="832"/>
      <c r="J155" s="832"/>
      <c r="K155" s="832"/>
      <c r="L155" s="832"/>
      <c r="M155" s="832"/>
      <c r="N155" s="832"/>
      <c r="O155" s="832"/>
      <c r="P155" s="832"/>
      <c r="Q155" s="832"/>
      <c r="R155" s="832"/>
      <c r="S155" s="832"/>
      <c r="T155" s="832"/>
      <c r="U155" s="832"/>
      <c r="V155" s="832"/>
      <c r="W155" s="832"/>
      <c r="X155" s="832"/>
    </row>
    <row r="156" spans="7:24" s="29" customFormat="1" ht="20.100000000000001" customHeight="1">
      <c r="G156" s="835"/>
      <c r="H156" s="832"/>
      <c r="I156" s="832"/>
      <c r="J156" s="832"/>
      <c r="K156" s="832"/>
      <c r="L156" s="832"/>
      <c r="M156" s="832"/>
      <c r="N156" s="832"/>
      <c r="O156" s="832"/>
      <c r="P156" s="832"/>
      <c r="Q156" s="832"/>
      <c r="R156" s="832"/>
      <c r="S156" s="832"/>
      <c r="T156" s="832"/>
      <c r="U156" s="832"/>
      <c r="V156" s="832"/>
      <c r="W156" s="832"/>
      <c r="X156" s="832"/>
    </row>
    <row r="157" spans="7:24" s="29" customFormat="1" ht="20.100000000000001" customHeight="1">
      <c r="G157" s="835"/>
      <c r="H157" s="832"/>
      <c r="I157" s="832"/>
      <c r="J157" s="832"/>
      <c r="K157" s="832"/>
      <c r="L157" s="832"/>
      <c r="M157" s="832"/>
      <c r="N157" s="832"/>
      <c r="O157" s="832"/>
      <c r="P157" s="832"/>
      <c r="Q157" s="832"/>
      <c r="R157" s="832"/>
      <c r="S157" s="832"/>
      <c r="T157" s="832"/>
      <c r="U157" s="832"/>
      <c r="V157" s="832"/>
      <c r="W157" s="832"/>
      <c r="X157" s="832"/>
    </row>
    <row r="158" spans="7:24" s="29" customFormat="1" ht="20.100000000000001" customHeight="1">
      <c r="G158" s="835"/>
      <c r="H158" s="832"/>
      <c r="I158" s="832"/>
      <c r="J158" s="832"/>
      <c r="K158" s="832"/>
      <c r="L158" s="832"/>
      <c r="M158" s="832"/>
      <c r="N158" s="832"/>
      <c r="O158" s="832"/>
      <c r="P158" s="832"/>
      <c r="Q158" s="832"/>
      <c r="R158" s="832"/>
      <c r="S158" s="832"/>
      <c r="T158" s="832"/>
      <c r="U158" s="832"/>
      <c r="V158" s="832"/>
      <c r="W158" s="832"/>
      <c r="X158" s="832"/>
    </row>
    <row r="159" spans="7:24" s="29" customFormat="1" ht="20.100000000000001" customHeight="1">
      <c r="G159" s="835"/>
      <c r="H159" s="832"/>
      <c r="I159" s="832"/>
      <c r="J159" s="832"/>
      <c r="K159" s="832"/>
      <c r="L159" s="832"/>
      <c r="M159" s="832"/>
      <c r="N159" s="832"/>
      <c r="O159" s="832"/>
      <c r="P159" s="832"/>
      <c r="Q159" s="832"/>
      <c r="R159" s="832"/>
      <c r="S159" s="832"/>
      <c r="T159" s="832"/>
      <c r="U159" s="832"/>
      <c r="V159" s="832"/>
      <c r="W159" s="832"/>
      <c r="X159" s="832"/>
    </row>
    <row r="160" spans="7:24" s="29" customFormat="1" ht="20.100000000000001" customHeight="1">
      <c r="G160" s="835"/>
      <c r="H160" s="832"/>
      <c r="I160" s="832"/>
      <c r="J160" s="832"/>
      <c r="K160" s="832"/>
      <c r="L160" s="832"/>
      <c r="M160" s="832"/>
      <c r="N160" s="832"/>
      <c r="O160" s="832"/>
      <c r="P160" s="832"/>
      <c r="Q160" s="832"/>
      <c r="R160" s="832"/>
      <c r="S160" s="832"/>
      <c r="T160" s="832"/>
      <c r="U160" s="832"/>
      <c r="V160" s="832"/>
      <c r="W160" s="832"/>
      <c r="X160" s="832"/>
    </row>
    <row r="161" spans="7:24" s="29" customFormat="1" ht="20.100000000000001" customHeight="1">
      <c r="G161" s="835"/>
      <c r="H161" s="832"/>
      <c r="I161" s="832"/>
      <c r="J161" s="832"/>
      <c r="K161" s="832"/>
      <c r="L161" s="832"/>
      <c r="M161" s="832"/>
      <c r="N161" s="832"/>
      <c r="O161" s="832"/>
      <c r="P161" s="832"/>
      <c r="Q161" s="832"/>
      <c r="R161" s="832"/>
      <c r="S161" s="832"/>
      <c r="T161" s="832"/>
      <c r="U161" s="832"/>
      <c r="V161" s="832"/>
      <c r="W161" s="832"/>
      <c r="X161" s="832"/>
    </row>
    <row r="162" spans="7:24" s="29" customFormat="1" ht="20.100000000000001" customHeight="1">
      <c r="G162" s="835"/>
      <c r="H162" s="832"/>
      <c r="I162" s="832"/>
      <c r="J162" s="832"/>
      <c r="K162" s="832"/>
      <c r="L162" s="832"/>
      <c r="M162" s="832"/>
      <c r="N162" s="832"/>
      <c r="O162" s="832"/>
      <c r="P162" s="832"/>
      <c r="Q162" s="832"/>
      <c r="R162" s="832"/>
      <c r="S162" s="832"/>
      <c r="T162" s="832"/>
      <c r="U162" s="832"/>
      <c r="V162" s="832"/>
      <c r="W162" s="832"/>
      <c r="X162" s="832"/>
    </row>
    <row r="163" spans="7:24" s="29" customFormat="1" ht="20.100000000000001" customHeight="1">
      <c r="G163" s="835"/>
      <c r="H163" s="832"/>
      <c r="I163" s="832"/>
      <c r="J163" s="832"/>
      <c r="K163" s="832"/>
      <c r="L163" s="832"/>
      <c r="M163" s="832"/>
      <c r="N163" s="832"/>
      <c r="O163" s="832"/>
      <c r="P163" s="832"/>
      <c r="Q163" s="832"/>
      <c r="R163" s="832"/>
      <c r="S163" s="832"/>
      <c r="T163" s="832"/>
      <c r="U163" s="832"/>
      <c r="V163" s="832"/>
      <c r="W163" s="832"/>
      <c r="X163" s="832"/>
    </row>
    <row r="164" spans="7:24" s="29" customFormat="1" ht="20.100000000000001" customHeight="1">
      <c r="G164" s="835"/>
      <c r="H164" s="832"/>
      <c r="I164" s="832"/>
      <c r="J164" s="832"/>
      <c r="K164" s="832"/>
      <c r="L164" s="832"/>
      <c r="M164" s="832"/>
      <c r="N164" s="832"/>
      <c r="O164" s="832"/>
      <c r="P164" s="832"/>
      <c r="Q164" s="832"/>
      <c r="R164" s="832"/>
      <c r="S164" s="832"/>
      <c r="T164" s="832"/>
      <c r="U164" s="832"/>
      <c r="V164" s="832"/>
      <c r="W164" s="832"/>
      <c r="X164" s="832"/>
    </row>
    <row r="165" spans="7:24" s="29" customFormat="1" ht="20.100000000000001" customHeight="1">
      <c r="G165" s="835"/>
      <c r="H165" s="832"/>
      <c r="I165" s="832"/>
      <c r="J165" s="832"/>
      <c r="K165" s="832"/>
      <c r="L165" s="832"/>
      <c r="M165" s="832"/>
      <c r="N165" s="832"/>
      <c r="O165" s="832"/>
      <c r="P165" s="832"/>
      <c r="Q165" s="832"/>
      <c r="R165" s="832"/>
      <c r="S165" s="832"/>
      <c r="T165" s="832"/>
      <c r="U165" s="832"/>
      <c r="V165" s="832"/>
      <c r="W165" s="832"/>
      <c r="X165" s="832"/>
    </row>
    <row r="166" spans="7:24" s="29" customFormat="1" ht="20.100000000000001" customHeight="1">
      <c r="G166" s="835"/>
      <c r="H166" s="832"/>
      <c r="I166" s="832"/>
      <c r="J166" s="832"/>
      <c r="K166" s="832"/>
      <c r="L166" s="832"/>
      <c r="M166" s="832"/>
      <c r="N166" s="832"/>
      <c r="O166" s="832"/>
      <c r="P166" s="832"/>
      <c r="Q166" s="832"/>
      <c r="R166" s="832"/>
      <c r="S166" s="832"/>
      <c r="T166" s="832"/>
      <c r="U166" s="832"/>
      <c r="V166" s="832"/>
      <c r="W166" s="832"/>
      <c r="X166" s="832"/>
    </row>
    <row r="167" spans="7:24" s="29" customFormat="1" ht="20.100000000000001" customHeight="1">
      <c r="G167" s="835"/>
      <c r="H167" s="832"/>
      <c r="I167" s="832"/>
      <c r="J167" s="832"/>
      <c r="K167" s="832"/>
      <c r="L167" s="832"/>
      <c r="M167" s="832"/>
      <c r="N167" s="832"/>
      <c r="O167" s="832"/>
      <c r="P167" s="832"/>
      <c r="Q167" s="832"/>
      <c r="R167" s="832"/>
      <c r="S167" s="832"/>
      <c r="T167" s="832"/>
      <c r="U167" s="832"/>
      <c r="V167" s="832"/>
      <c r="W167" s="832"/>
      <c r="X167" s="832"/>
    </row>
    <row r="168" spans="7:24" s="29" customFormat="1" ht="20.100000000000001" customHeight="1">
      <c r="G168" s="835"/>
      <c r="H168" s="832"/>
      <c r="I168" s="832"/>
      <c r="J168" s="832"/>
      <c r="K168" s="832"/>
      <c r="L168" s="832"/>
      <c r="M168" s="832"/>
      <c r="N168" s="832"/>
      <c r="O168" s="832"/>
      <c r="P168" s="832"/>
      <c r="Q168" s="832"/>
      <c r="R168" s="832"/>
      <c r="S168" s="832"/>
      <c r="T168" s="832"/>
      <c r="U168" s="832"/>
      <c r="V168" s="832"/>
      <c r="W168" s="832"/>
      <c r="X168" s="832"/>
    </row>
    <row r="169" spans="7:24" s="29" customFormat="1" ht="20.100000000000001" customHeight="1">
      <c r="G169" s="835"/>
      <c r="H169" s="832"/>
      <c r="I169" s="832"/>
      <c r="J169" s="832"/>
      <c r="K169" s="832"/>
      <c r="L169" s="832"/>
      <c r="M169" s="832"/>
      <c r="N169" s="832"/>
      <c r="O169" s="832"/>
      <c r="P169" s="832"/>
      <c r="Q169" s="832"/>
      <c r="R169" s="832"/>
      <c r="S169" s="832"/>
      <c r="T169" s="832"/>
      <c r="U169" s="832"/>
      <c r="V169" s="832"/>
      <c r="W169" s="832"/>
      <c r="X169" s="832"/>
    </row>
    <row r="170" spans="7:24" s="29" customFormat="1" ht="20.100000000000001" customHeight="1">
      <c r="G170" s="835"/>
      <c r="H170" s="832"/>
      <c r="I170" s="832"/>
      <c r="J170" s="832"/>
      <c r="K170" s="832"/>
      <c r="L170" s="832"/>
      <c r="M170" s="832"/>
      <c r="N170" s="832"/>
      <c r="O170" s="832"/>
      <c r="P170" s="832"/>
      <c r="Q170" s="832"/>
      <c r="R170" s="832"/>
      <c r="S170" s="832"/>
      <c r="T170" s="832"/>
      <c r="U170" s="832"/>
      <c r="V170" s="832"/>
      <c r="W170" s="832"/>
      <c r="X170" s="832"/>
    </row>
    <row r="171" spans="7:24" s="29" customFormat="1" ht="20.100000000000001" customHeight="1">
      <c r="G171" s="835"/>
      <c r="H171" s="832"/>
      <c r="I171" s="832"/>
      <c r="J171" s="832"/>
      <c r="K171" s="832"/>
      <c r="L171" s="832"/>
      <c r="M171" s="832"/>
      <c r="N171" s="832"/>
      <c r="O171" s="832"/>
      <c r="P171" s="832"/>
      <c r="Q171" s="832"/>
      <c r="R171" s="832"/>
      <c r="S171" s="832"/>
      <c r="T171" s="832"/>
      <c r="U171" s="832"/>
      <c r="V171" s="832"/>
      <c r="W171" s="832"/>
      <c r="X171" s="832"/>
    </row>
    <row r="172" spans="7:24" s="29" customFormat="1" ht="20.100000000000001" customHeight="1">
      <c r="G172" s="835"/>
      <c r="H172" s="832"/>
      <c r="I172" s="832"/>
      <c r="J172" s="832"/>
      <c r="K172" s="832"/>
      <c r="L172" s="832"/>
      <c r="M172" s="832"/>
      <c r="N172" s="832"/>
      <c r="O172" s="832"/>
      <c r="P172" s="832"/>
      <c r="Q172" s="832"/>
      <c r="R172" s="832"/>
      <c r="S172" s="832"/>
      <c r="T172" s="832"/>
      <c r="U172" s="832"/>
      <c r="V172" s="832"/>
      <c r="W172" s="832"/>
      <c r="X172" s="832"/>
    </row>
    <row r="173" spans="7:24" s="29" customFormat="1" ht="20.100000000000001" customHeight="1">
      <c r="G173" s="835"/>
      <c r="H173" s="832"/>
      <c r="I173" s="832"/>
      <c r="J173" s="832"/>
      <c r="K173" s="832"/>
      <c r="L173" s="832"/>
      <c r="M173" s="832"/>
      <c r="N173" s="832"/>
      <c r="O173" s="832"/>
      <c r="P173" s="832"/>
      <c r="Q173" s="832"/>
      <c r="R173" s="832"/>
      <c r="S173" s="832"/>
      <c r="T173" s="832"/>
      <c r="U173" s="832"/>
      <c r="V173" s="832"/>
      <c r="W173" s="832"/>
      <c r="X173" s="832"/>
    </row>
    <row r="174" spans="7:24" s="29" customFormat="1" ht="20.100000000000001" customHeight="1">
      <c r="G174" s="835"/>
      <c r="H174" s="832"/>
      <c r="I174" s="832"/>
      <c r="J174" s="832"/>
      <c r="K174" s="832"/>
      <c r="L174" s="832"/>
      <c r="M174" s="832"/>
      <c r="N174" s="832"/>
      <c r="O174" s="832"/>
      <c r="P174" s="832"/>
      <c r="Q174" s="832"/>
      <c r="R174" s="832"/>
      <c r="S174" s="832"/>
      <c r="T174" s="832"/>
      <c r="U174" s="832"/>
      <c r="V174" s="832"/>
      <c r="W174" s="832"/>
      <c r="X174" s="832"/>
    </row>
    <row r="175" spans="7:24" s="29" customFormat="1" ht="20.100000000000001" customHeight="1">
      <c r="G175" s="835"/>
      <c r="H175" s="832"/>
      <c r="I175" s="832"/>
      <c r="J175" s="832"/>
      <c r="K175" s="832"/>
      <c r="L175" s="832"/>
      <c r="M175" s="832"/>
      <c r="N175" s="832"/>
      <c r="O175" s="832"/>
      <c r="P175" s="832"/>
      <c r="Q175" s="832"/>
      <c r="R175" s="832"/>
      <c r="S175" s="832"/>
      <c r="T175" s="832"/>
      <c r="U175" s="832"/>
      <c r="V175" s="832"/>
      <c r="W175" s="832"/>
      <c r="X175" s="832"/>
    </row>
    <row r="176" spans="7:24" s="29" customFormat="1" ht="20.100000000000001" customHeight="1">
      <c r="G176" s="835"/>
      <c r="H176" s="832"/>
      <c r="I176" s="832"/>
      <c r="J176" s="832"/>
      <c r="K176" s="832"/>
      <c r="L176" s="832"/>
      <c r="M176" s="832"/>
      <c r="N176" s="832"/>
      <c r="O176" s="832"/>
      <c r="P176" s="832"/>
      <c r="Q176" s="832"/>
      <c r="R176" s="832"/>
      <c r="S176" s="832"/>
      <c r="T176" s="832"/>
      <c r="U176" s="832"/>
      <c r="V176" s="832"/>
      <c r="W176" s="832"/>
      <c r="X176" s="832"/>
    </row>
    <row r="177" spans="7:24" s="29" customFormat="1" ht="20.100000000000001" customHeight="1">
      <c r="G177" s="835"/>
      <c r="H177" s="832"/>
      <c r="I177" s="832"/>
      <c r="J177" s="832"/>
      <c r="K177" s="832"/>
      <c r="L177" s="832"/>
      <c r="M177" s="832"/>
      <c r="N177" s="832"/>
      <c r="O177" s="832"/>
      <c r="P177" s="832"/>
      <c r="Q177" s="832"/>
      <c r="R177" s="832"/>
      <c r="S177" s="832"/>
      <c r="T177" s="832"/>
      <c r="U177" s="832"/>
      <c r="V177" s="832"/>
      <c r="W177" s="832"/>
      <c r="X177" s="832"/>
    </row>
    <row r="178" spans="7:24" s="29" customFormat="1" ht="20.100000000000001" customHeight="1">
      <c r="G178" s="835"/>
      <c r="H178" s="832"/>
      <c r="I178" s="832"/>
      <c r="J178" s="832"/>
      <c r="K178" s="832"/>
      <c r="L178" s="832"/>
      <c r="M178" s="832"/>
      <c r="N178" s="832"/>
      <c r="O178" s="832"/>
      <c r="P178" s="832"/>
      <c r="Q178" s="832"/>
      <c r="R178" s="832"/>
      <c r="S178" s="832"/>
      <c r="T178" s="832"/>
      <c r="U178" s="832"/>
      <c r="V178" s="832"/>
      <c r="W178" s="832"/>
      <c r="X178" s="832"/>
    </row>
    <row r="179" spans="7:24" s="29" customFormat="1" ht="20.100000000000001" customHeight="1">
      <c r="G179" s="835"/>
      <c r="H179" s="832"/>
      <c r="I179" s="832"/>
      <c r="J179" s="832"/>
      <c r="K179" s="832"/>
      <c r="L179" s="832"/>
      <c r="M179" s="832"/>
      <c r="N179" s="832"/>
      <c r="O179" s="832"/>
      <c r="P179" s="832"/>
      <c r="Q179" s="832"/>
      <c r="R179" s="832"/>
      <c r="S179" s="832"/>
      <c r="T179" s="832"/>
      <c r="U179" s="832"/>
      <c r="V179" s="832"/>
      <c r="W179" s="832"/>
      <c r="X179" s="832"/>
    </row>
    <row r="180" spans="7:24" s="29" customFormat="1" ht="20.100000000000001" customHeight="1">
      <c r="G180" s="835"/>
      <c r="H180" s="832"/>
      <c r="I180" s="832"/>
      <c r="J180" s="832"/>
      <c r="K180" s="832"/>
      <c r="L180" s="832"/>
      <c r="M180" s="832"/>
      <c r="N180" s="832"/>
      <c r="O180" s="832"/>
      <c r="P180" s="832"/>
      <c r="Q180" s="832"/>
      <c r="R180" s="832"/>
      <c r="S180" s="832"/>
      <c r="T180" s="832"/>
      <c r="U180" s="832"/>
      <c r="V180" s="832"/>
      <c r="W180" s="832"/>
      <c r="X180" s="832"/>
    </row>
    <row r="181" spans="7:24" s="29" customFormat="1" ht="20.100000000000001" customHeight="1">
      <c r="G181" s="835"/>
      <c r="H181" s="832"/>
      <c r="I181" s="832"/>
      <c r="J181" s="832"/>
      <c r="K181" s="832"/>
      <c r="L181" s="832"/>
      <c r="M181" s="832"/>
      <c r="N181" s="832"/>
      <c r="O181" s="832"/>
      <c r="P181" s="832"/>
      <c r="Q181" s="832"/>
      <c r="R181" s="832"/>
      <c r="S181" s="832"/>
      <c r="T181" s="832"/>
      <c r="U181" s="832"/>
      <c r="V181" s="832"/>
      <c r="W181" s="832"/>
      <c r="X181" s="832"/>
    </row>
    <row r="182" spans="7:24" s="29" customFormat="1" ht="20.100000000000001" customHeight="1">
      <c r="G182" s="835"/>
      <c r="H182" s="832"/>
      <c r="I182" s="832"/>
      <c r="J182" s="832"/>
      <c r="K182" s="832"/>
      <c r="L182" s="832"/>
      <c r="M182" s="832"/>
      <c r="N182" s="832"/>
      <c r="O182" s="832"/>
      <c r="P182" s="832"/>
      <c r="Q182" s="832"/>
      <c r="R182" s="832"/>
      <c r="S182" s="832"/>
      <c r="T182" s="832"/>
      <c r="U182" s="832"/>
      <c r="V182" s="832"/>
      <c r="W182" s="832"/>
      <c r="X182" s="832"/>
    </row>
    <row r="183" spans="7:24" s="29" customFormat="1" ht="20.100000000000001" customHeight="1">
      <c r="G183" s="835"/>
      <c r="H183" s="832"/>
      <c r="I183" s="832"/>
      <c r="J183" s="832"/>
      <c r="K183" s="832"/>
      <c r="L183" s="832"/>
      <c r="M183" s="832"/>
      <c r="N183" s="832"/>
      <c r="O183" s="832"/>
      <c r="P183" s="832"/>
      <c r="Q183" s="832"/>
      <c r="R183" s="832"/>
      <c r="S183" s="832"/>
      <c r="T183" s="832"/>
      <c r="U183" s="832"/>
      <c r="V183" s="832"/>
      <c r="W183" s="832"/>
      <c r="X183" s="832"/>
    </row>
    <row r="184" spans="7:24" s="29" customFormat="1" ht="20.100000000000001" customHeight="1">
      <c r="G184" s="835"/>
      <c r="H184" s="832"/>
      <c r="I184" s="832"/>
      <c r="J184" s="832"/>
      <c r="K184" s="832"/>
      <c r="L184" s="832"/>
      <c r="M184" s="832"/>
      <c r="N184" s="832"/>
      <c r="O184" s="832"/>
      <c r="P184" s="832"/>
      <c r="Q184" s="832"/>
      <c r="R184" s="832"/>
      <c r="S184" s="832"/>
      <c r="T184" s="832"/>
      <c r="U184" s="832"/>
      <c r="V184" s="832"/>
      <c r="W184" s="832"/>
      <c r="X184" s="832"/>
    </row>
    <row r="185" spans="7:24" s="29" customFormat="1" ht="20.100000000000001" customHeight="1">
      <c r="G185" s="835"/>
      <c r="H185" s="832"/>
      <c r="I185" s="832"/>
      <c r="J185" s="832"/>
      <c r="K185" s="832"/>
      <c r="L185" s="832"/>
      <c r="M185" s="832"/>
      <c r="N185" s="832"/>
      <c r="O185" s="832"/>
      <c r="P185" s="832"/>
      <c r="Q185" s="832"/>
      <c r="R185" s="832"/>
      <c r="S185" s="832"/>
      <c r="T185" s="832"/>
      <c r="U185" s="832"/>
      <c r="V185" s="832"/>
      <c r="W185" s="832"/>
      <c r="X185" s="832"/>
    </row>
    <row r="186" spans="7:24" s="29" customFormat="1" ht="20.100000000000001" customHeight="1">
      <c r="G186" s="835"/>
      <c r="H186" s="832"/>
      <c r="I186" s="832"/>
      <c r="J186" s="832"/>
      <c r="K186" s="832"/>
      <c r="L186" s="832"/>
      <c r="M186" s="832"/>
      <c r="N186" s="832"/>
      <c r="O186" s="832"/>
      <c r="P186" s="832"/>
      <c r="Q186" s="832"/>
      <c r="R186" s="832"/>
      <c r="S186" s="832"/>
      <c r="T186" s="832"/>
      <c r="U186" s="832"/>
      <c r="V186" s="832"/>
      <c r="W186" s="832"/>
      <c r="X186" s="832"/>
    </row>
    <row r="187" spans="7:24" s="29" customFormat="1" ht="20.100000000000001" customHeight="1">
      <c r="G187" s="835"/>
      <c r="H187" s="832"/>
      <c r="I187" s="832"/>
      <c r="J187" s="832"/>
      <c r="K187" s="832"/>
      <c r="L187" s="832"/>
      <c r="M187" s="832"/>
      <c r="N187" s="832"/>
      <c r="O187" s="832"/>
      <c r="P187" s="832"/>
      <c r="Q187" s="832"/>
      <c r="R187" s="832"/>
      <c r="S187" s="832"/>
      <c r="T187" s="832"/>
      <c r="U187" s="832"/>
      <c r="V187" s="832"/>
      <c r="W187" s="832"/>
      <c r="X187" s="832"/>
    </row>
    <row r="188" spans="7:24" s="29" customFormat="1" ht="20.100000000000001" customHeight="1">
      <c r="G188" s="835"/>
      <c r="H188" s="832"/>
      <c r="I188" s="832"/>
      <c r="J188" s="832"/>
      <c r="K188" s="832"/>
      <c r="L188" s="832"/>
      <c r="M188" s="832"/>
      <c r="N188" s="832"/>
      <c r="O188" s="832"/>
      <c r="P188" s="832"/>
      <c r="Q188" s="832"/>
      <c r="R188" s="832"/>
      <c r="S188" s="832"/>
      <c r="T188" s="832"/>
      <c r="U188" s="832"/>
      <c r="V188" s="832"/>
      <c r="W188" s="832"/>
      <c r="X188" s="832"/>
    </row>
    <row r="189" spans="7:24" s="29" customFormat="1" ht="20.100000000000001" customHeight="1">
      <c r="G189" s="835"/>
      <c r="H189" s="832"/>
      <c r="I189" s="832"/>
      <c r="J189" s="832"/>
      <c r="K189" s="832"/>
      <c r="L189" s="832"/>
      <c r="M189" s="832"/>
      <c r="N189" s="832"/>
      <c r="O189" s="832"/>
      <c r="P189" s="832"/>
      <c r="Q189" s="832"/>
      <c r="R189" s="832"/>
      <c r="S189" s="832"/>
      <c r="T189" s="832"/>
      <c r="U189" s="832"/>
      <c r="V189" s="832"/>
      <c r="W189" s="832"/>
      <c r="X189" s="832"/>
    </row>
    <row r="190" spans="7:24" s="29" customFormat="1" ht="20.100000000000001" customHeight="1">
      <c r="G190" s="835"/>
      <c r="H190" s="832"/>
      <c r="I190" s="832"/>
      <c r="J190" s="832"/>
      <c r="K190" s="832"/>
      <c r="L190" s="832"/>
      <c r="M190" s="832"/>
      <c r="N190" s="832"/>
      <c r="O190" s="832"/>
      <c r="P190" s="832"/>
      <c r="Q190" s="832"/>
      <c r="R190" s="832"/>
      <c r="S190" s="832"/>
      <c r="T190" s="832"/>
      <c r="U190" s="832"/>
      <c r="V190" s="832"/>
      <c r="W190" s="832"/>
      <c r="X190" s="832"/>
    </row>
    <row r="191" spans="7:24" s="29" customFormat="1" ht="20.100000000000001" customHeight="1">
      <c r="G191" s="835"/>
      <c r="H191" s="832"/>
      <c r="I191" s="832"/>
      <c r="J191" s="832"/>
      <c r="K191" s="832"/>
      <c r="L191" s="832"/>
      <c r="M191" s="832"/>
      <c r="N191" s="832"/>
      <c r="O191" s="832"/>
      <c r="P191" s="832"/>
      <c r="Q191" s="832"/>
      <c r="R191" s="832"/>
      <c r="S191" s="832"/>
      <c r="T191" s="832"/>
      <c r="U191" s="832"/>
      <c r="V191" s="832"/>
      <c r="W191" s="832"/>
      <c r="X191" s="832"/>
    </row>
    <row r="192" spans="7:24" s="29" customFormat="1" ht="20.100000000000001" customHeight="1">
      <c r="G192" s="835"/>
      <c r="H192" s="832"/>
      <c r="I192" s="832"/>
      <c r="J192" s="832"/>
      <c r="K192" s="832"/>
      <c r="L192" s="832"/>
      <c r="M192" s="832"/>
      <c r="N192" s="832"/>
      <c r="O192" s="832"/>
      <c r="P192" s="832"/>
      <c r="Q192" s="832"/>
      <c r="R192" s="832"/>
      <c r="S192" s="832"/>
      <c r="T192" s="832"/>
      <c r="U192" s="832"/>
      <c r="V192" s="832"/>
      <c r="W192" s="832"/>
      <c r="X192" s="832"/>
    </row>
    <row r="193" spans="7:24" s="29" customFormat="1" ht="20.100000000000001" customHeight="1">
      <c r="G193" s="835"/>
      <c r="H193" s="832"/>
      <c r="I193" s="832"/>
      <c r="J193" s="832"/>
      <c r="K193" s="832"/>
      <c r="L193" s="832"/>
      <c r="M193" s="832"/>
      <c r="N193" s="832"/>
      <c r="O193" s="832"/>
      <c r="P193" s="832"/>
      <c r="Q193" s="832"/>
      <c r="R193" s="832"/>
      <c r="S193" s="832"/>
      <c r="T193" s="832"/>
      <c r="U193" s="832"/>
      <c r="V193" s="832"/>
      <c r="W193" s="832"/>
      <c r="X193" s="832"/>
    </row>
    <row r="194" spans="7:24" s="29" customFormat="1" ht="20.100000000000001" customHeight="1">
      <c r="G194" s="835"/>
      <c r="H194" s="832"/>
      <c r="I194" s="832"/>
      <c r="J194" s="832"/>
      <c r="K194" s="832"/>
      <c r="L194" s="832"/>
      <c r="M194" s="832"/>
      <c r="N194" s="832"/>
      <c r="O194" s="832"/>
      <c r="P194" s="832"/>
      <c r="Q194" s="832"/>
      <c r="R194" s="832"/>
      <c r="S194" s="832"/>
      <c r="T194" s="832"/>
      <c r="U194" s="832"/>
      <c r="V194" s="832"/>
      <c r="W194" s="832"/>
      <c r="X194" s="832"/>
    </row>
    <row r="195" spans="7:24" s="29" customFormat="1" ht="20.100000000000001" customHeight="1">
      <c r="G195" s="835"/>
      <c r="H195" s="832"/>
      <c r="I195" s="832"/>
      <c r="J195" s="832"/>
      <c r="K195" s="832"/>
      <c r="L195" s="832"/>
      <c r="M195" s="832"/>
      <c r="N195" s="832"/>
      <c r="O195" s="832"/>
      <c r="P195" s="832"/>
      <c r="Q195" s="832"/>
      <c r="R195" s="832"/>
      <c r="S195" s="832"/>
      <c r="T195" s="832"/>
      <c r="U195" s="832"/>
      <c r="V195" s="832"/>
      <c r="W195" s="832"/>
      <c r="X195" s="832"/>
    </row>
    <row r="196" spans="7:24" s="29" customFormat="1" ht="20.100000000000001" customHeight="1">
      <c r="G196" s="835"/>
      <c r="H196" s="832"/>
      <c r="I196" s="832"/>
      <c r="J196" s="832"/>
      <c r="K196" s="832"/>
      <c r="L196" s="832"/>
      <c r="M196" s="832"/>
      <c r="N196" s="832"/>
      <c r="O196" s="832"/>
      <c r="P196" s="832"/>
      <c r="Q196" s="832"/>
      <c r="R196" s="832"/>
      <c r="S196" s="832"/>
      <c r="T196" s="832"/>
      <c r="U196" s="832"/>
      <c r="V196" s="832"/>
      <c r="W196" s="832"/>
      <c r="X196" s="832"/>
    </row>
    <row r="197" spans="7:24" s="29" customFormat="1" ht="20.100000000000001" customHeight="1">
      <c r="G197" s="835"/>
      <c r="H197" s="832"/>
      <c r="I197" s="832"/>
      <c r="J197" s="832"/>
      <c r="K197" s="832"/>
      <c r="L197" s="832"/>
      <c r="M197" s="832"/>
      <c r="N197" s="832"/>
      <c r="O197" s="832"/>
      <c r="P197" s="832"/>
      <c r="Q197" s="832"/>
      <c r="R197" s="832"/>
      <c r="S197" s="832"/>
      <c r="T197" s="832"/>
      <c r="U197" s="832"/>
      <c r="V197" s="832"/>
      <c r="W197" s="832"/>
      <c r="X197" s="832"/>
    </row>
    <row r="198" spans="7:24" s="29" customFormat="1" ht="20.100000000000001" customHeight="1">
      <c r="G198" s="835"/>
      <c r="H198" s="832"/>
      <c r="I198" s="832"/>
      <c r="J198" s="832"/>
      <c r="K198" s="832"/>
      <c r="L198" s="832"/>
      <c r="M198" s="832"/>
      <c r="N198" s="832"/>
      <c r="O198" s="832"/>
      <c r="P198" s="832"/>
      <c r="Q198" s="832"/>
      <c r="R198" s="832"/>
      <c r="S198" s="832"/>
      <c r="T198" s="832"/>
      <c r="U198" s="832"/>
      <c r="V198" s="832"/>
      <c r="W198" s="832"/>
      <c r="X198" s="832"/>
    </row>
    <row r="199" spans="7:24" s="29" customFormat="1" ht="20.100000000000001" customHeight="1">
      <c r="G199" s="835"/>
      <c r="H199" s="832"/>
      <c r="I199" s="832"/>
      <c r="J199" s="832"/>
      <c r="K199" s="832"/>
      <c r="L199" s="832"/>
      <c r="M199" s="832"/>
      <c r="N199" s="832"/>
      <c r="O199" s="832"/>
      <c r="P199" s="832"/>
      <c r="Q199" s="832"/>
      <c r="R199" s="832"/>
      <c r="S199" s="832"/>
      <c r="T199" s="832"/>
      <c r="U199" s="832"/>
      <c r="V199" s="832"/>
      <c r="W199" s="832"/>
      <c r="X199" s="832"/>
    </row>
    <row r="200" spans="7:24" s="29" customFormat="1" ht="20.100000000000001" customHeight="1">
      <c r="G200" s="835"/>
      <c r="H200" s="832"/>
      <c r="I200" s="832"/>
      <c r="J200" s="832"/>
      <c r="K200" s="832"/>
      <c r="L200" s="832"/>
      <c r="M200" s="832"/>
      <c r="N200" s="832"/>
      <c r="O200" s="832"/>
      <c r="P200" s="832"/>
      <c r="Q200" s="832"/>
      <c r="R200" s="832"/>
      <c r="S200" s="832"/>
      <c r="T200" s="832"/>
      <c r="U200" s="832"/>
      <c r="V200" s="832"/>
      <c r="W200" s="832"/>
      <c r="X200" s="832"/>
    </row>
    <row r="201" spans="7:24" s="29" customFormat="1" ht="20.100000000000001" customHeight="1">
      <c r="G201" s="835"/>
      <c r="H201" s="832"/>
      <c r="I201" s="832"/>
      <c r="J201" s="832"/>
      <c r="K201" s="832"/>
      <c r="L201" s="832"/>
      <c r="M201" s="832"/>
      <c r="N201" s="832"/>
      <c r="O201" s="832"/>
      <c r="P201" s="832"/>
      <c r="Q201" s="832"/>
      <c r="R201" s="832"/>
      <c r="S201" s="832"/>
      <c r="T201" s="832"/>
      <c r="U201" s="832"/>
      <c r="V201" s="832"/>
      <c r="W201" s="832"/>
      <c r="X201" s="832"/>
    </row>
    <row r="202" spans="7:24" s="29" customFormat="1" ht="20.100000000000001" customHeight="1">
      <c r="G202" s="835"/>
      <c r="H202" s="832"/>
      <c r="I202" s="832"/>
      <c r="J202" s="832"/>
      <c r="K202" s="832"/>
      <c r="L202" s="832"/>
      <c r="M202" s="832"/>
      <c r="N202" s="832"/>
      <c r="O202" s="832"/>
      <c r="P202" s="832"/>
      <c r="Q202" s="832"/>
      <c r="R202" s="832"/>
      <c r="S202" s="832"/>
      <c r="T202" s="832"/>
      <c r="U202" s="832"/>
      <c r="V202" s="832"/>
      <c r="W202" s="832"/>
      <c r="X202" s="832"/>
    </row>
    <row r="203" spans="7:24" s="29" customFormat="1" ht="20.100000000000001" customHeight="1">
      <c r="G203" s="835"/>
      <c r="H203" s="832"/>
      <c r="I203" s="832"/>
      <c r="J203" s="832"/>
      <c r="K203" s="832"/>
      <c r="L203" s="832"/>
      <c r="M203" s="832"/>
      <c r="N203" s="832"/>
      <c r="O203" s="832"/>
      <c r="P203" s="832"/>
      <c r="Q203" s="832"/>
      <c r="R203" s="832"/>
      <c r="S203" s="832"/>
      <c r="T203" s="832"/>
      <c r="U203" s="832"/>
      <c r="V203" s="832"/>
      <c r="W203" s="832"/>
      <c r="X203" s="832"/>
    </row>
    <row r="204" spans="7:24" s="29" customFormat="1" ht="20.100000000000001" customHeight="1">
      <c r="G204" s="835"/>
      <c r="H204" s="832"/>
      <c r="I204" s="832"/>
      <c r="J204" s="832"/>
      <c r="K204" s="832"/>
      <c r="L204" s="832"/>
      <c r="M204" s="832"/>
      <c r="N204" s="832"/>
      <c r="O204" s="832"/>
      <c r="P204" s="832"/>
      <c r="Q204" s="832"/>
      <c r="R204" s="832"/>
      <c r="S204" s="832"/>
      <c r="T204" s="832"/>
      <c r="U204" s="832"/>
      <c r="V204" s="832"/>
      <c r="W204" s="832"/>
      <c r="X204" s="832"/>
    </row>
    <row r="205" spans="7:24" s="29" customFormat="1" ht="20.100000000000001" customHeight="1">
      <c r="G205" s="835"/>
      <c r="H205" s="832"/>
      <c r="I205" s="832"/>
      <c r="J205" s="832"/>
      <c r="K205" s="832"/>
      <c r="L205" s="832"/>
      <c r="M205" s="832"/>
      <c r="N205" s="832"/>
      <c r="O205" s="832"/>
      <c r="P205" s="832"/>
      <c r="Q205" s="832"/>
      <c r="R205" s="832"/>
      <c r="S205" s="832"/>
      <c r="T205" s="832"/>
      <c r="U205" s="832"/>
      <c r="V205" s="832"/>
      <c r="W205" s="832"/>
      <c r="X205" s="832"/>
    </row>
    <row r="206" spans="7:24" s="29" customFormat="1" ht="20.100000000000001" customHeight="1">
      <c r="G206" s="835"/>
      <c r="H206" s="832"/>
      <c r="I206" s="832"/>
      <c r="J206" s="832"/>
      <c r="K206" s="832"/>
      <c r="L206" s="832"/>
      <c r="M206" s="832"/>
      <c r="N206" s="832"/>
      <c r="O206" s="832"/>
      <c r="P206" s="832"/>
      <c r="Q206" s="832"/>
      <c r="R206" s="832"/>
      <c r="S206" s="832"/>
      <c r="T206" s="832"/>
      <c r="U206" s="832"/>
      <c r="V206" s="832"/>
      <c r="W206" s="832"/>
      <c r="X206" s="832"/>
    </row>
    <row r="207" spans="7:24" s="29" customFormat="1" ht="20.100000000000001" customHeight="1">
      <c r="G207" s="835"/>
      <c r="H207" s="832"/>
      <c r="I207" s="832"/>
      <c r="J207" s="832"/>
      <c r="K207" s="832"/>
      <c r="L207" s="832"/>
      <c r="M207" s="832"/>
      <c r="N207" s="832"/>
      <c r="O207" s="832"/>
      <c r="P207" s="832"/>
      <c r="Q207" s="832"/>
      <c r="R207" s="832"/>
      <c r="S207" s="832"/>
      <c r="T207" s="832"/>
      <c r="U207" s="832"/>
      <c r="V207" s="832"/>
      <c r="W207" s="832"/>
      <c r="X207" s="832"/>
    </row>
    <row r="208" spans="7:24" s="29" customFormat="1" ht="20.100000000000001" customHeight="1">
      <c r="G208" s="835"/>
      <c r="H208" s="832"/>
      <c r="I208" s="832"/>
      <c r="J208" s="832"/>
      <c r="K208" s="832"/>
      <c r="L208" s="832"/>
      <c r="M208" s="832"/>
      <c r="N208" s="832"/>
      <c r="O208" s="832"/>
      <c r="P208" s="832"/>
      <c r="Q208" s="832"/>
      <c r="R208" s="832"/>
      <c r="S208" s="832"/>
      <c r="T208" s="832"/>
      <c r="U208" s="832"/>
      <c r="V208" s="832"/>
      <c r="W208" s="832"/>
      <c r="X208" s="832"/>
    </row>
    <row r="209" spans="7:24" s="29" customFormat="1" ht="20.100000000000001" customHeight="1">
      <c r="G209" s="835"/>
      <c r="H209" s="832"/>
      <c r="I209" s="832"/>
      <c r="J209" s="832"/>
      <c r="K209" s="832"/>
      <c r="L209" s="832"/>
      <c r="M209" s="832"/>
      <c r="N209" s="832"/>
      <c r="O209" s="832"/>
      <c r="P209" s="832"/>
      <c r="Q209" s="832"/>
      <c r="R209" s="832"/>
      <c r="S209" s="832"/>
      <c r="T209" s="832"/>
      <c r="U209" s="832"/>
      <c r="V209" s="832"/>
      <c r="W209" s="832"/>
      <c r="X209" s="832"/>
    </row>
    <row r="210" spans="7:24" s="29" customFormat="1" ht="20.100000000000001" customHeight="1">
      <c r="G210" s="835"/>
      <c r="H210" s="832"/>
      <c r="I210" s="832"/>
      <c r="J210" s="832"/>
      <c r="K210" s="832"/>
      <c r="L210" s="832"/>
      <c r="M210" s="832"/>
      <c r="N210" s="832"/>
      <c r="O210" s="832"/>
      <c r="P210" s="832"/>
      <c r="Q210" s="832"/>
      <c r="R210" s="832"/>
      <c r="S210" s="832"/>
      <c r="T210" s="832"/>
      <c r="U210" s="832"/>
      <c r="V210" s="832"/>
      <c r="W210" s="832"/>
      <c r="X210" s="832"/>
    </row>
    <row r="211" spans="7:24" s="29" customFormat="1" ht="20.100000000000001" customHeight="1">
      <c r="G211" s="835"/>
      <c r="H211" s="832"/>
      <c r="I211" s="832"/>
      <c r="J211" s="832"/>
      <c r="K211" s="832"/>
      <c r="L211" s="832"/>
      <c r="M211" s="832"/>
      <c r="N211" s="832"/>
      <c r="O211" s="832"/>
      <c r="P211" s="832"/>
      <c r="Q211" s="832"/>
      <c r="R211" s="832"/>
      <c r="S211" s="832"/>
      <c r="T211" s="832"/>
      <c r="U211" s="832"/>
      <c r="V211" s="832"/>
      <c r="W211" s="832"/>
      <c r="X211" s="832"/>
    </row>
    <row r="212" spans="7:24" s="29" customFormat="1" ht="20.100000000000001" customHeight="1">
      <c r="G212" s="835"/>
      <c r="H212" s="832"/>
      <c r="I212" s="832"/>
      <c r="J212" s="832"/>
      <c r="K212" s="832"/>
      <c r="L212" s="832"/>
      <c r="M212" s="832"/>
      <c r="N212" s="832"/>
      <c r="O212" s="832"/>
      <c r="P212" s="832"/>
      <c r="Q212" s="832"/>
      <c r="R212" s="832"/>
      <c r="S212" s="832"/>
      <c r="T212" s="832"/>
      <c r="U212" s="832"/>
      <c r="V212" s="832"/>
      <c r="W212" s="832"/>
      <c r="X212" s="832"/>
    </row>
    <row r="213" spans="7:24" s="29" customFormat="1" ht="20.100000000000001" customHeight="1">
      <c r="G213" s="835"/>
      <c r="H213" s="832"/>
      <c r="I213" s="832"/>
      <c r="J213" s="832"/>
      <c r="K213" s="832"/>
      <c r="L213" s="832"/>
      <c r="M213" s="832"/>
      <c r="N213" s="832"/>
      <c r="O213" s="832"/>
      <c r="P213" s="832"/>
      <c r="Q213" s="832"/>
      <c r="R213" s="832"/>
      <c r="S213" s="832"/>
      <c r="T213" s="832"/>
      <c r="U213" s="832"/>
      <c r="V213" s="832"/>
      <c r="W213" s="832"/>
      <c r="X213" s="832"/>
    </row>
    <row r="214" spans="7:24" s="29" customFormat="1" ht="20.100000000000001" customHeight="1">
      <c r="G214" s="835"/>
      <c r="H214" s="832"/>
      <c r="I214" s="832"/>
      <c r="J214" s="832"/>
      <c r="K214" s="832"/>
      <c r="L214" s="832"/>
      <c r="M214" s="832"/>
      <c r="N214" s="832"/>
      <c r="O214" s="832"/>
      <c r="P214" s="832"/>
      <c r="Q214" s="832"/>
      <c r="R214" s="832"/>
      <c r="S214" s="832"/>
      <c r="T214" s="832"/>
      <c r="U214" s="832"/>
      <c r="V214" s="832"/>
      <c r="W214" s="832"/>
      <c r="X214" s="832"/>
    </row>
    <row r="215" spans="7:24" s="29" customFormat="1" ht="20.100000000000001" customHeight="1">
      <c r="G215" s="835"/>
      <c r="H215" s="832"/>
      <c r="I215" s="832"/>
      <c r="J215" s="832"/>
      <c r="K215" s="832"/>
      <c r="L215" s="832"/>
      <c r="M215" s="832"/>
      <c r="N215" s="832"/>
      <c r="O215" s="832"/>
      <c r="P215" s="832"/>
      <c r="Q215" s="832"/>
      <c r="R215" s="832"/>
      <c r="S215" s="832"/>
      <c r="T215" s="832"/>
      <c r="U215" s="832"/>
      <c r="V215" s="832"/>
      <c r="W215" s="832"/>
      <c r="X215" s="832"/>
    </row>
    <row r="216" spans="7:24" s="29" customFormat="1" ht="20.100000000000001" customHeight="1">
      <c r="G216" s="835"/>
      <c r="H216" s="832"/>
      <c r="I216" s="832"/>
      <c r="J216" s="832"/>
      <c r="K216" s="832"/>
      <c r="L216" s="832"/>
      <c r="M216" s="832"/>
      <c r="N216" s="832"/>
      <c r="O216" s="832"/>
      <c r="P216" s="832"/>
      <c r="Q216" s="832"/>
      <c r="R216" s="832"/>
      <c r="S216" s="832"/>
      <c r="T216" s="832"/>
      <c r="U216" s="832"/>
      <c r="V216" s="832"/>
      <c r="W216" s="832"/>
      <c r="X216" s="832"/>
    </row>
    <row r="217" spans="7:24" s="29" customFormat="1" ht="20.100000000000001" customHeight="1">
      <c r="G217" s="835"/>
      <c r="H217" s="832"/>
      <c r="I217" s="832"/>
      <c r="J217" s="832"/>
      <c r="K217" s="832"/>
      <c r="L217" s="832"/>
      <c r="M217" s="832"/>
      <c r="N217" s="832"/>
      <c r="O217" s="832"/>
      <c r="P217" s="832"/>
      <c r="Q217" s="832"/>
      <c r="R217" s="832"/>
      <c r="S217" s="832"/>
      <c r="T217" s="832"/>
      <c r="U217" s="832"/>
      <c r="V217" s="832"/>
      <c r="W217" s="832"/>
      <c r="X217" s="832"/>
    </row>
    <row r="218" spans="7:24" s="29" customFormat="1" ht="20.100000000000001" customHeight="1">
      <c r="G218" s="835"/>
      <c r="H218" s="832"/>
      <c r="I218" s="832"/>
      <c r="J218" s="832"/>
      <c r="K218" s="832"/>
      <c r="L218" s="832"/>
      <c r="M218" s="832"/>
      <c r="N218" s="832"/>
      <c r="O218" s="832"/>
      <c r="P218" s="832"/>
      <c r="Q218" s="832"/>
      <c r="R218" s="832"/>
      <c r="S218" s="832"/>
      <c r="T218" s="832"/>
      <c r="U218" s="832"/>
      <c r="V218" s="832"/>
      <c r="W218" s="832"/>
      <c r="X218" s="832"/>
    </row>
    <row r="219" spans="7:24" s="29" customFormat="1" ht="20.100000000000001" customHeight="1">
      <c r="G219" s="835"/>
      <c r="H219" s="832"/>
      <c r="I219" s="832"/>
      <c r="J219" s="832"/>
      <c r="K219" s="832"/>
      <c r="L219" s="832"/>
      <c r="M219" s="832"/>
      <c r="N219" s="832"/>
      <c r="O219" s="832"/>
      <c r="P219" s="832"/>
      <c r="Q219" s="832"/>
      <c r="R219" s="832"/>
      <c r="S219" s="832"/>
      <c r="T219" s="832"/>
      <c r="U219" s="832"/>
      <c r="V219" s="832"/>
      <c r="W219" s="832"/>
      <c r="X219" s="832"/>
    </row>
    <row r="220" spans="7:24" s="29" customFormat="1" ht="20.100000000000001" customHeight="1">
      <c r="G220" s="835"/>
      <c r="H220" s="832"/>
      <c r="I220" s="832"/>
      <c r="J220" s="832"/>
      <c r="K220" s="832"/>
      <c r="L220" s="832"/>
      <c r="M220" s="832"/>
      <c r="N220" s="832"/>
      <c r="O220" s="832"/>
      <c r="P220" s="832"/>
      <c r="Q220" s="832"/>
      <c r="R220" s="832"/>
      <c r="S220" s="832"/>
      <c r="T220" s="832"/>
      <c r="U220" s="832"/>
      <c r="V220" s="832"/>
      <c r="W220" s="832"/>
      <c r="X220" s="832"/>
    </row>
    <row r="221" spans="7:24" s="29" customFormat="1" ht="20.100000000000001" customHeight="1">
      <c r="G221" s="835"/>
      <c r="H221" s="832"/>
      <c r="I221" s="832"/>
      <c r="J221" s="832"/>
      <c r="K221" s="832"/>
      <c r="L221" s="832"/>
      <c r="M221" s="832"/>
      <c r="N221" s="832"/>
      <c r="O221" s="832"/>
      <c r="P221" s="832"/>
      <c r="Q221" s="832"/>
      <c r="R221" s="832"/>
      <c r="S221" s="832"/>
      <c r="T221" s="832"/>
      <c r="U221" s="832"/>
      <c r="V221" s="832"/>
      <c r="W221" s="832"/>
      <c r="X221" s="832"/>
    </row>
    <row r="222" spans="7:24" s="29" customFormat="1" ht="20.100000000000001" customHeight="1">
      <c r="G222" s="835"/>
      <c r="H222" s="832"/>
      <c r="I222" s="832"/>
      <c r="J222" s="832"/>
      <c r="K222" s="832"/>
      <c r="L222" s="832"/>
      <c r="M222" s="832"/>
      <c r="N222" s="832"/>
      <c r="O222" s="832"/>
      <c r="P222" s="832"/>
      <c r="Q222" s="832"/>
      <c r="R222" s="832"/>
      <c r="S222" s="832"/>
      <c r="T222" s="832"/>
      <c r="U222" s="832"/>
      <c r="V222" s="832"/>
      <c r="W222" s="832"/>
      <c r="X222" s="832"/>
    </row>
    <row r="223" spans="7:24" s="29" customFormat="1" ht="20.100000000000001" customHeight="1">
      <c r="G223" s="835"/>
      <c r="H223" s="832"/>
      <c r="I223" s="832"/>
      <c r="J223" s="832"/>
      <c r="K223" s="832"/>
      <c r="L223" s="832"/>
      <c r="M223" s="832"/>
      <c r="N223" s="832"/>
      <c r="O223" s="832"/>
      <c r="P223" s="832"/>
      <c r="Q223" s="832"/>
      <c r="R223" s="832"/>
      <c r="S223" s="832"/>
      <c r="T223" s="832"/>
      <c r="U223" s="832"/>
      <c r="V223" s="832"/>
      <c r="W223" s="832"/>
      <c r="X223" s="832"/>
    </row>
    <row r="224" spans="7:24" s="29" customFormat="1" ht="20.100000000000001" customHeight="1">
      <c r="G224" s="835"/>
      <c r="H224" s="832"/>
      <c r="I224" s="832"/>
      <c r="J224" s="832"/>
      <c r="K224" s="832"/>
      <c r="L224" s="832"/>
      <c r="M224" s="832"/>
      <c r="N224" s="832"/>
      <c r="O224" s="832"/>
      <c r="P224" s="832"/>
      <c r="Q224" s="832"/>
      <c r="R224" s="832"/>
      <c r="S224" s="832"/>
      <c r="T224" s="832"/>
      <c r="U224" s="832"/>
      <c r="V224" s="832"/>
      <c r="W224" s="832"/>
      <c r="X224" s="832"/>
    </row>
    <row r="225" spans="7:24" s="29" customFormat="1" ht="20.100000000000001" customHeight="1">
      <c r="G225" s="835"/>
      <c r="H225" s="832"/>
      <c r="I225" s="832"/>
      <c r="J225" s="832"/>
      <c r="K225" s="832"/>
      <c r="L225" s="832"/>
      <c r="M225" s="832"/>
      <c r="N225" s="832"/>
      <c r="O225" s="832"/>
      <c r="P225" s="832"/>
      <c r="Q225" s="832"/>
      <c r="R225" s="832"/>
      <c r="S225" s="832"/>
      <c r="T225" s="832"/>
      <c r="U225" s="832"/>
      <c r="V225" s="832"/>
      <c r="W225" s="832"/>
      <c r="X225" s="832"/>
    </row>
    <row r="226" spans="7:24" s="29" customFormat="1" ht="20.100000000000001" customHeight="1">
      <c r="G226" s="835"/>
      <c r="H226" s="832"/>
      <c r="I226" s="832"/>
      <c r="J226" s="832"/>
      <c r="K226" s="832"/>
      <c r="L226" s="832"/>
      <c r="M226" s="832"/>
      <c r="N226" s="832"/>
      <c r="O226" s="832"/>
      <c r="P226" s="832"/>
      <c r="Q226" s="832"/>
      <c r="R226" s="832"/>
      <c r="S226" s="832"/>
      <c r="T226" s="832"/>
      <c r="U226" s="832"/>
      <c r="V226" s="832"/>
      <c r="W226" s="832"/>
      <c r="X226" s="832"/>
    </row>
    <row r="227" spans="7:24" s="29" customFormat="1" ht="20.100000000000001" customHeight="1">
      <c r="G227" s="835"/>
      <c r="H227" s="832"/>
      <c r="I227" s="832"/>
      <c r="J227" s="832"/>
      <c r="K227" s="832"/>
      <c r="L227" s="832"/>
      <c r="M227" s="832"/>
      <c r="N227" s="832"/>
      <c r="O227" s="832"/>
      <c r="P227" s="832"/>
      <c r="Q227" s="832"/>
      <c r="R227" s="832"/>
      <c r="S227" s="832"/>
      <c r="T227" s="832"/>
      <c r="U227" s="832"/>
      <c r="V227" s="832"/>
      <c r="W227" s="832"/>
      <c r="X227" s="832"/>
    </row>
    <row r="228" spans="7:24" s="29" customFormat="1" ht="20.100000000000001" customHeight="1">
      <c r="G228" s="835"/>
      <c r="H228" s="832"/>
      <c r="I228" s="832"/>
      <c r="J228" s="832"/>
      <c r="K228" s="832"/>
      <c r="L228" s="832"/>
      <c r="M228" s="832"/>
      <c r="N228" s="832"/>
      <c r="O228" s="832"/>
      <c r="P228" s="832"/>
      <c r="Q228" s="832"/>
      <c r="R228" s="832"/>
      <c r="S228" s="832"/>
      <c r="T228" s="832"/>
      <c r="U228" s="832"/>
      <c r="V228" s="832"/>
      <c r="W228" s="832"/>
      <c r="X228" s="832"/>
    </row>
    <row r="229" spans="7:24" s="29" customFormat="1" ht="20.100000000000001" customHeight="1">
      <c r="G229" s="835"/>
      <c r="H229" s="832"/>
      <c r="I229" s="832"/>
      <c r="J229" s="832"/>
      <c r="K229" s="832"/>
      <c r="L229" s="832"/>
      <c r="M229" s="832"/>
      <c r="N229" s="832"/>
      <c r="O229" s="832"/>
      <c r="P229" s="832"/>
      <c r="Q229" s="832"/>
      <c r="R229" s="832"/>
      <c r="S229" s="832"/>
      <c r="T229" s="832"/>
      <c r="U229" s="832"/>
      <c r="V229" s="832"/>
      <c r="W229" s="832"/>
      <c r="X229" s="832"/>
    </row>
    <row r="230" spans="7:24" s="29" customFormat="1" ht="20.100000000000001" customHeight="1">
      <c r="G230" s="835"/>
      <c r="H230" s="832"/>
      <c r="I230" s="832"/>
      <c r="J230" s="832"/>
      <c r="K230" s="832"/>
      <c r="L230" s="832"/>
      <c r="M230" s="832"/>
      <c r="N230" s="832"/>
      <c r="O230" s="832"/>
      <c r="P230" s="832"/>
      <c r="Q230" s="832"/>
      <c r="R230" s="832"/>
      <c r="S230" s="832"/>
      <c r="T230" s="832"/>
      <c r="U230" s="832"/>
      <c r="V230" s="832"/>
      <c r="W230" s="832"/>
      <c r="X230" s="832"/>
    </row>
    <row r="231" spans="7:24" s="29" customFormat="1" ht="20.100000000000001" customHeight="1">
      <c r="G231" s="835"/>
      <c r="H231" s="832"/>
      <c r="I231" s="832"/>
      <c r="J231" s="832"/>
      <c r="K231" s="832"/>
      <c r="L231" s="832"/>
      <c r="M231" s="832"/>
      <c r="N231" s="832"/>
      <c r="O231" s="832"/>
      <c r="P231" s="832"/>
      <c r="Q231" s="832"/>
      <c r="R231" s="832"/>
      <c r="S231" s="832"/>
      <c r="T231" s="832"/>
      <c r="U231" s="832"/>
      <c r="V231" s="832"/>
      <c r="W231" s="832"/>
      <c r="X231" s="832"/>
    </row>
    <row r="232" spans="7:24" s="29" customFormat="1" ht="20.100000000000001" customHeight="1">
      <c r="G232" s="835"/>
      <c r="H232" s="832"/>
      <c r="I232" s="832"/>
      <c r="J232" s="832"/>
      <c r="K232" s="832"/>
      <c r="L232" s="832"/>
      <c r="M232" s="832"/>
      <c r="N232" s="832"/>
      <c r="O232" s="832"/>
      <c r="P232" s="832"/>
      <c r="Q232" s="832"/>
      <c r="R232" s="832"/>
      <c r="S232" s="832"/>
      <c r="T232" s="832"/>
      <c r="U232" s="832"/>
      <c r="V232" s="832"/>
      <c r="W232" s="832"/>
      <c r="X232" s="832"/>
    </row>
    <row r="233" spans="7:24" s="29" customFormat="1" ht="20.100000000000001" customHeight="1">
      <c r="G233" s="835"/>
      <c r="H233" s="832"/>
      <c r="I233" s="832"/>
      <c r="J233" s="832"/>
      <c r="K233" s="832"/>
      <c r="L233" s="832"/>
      <c r="M233" s="832"/>
      <c r="N233" s="832"/>
      <c r="O233" s="832"/>
      <c r="P233" s="832"/>
      <c r="Q233" s="832"/>
      <c r="R233" s="832"/>
      <c r="S233" s="832"/>
      <c r="T233" s="832"/>
      <c r="U233" s="832"/>
      <c r="V233" s="832"/>
      <c r="W233" s="832"/>
      <c r="X233" s="832"/>
    </row>
    <row r="234" spans="7:24" s="29" customFormat="1" ht="20.100000000000001" customHeight="1">
      <c r="G234" s="835"/>
      <c r="H234" s="832"/>
      <c r="I234" s="832"/>
      <c r="J234" s="832"/>
      <c r="K234" s="832"/>
      <c r="L234" s="832"/>
      <c r="M234" s="832"/>
      <c r="N234" s="832"/>
      <c r="O234" s="832"/>
      <c r="P234" s="832"/>
      <c r="Q234" s="832"/>
      <c r="R234" s="832"/>
      <c r="S234" s="832"/>
      <c r="T234" s="832"/>
      <c r="U234" s="832"/>
      <c r="V234" s="832"/>
      <c r="W234" s="832"/>
      <c r="X234" s="832"/>
    </row>
    <row r="235" spans="7:24" s="29" customFormat="1" ht="20.100000000000001" customHeight="1">
      <c r="G235" s="835"/>
      <c r="H235" s="832"/>
      <c r="I235" s="832"/>
      <c r="J235" s="832"/>
      <c r="K235" s="832"/>
      <c r="L235" s="832"/>
      <c r="M235" s="832"/>
      <c r="N235" s="832"/>
      <c r="O235" s="832"/>
      <c r="P235" s="832"/>
      <c r="Q235" s="832"/>
      <c r="R235" s="832"/>
      <c r="S235" s="832"/>
      <c r="T235" s="832"/>
      <c r="U235" s="832"/>
      <c r="V235" s="832"/>
      <c r="W235" s="832"/>
      <c r="X235" s="832"/>
    </row>
    <row r="236" spans="7:24" s="29" customFormat="1" ht="20.100000000000001" customHeight="1">
      <c r="G236" s="835"/>
      <c r="H236" s="832"/>
      <c r="I236" s="832"/>
      <c r="J236" s="832"/>
      <c r="K236" s="832"/>
      <c r="L236" s="832"/>
      <c r="M236" s="832"/>
      <c r="N236" s="832"/>
      <c r="O236" s="832"/>
      <c r="P236" s="832"/>
      <c r="Q236" s="832"/>
      <c r="R236" s="832"/>
      <c r="S236" s="832"/>
      <c r="T236" s="832"/>
      <c r="U236" s="832"/>
      <c r="V236" s="832"/>
      <c r="W236" s="832"/>
      <c r="X236" s="832"/>
    </row>
    <row r="237" spans="7:24" s="29" customFormat="1" ht="20.100000000000001" customHeight="1">
      <c r="G237" s="835"/>
      <c r="H237" s="832"/>
      <c r="I237" s="832"/>
      <c r="J237" s="832"/>
      <c r="K237" s="832"/>
      <c r="L237" s="832"/>
      <c r="M237" s="832"/>
      <c r="N237" s="832"/>
      <c r="O237" s="832"/>
      <c r="P237" s="832"/>
      <c r="Q237" s="832"/>
      <c r="R237" s="832"/>
      <c r="S237" s="832"/>
      <c r="T237" s="832"/>
      <c r="U237" s="832"/>
      <c r="V237" s="832"/>
      <c r="W237" s="832"/>
      <c r="X237" s="832"/>
    </row>
    <row r="238" spans="7:24" s="29" customFormat="1" ht="20.100000000000001" customHeight="1">
      <c r="G238" s="835"/>
      <c r="H238" s="832"/>
      <c r="I238" s="832"/>
      <c r="J238" s="832"/>
      <c r="K238" s="832"/>
      <c r="L238" s="832"/>
      <c r="M238" s="832"/>
      <c r="N238" s="832"/>
      <c r="O238" s="832"/>
      <c r="P238" s="832"/>
      <c r="Q238" s="832"/>
      <c r="R238" s="832"/>
      <c r="S238" s="832"/>
      <c r="T238" s="832"/>
      <c r="U238" s="832"/>
      <c r="V238" s="832"/>
      <c r="W238" s="832"/>
      <c r="X238" s="832"/>
    </row>
    <row r="239" spans="7:24" s="29" customFormat="1" ht="20.100000000000001" customHeight="1">
      <c r="G239" s="835"/>
      <c r="H239" s="832"/>
      <c r="I239" s="832"/>
      <c r="J239" s="832"/>
      <c r="K239" s="832"/>
      <c r="L239" s="832"/>
      <c r="M239" s="832"/>
      <c r="N239" s="832"/>
      <c r="O239" s="832"/>
      <c r="P239" s="832"/>
      <c r="Q239" s="832"/>
      <c r="R239" s="832"/>
      <c r="S239" s="832"/>
      <c r="T239" s="832"/>
      <c r="U239" s="832"/>
      <c r="V239" s="832"/>
      <c r="W239" s="832"/>
      <c r="X239" s="832"/>
    </row>
    <row r="240" spans="7:24" s="29" customFormat="1" ht="20.100000000000001" customHeight="1">
      <c r="G240" s="835"/>
      <c r="H240" s="832"/>
      <c r="I240" s="832"/>
      <c r="J240" s="832"/>
      <c r="K240" s="832"/>
      <c r="L240" s="832"/>
      <c r="M240" s="832"/>
      <c r="N240" s="832"/>
      <c r="O240" s="832"/>
      <c r="P240" s="832"/>
      <c r="Q240" s="832"/>
      <c r="R240" s="832"/>
      <c r="S240" s="832"/>
      <c r="T240" s="832"/>
      <c r="U240" s="832"/>
      <c r="V240" s="832"/>
      <c r="W240" s="832"/>
      <c r="X240" s="832"/>
    </row>
    <row r="241" spans="7:24" s="29" customFormat="1" ht="20.100000000000001" customHeight="1">
      <c r="G241" s="835"/>
      <c r="H241" s="832"/>
      <c r="I241" s="832"/>
      <c r="J241" s="832"/>
      <c r="K241" s="832"/>
      <c r="L241" s="832"/>
      <c r="M241" s="832"/>
      <c r="N241" s="832"/>
      <c r="O241" s="832"/>
      <c r="P241" s="832"/>
      <c r="Q241" s="832"/>
      <c r="R241" s="832"/>
      <c r="S241" s="832"/>
      <c r="T241" s="832"/>
      <c r="U241" s="832"/>
      <c r="V241" s="832"/>
      <c r="W241" s="832"/>
      <c r="X241" s="832"/>
    </row>
    <row r="242" spans="7:24" s="29" customFormat="1" ht="20.100000000000001" customHeight="1">
      <c r="G242" s="835"/>
      <c r="H242" s="832"/>
      <c r="I242" s="832"/>
      <c r="J242" s="832"/>
      <c r="K242" s="832"/>
      <c r="L242" s="832"/>
      <c r="M242" s="832"/>
      <c r="N242" s="832"/>
      <c r="O242" s="832"/>
      <c r="P242" s="832"/>
      <c r="Q242" s="832"/>
      <c r="R242" s="832"/>
      <c r="S242" s="832"/>
      <c r="T242" s="832"/>
      <c r="U242" s="832"/>
      <c r="V242" s="832"/>
      <c r="W242" s="832"/>
      <c r="X242" s="832"/>
    </row>
    <row r="243" spans="7:24" s="29" customFormat="1" ht="20.100000000000001" customHeight="1">
      <c r="G243" s="835"/>
      <c r="H243" s="832"/>
      <c r="I243" s="832"/>
      <c r="J243" s="832"/>
      <c r="K243" s="832"/>
      <c r="L243" s="832"/>
      <c r="M243" s="832"/>
      <c r="N243" s="832"/>
      <c r="O243" s="832"/>
      <c r="P243" s="832"/>
      <c r="Q243" s="832"/>
      <c r="R243" s="832"/>
      <c r="S243" s="832"/>
      <c r="T243" s="832"/>
      <c r="U243" s="832"/>
      <c r="V243" s="832"/>
      <c r="W243" s="832"/>
      <c r="X243" s="832"/>
    </row>
    <row r="244" spans="7:24" s="29" customFormat="1" ht="20.100000000000001" customHeight="1">
      <c r="G244" s="835"/>
      <c r="H244" s="832"/>
      <c r="I244" s="832"/>
      <c r="J244" s="832"/>
      <c r="K244" s="832"/>
      <c r="L244" s="832"/>
      <c r="M244" s="832"/>
      <c r="N244" s="832"/>
      <c r="O244" s="832"/>
      <c r="P244" s="832"/>
      <c r="Q244" s="832"/>
      <c r="R244" s="832"/>
      <c r="S244" s="832"/>
      <c r="T244" s="832"/>
      <c r="U244" s="832"/>
      <c r="V244" s="832"/>
      <c r="W244" s="832"/>
      <c r="X244" s="832"/>
    </row>
    <row r="245" spans="7:24" s="29" customFormat="1" ht="20.100000000000001" customHeight="1">
      <c r="G245" s="835"/>
      <c r="H245" s="832"/>
      <c r="I245" s="832"/>
      <c r="J245" s="832"/>
      <c r="K245" s="832"/>
      <c r="L245" s="832"/>
      <c r="M245" s="832"/>
      <c r="N245" s="832"/>
      <c r="O245" s="832"/>
      <c r="P245" s="832"/>
      <c r="Q245" s="832"/>
      <c r="R245" s="832"/>
      <c r="S245" s="832"/>
      <c r="T245" s="832"/>
      <c r="U245" s="832"/>
      <c r="V245" s="832"/>
      <c r="W245" s="832"/>
      <c r="X245" s="832"/>
    </row>
    <row r="246" spans="7:24" s="29" customFormat="1" ht="20.100000000000001" customHeight="1">
      <c r="G246" s="835"/>
      <c r="H246" s="832"/>
      <c r="I246" s="832"/>
      <c r="J246" s="832"/>
      <c r="K246" s="832"/>
      <c r="L246" s="832"/>
      <c r="M246" s="832"/>
      <c r="N246" s="832"/>
      <c r="O246" s="832"/>
      <c r="P246" s="832"/>
      <c r="Q246" s="832"/>
      <c r="R246" s="832"/>
      <c r="S246" s="832"/>
      <c r="T246" s="832"/>
      <c r="U246" s="832"/>
      <c r="V246" s="832"/>
      <c r="W246" s="832"/>
      <c r="X246" s="832"/>
    </row>
    <row r="247" spans="7:24" s="29" customFormat="1" ht="20.100000000000001" customHeight="1">
      <c r="G247" s="835"/>
      <c r="H247" s="832"/>
      <c r="I247" s="832"/>
      <c r="J247" s="832"/>
      <c r="K247" s="832"/>
      <c r="L247" s="832"/>
      <c r="M247" s="832"/>
      <c r="N247" s="832"/>
      <c r="O247" s="832"/>
      <c r="P247" s="832"/>
      <c r="Q247" s="832"/>
      <c r="R247" s="832"/>
      <c r="S247" s="832"/>
      <c r="T247" s="832"/>
      <c r="U247" s="832"/>
      <c r="V247" s="832"/>
      <c r="W247" s="832"/>
      <c r="X247" s="832"/>
    </row>
    <row r="248" spans="7:24" s="29" customFormat="1" ht="20.100000000000001" customHeight="1">
      <c r="G248" s="835"/>
      <c r="H248" s="832"/>
      <c r="I248" s="832"/>
      <c r="J248" s="832"/>
      <c r="K248" s="832"/>
      <c r="L248" s="832"/>
      <c r="M248" s="832"/>
      <c r="N248" s="832"/>
      <c r="O248" s="832"/>
      <c r="P248" s="832"/>
      <c r="Q248" s="832"/>
      <c r="R248" s="832"/>
      <c r="S248" s="832"/>
      <c r="T248" s="832"/>
      <c r="U248" s="832"/>
      <c r="V248" s="832"/>
      <c r="W248" s="832"/>
      <c r="X248" s="832"/>
    </row>
    <row r="249" spans="7:24" s="29" customFormat="1" ht="20.100000000000001" customHeight="1">
      <c r="G249" s="835"/>
      <c r="H249" s="832"/>
      <c r="I249" s="832"/>
      <c r="J249" s="832"/>
      <c r="K249" s="832"/>
      <c r="L249" s="832"/>
      <c r="M249" s="832"/>
      <c r="N249" s="832"/>
      <c r="O249" s="832"/>
      <c r="P249" s="832"/>
      <c r="Q249" s="832"/>
      <c r="R249" s="832"/>
      <c r="S249" s="832"/>
      <c r="T249" s="832"/>
      <c r="U249" s="832"/>
      <c r="V249" s="832"/>
      <c r="W249" s="832"/>
      <c r="X249" s="832"/>
    </row>
    <row r="250" spans="7:24" s="29" customFormat="1" ht="20.100000000000001" customHeight="1">
      <c r="G250" s="835"/>
      <c r="H250" s="832"/>
      <c r="I250" s="832"/>
      <c r="J250" s="832"/>
      <c r="K250" s="832"/>
      <c r="L250" s="832"/>
      <c r="M250" s="832"/>
      <c r="N250" s="832"/>
      <c r="O250" s="832"/>
      <c r="P250" s="832"/>
      <c r="Q250" s="832"/>
      <c r="R250" s="832"/>
      <c r="S250" s="832"/>
      <c r="T250" s="832"/>
      <c r="U250" s="832"/>
      <c r="V250" s="832"/>
      <c r="W250" s="832"/>
      <c r="X250" s="832"/>
    </row>
    <row r="251" spans="7:24" s="29" customFormat="1" ht="20.100000000000001" customHeight="1">
      <c r="G251" s="835"/>
      <c r="H251" s="832"/>
      <c r="I251" s="832"/>
      <c r="J251" s="832"/>
      <c r="K251" s="832"/>
      <c r="L251" s="832"/>
      <c r="M251" s="832"/>
      <c r="N251" s="832"/>
      <c r="O251" s="832"/>
      <c r="P251" s="832"/>
      <c r="Q251" s="832"/>
      <c r="R251" s="832"/>
      <c r="S251" s="832"/>
      <c r="T251" s="832"/>
      <c r="U251" s="832"/>
      <c r="V251" s="832"/>
      <c r="W251" s="832"/>
      <c r="X251" s="832"/>
    </row>
    <row r="252" spans="7:24" s="29" customFormat="1" ht="20.100000000000001" customHeight="1">
      <c r="G252" s="835"/>
      <c r="H252" s="832"/>
      <c r="I252" s="832"/>
      <c r="J252" s="832"/>
      <c r="K252" s="832"/>
      <c r="L252" s="832"/>
      <c r="M252" s="832"/>
      <c r="N252" s="832"/>
      <c r="O252" s="832"/>
      <c r="P252" s="832"/>
      <c r="Q252" s="832"/>
      <c r="R252" s="832"/>
      <c r="S252" s="832"/>
      <c r="T252" s="832"/>
      <c r="U252" s="832"/>
      <c r="V252" s="832"/>
      <c r="W252" s="832"/>
      <c r="X252" s="832"/>
    </row>
  </sheetData>
  <mergeCells count="1">
    <mergeCell ref="E4:E5"/>
  </mergeCells>
  <phoneticPr fontId="7" type="noConversion"/>
  <printOptions horizontalCentered="1" verticalCentered="1"/>
  <pageMargins left="0" right="0" top="0" bottom="0" header="0" footer="0"/>
  <pageSetup paperSize="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ayfa24">
    <tabColor theme="8" tint="0.59999389629810485"/>
  </sheetPr>
  <dimension ref="A1:P87"/>
  <sheetViews>
    <sheetView showGridLines="0" topLeftCell="A58" zoomScaleNormal="100" workbookViewId="0">
      <selection activeCell="P98" sqref="P98"/>
    </sheetView>
  </sheetViews>
  <sheetFormatPr defaultRowHeight="12.75"/>
  <cols>
    <col min="1" max="1" width="4.28515625" customWidth="1"/>
    <col min="2" max="2" width="16.140625" customWidth="1"/>
    <col min="3" max="3" width="9.42578125" style="5" bestFit="1" customWidth="1"/>
    <col min="4" max="4" width="9.140625" style="5" customWidth="1"/>
    <col min="5" max="5" width="9.28515625" style="5" customWidth="1"/>
    <col min="6" max="6" width="9.42578125" style="5" bestFit="1" customWidth="1"/>
    <col min="7" max="10" width="9" style="5" bestFit="1" customWidth="1"/>
    <col min="11" max="11" width="8.5703125" style="5" customWidth="1"/>
    <col min="12" max="14" width="8.140625" style="5" customWidth="1"/>
    <col min="15" max="15" width="7.85546875" style="5" bestFit="1" customWidth="1"/>
    <col min="16" max="16" width="11.28515625" style="5" customWidth="1"/>
  </cols>
  <sheetData>
    <row r="1" spans="1:16" s="14" customFormat="1" ht="15" customHeight="1">
      <c r="A1" s="1997" t="s">
        <v>1083</v>
      </c>
      <c r="B1" s="1997"/>
      <c r="C1" s="1997"/>
      <c r="D1" s="1997"/>
      <c r="E1" s="1997"/>
      <c r="F1" s="1997"/>
      <c r="G1" s="1997"/>
      <c r="H1" s="1997"/>
      <c r="I1" s="1997"/>
      <c r="J1" s="1997"/>
      <c r="K1" s="1997"/>
      <c r="L1" s="1997"/>
      <c r="M1" s="1997"/>
      <c r="N1" s="1997"/>
      <c r="O1" s="1997"/>
      <c r="P1" s="569" t="s">
        <v>729</v>
      </c>
    </row>
    <row r="2" spans="1:16" s="14" customFormat="1" ht="13.5" customHeight="1" thickBot="1">
      <c r="A2" s="2034" t="s">
        <v>1084</v>
      </c>
      <c r="B2" s="2034"/>
      <c r="C2" s="2034"/>
      <c r="D2" s="2034"/>
      <c r="E2" s="2034"/>
      <c r="F2" s="2034"/>
      <c r="G2" s="2034"/>
      <c r="H2" s="2034"/>
      <c r="I2" s="2034"/>
      <c r="J2" s="2034"/>
      <c r="K2" s="2034"/>
      <c r="L2" s="2034"/>
      <c r="M2" s="2034"/>
      <c r="N2" s="1978" t="s">
        <v>1163</v>
      </c>
      <c r="O2" s="1979"/>
      <c r="P2" s="1979"/>
    </row>
    <row r="3" spans="1:16" ht="21.75" customHeight="1">
      <c r="A3" s="2035" t="s">
        <v>1002</v>
      </c>
      <c r="B3" s="592" t="s">
        <v>729</v>
      </c>
      <c r="C3" s="2028" t="s">
        <v>1069</v>
      </c>
      <c r="D3" s="2029"/>
      <c r="E3" s="2029"/>
      <c r="F3" s="2029"/>
      <c r="G3" s="2029"/>
      <c r="H3" s="2029"/>
      <c r="I3" s="2029"/>
      <c r="J3" s="2029"/>
      <c r="K3" s="2029"/>
      <c r="L3" s="2029"/>
      <c r="M3" s="2029"/>
      <c r="N3" s="2029"/>
      <c r="O3" s="2030"/>
      <c r="P3" s="696" t="s">
        <v>729</v>
      </c>
    </row>
    <row r="4" spans="1:16" ht="16.5" customHeight="1">
      <c r="A4" s="2036"/>
      <c r="B4" s="593" t="s">
        <v>905</v>
      </c>
      <c r="C4" s="2031" t="s">
        <v>1070</v>
      </c>
      <c r="D4" s="2032"/>
      <c r="E4" s="2032"/>
      <c r="F4" s="2032"/>
      <c r="G4" s="2032"/>
      <c r="H4" s="2032"/>
      <c r="I4" s="2032"/>
      <c r="J4" s="2032"/>
      <c r="K4" s="2032"/>
      <c r="L4" s="2032"/>
      <c r="M4" s="2032"/>
      <c r="N4" s="2032"/>
      <c r="O4" s="2033"/>
      <c r="P4" s="697" t="s">
        <v>630</v>
      </c>
    </row>
    <row r="5" spans="1:16" ht="29.25" customHeight="1">
      <c r="A5" s="2037"/>
      <c r="B5" s="594" t="s">
        <v>137</v>
      </c>
      <c r="C5" s="946" t="s">
        <v>381</v>
      </c>
      <c r="D5" s="698" t="s">
        <v>382</v>
      </c>
      <c r="E5" s="698" t="s">
        <v>782</v>
      </c>
      <c r="F5" s="698" t="s">
        <v>783</v>
      </c>
      <c r="G5" s="698" t="s">
        <v>784</v>
      </c>
      <c r="H5" s="698" t="s">
        <v>785</v>
      </c>
      <c r="I5" s="695" t="s">
        <v>786</v>
      </c>
      <c r="J5" s="695" t="s">
        <v>260</v>
      </c>
      <c r="K5" s="695" t="s">
        <v>383</v>
      </c>
      <c r="L5" s="695" t="s">
        <v>384</v>
      </c>
      <c r="M5" s="695" t="s">
        <v>385</v>
      </c>
      <c r="N5" s="695" t="s">
        <v>727</v>
      </c>
      <c r="O5" s="699" t="s">
        <v>640</v>
      </c>
      <c r="P5" s="700" t="s">
        <v>879</v>
      </c>
    </row>
    <row r="6" spans="1:16" ht="15" customHeight="1">
      <c r="A6" s="1565">
        <v>1</v>
      </c>
      <c r="B6" s="1566" t="s">
        <v>606</v>
      </c>
      <c r="C6" s="1567">
        <v>14591</v>
      </c>
      <c r="D6" s="1567">
        <v>11308</v>
      </c>
      <c r="E6" s="1568">
        <v>6372</v>
      </c>
      <c r="F6" s="1568">
        <v>2451</v>
      </c>
      <c r="G6" s="1568">
        <v>2791</v>
      </c>
      <c r="H6" s="1568">
        <v>982</v>
      </c>
      <c r="I6" s="1568">
        <v>867</v>
      </c>
      <c r="J6" s="1568">
        <v>442</v>
      </c>
      <c r="K6" s="1568">
        <v>261</v>
      </c>
      <c r="L6" s="1568">
        <v>86</v>
      </c>
      <c r="M6" s="1568">
        <v>23</v>
      </c>
      <c r="N6" s="1569">
        <v>14</v>
      </c>
      <c r="O6" s="1569">
        <v>8</v>
      </c>
      <c r="P6" s="1551">
        <f>SUM(C6:O6)</f>
        <v>40196</v>
      </c>
    </row>
    <row r="7" spans="1:16" ht="15" customHeight="1">
      <c r="A7" s="1565">
        <v>2</v>
      </c>
      <c r="B7" s="1570" t="s">
        <v>607</v>
      </c>
      <c r="C7" s="1571">
        <v>2582</v>
      </c>
      <c r="D7" s="1571">
        <v>1883</v>
      </c>
      <c r="E7" s="1572">
        <v>986</v>
      </c>
      <c r="F7" s="1572">
        <v>374</v>
      </c>
      <c r="G7" s="1572">
        <v>527</v>
      </c>
      <c r="H7" s="1573">
        <v>156</v>
      </c>
      <c r="I7" s="1573">
        <v>132</v>
      </c>
      <c r="J7" s="1573">
        <v>75</v>
      </c>
      <c r="K7" s="1573">
        <v>64</v>
      </c>
      <c r="L7" s="1573">
        <v>16</v>
      </c>
      <c r="M7" s="1573">
        <v>3</v>
      </c>
      <c r="N7" s="1574">
        <v>2</v>
      </c>
      <c r="O7" s="1550">
        <v>0</v>
      </c>
      <c r="P7" s="1551">
        <f t="shared" ref="P7:P70" si="0">SUM(C7:O7)</f>
        <v>6800</v>
      </c>
    </row>
    <row r="8" spans="1:16" ht="15" customHeight="1">
      <c r="A8" s="1565">
        <v>3</v>
      </c>
      <c r="B8" s="1570" t="s">
        <v>159</v>
      </c>
      <c r="C8" s="1575">
        <v>4454</v>
      </c>
      <c r="D8" s="1575">
        <v>3567</v>
      </c>
      <c r="E8" s="1573">
        <v>2009</v>
      </c>
      <c r="F8" s="1573">
        <v>802</v>
      </c>
      <c r="G8" s="1573">
        <v>1040</v>
      </c>
      <c r="H8" s="1573">
        <v>370</v>
      </c>
      <c r="I8" s="1573">
        <v>263</v>
      </c>
      <c r="J8" s="1573">
        <v>170</v>
      </c>
      <c r="K8" s="1573">
        <v>91</v>
      </c>
      <c r="L8" s="1573">
        <v>22</v>
      </c>
      <c r="M8" s="1573">
        <v>5</v>
      </c>
      <c r="N8" s="1549">
        <v>0</v>
      </c>
      <c r="O8" s="1550">
        <v>1</v>
      </c>
      <c r="P8" s="1551">
        <f t="shared" si="0"/>
        <v>12794</v>
      </c>
    </row>
    <row r="9" spans="1:16" ht="15" customHeight="1">
      <c r="A9" s="1565">
        <v>4</v>
      </c>
      <c r="B9" s="1570" t="s">
        <v>608</v>
      </c>
      <c r="C9" s="1576">
        <v>748</v>
      </c>
      <c r="D9" s="1575">
        <v>739</v>
      </c>
      <c r="E9" s="1573">
        <v>488</v>
      </c>
      <c r="F9" s="1573">
        <v>221</v>
      </c>
      <c r="G9" s="1573">
        <v>255</v>
      </c>
      <c r="H9" s="1573">
        <v>92</v>
      </c>
      <c r="I9" s="1573">
        <v>58</v>
      </c>
      <c r="J9" s="1573">
        <v>54</v>
      </c>
      <c r="K9" s="1573">
        <v>32</v>
      </c>
      <c r="L9" s="1573">
        <v>10</v>
      </c>
      <c r="M9" s="1549">
        <v>0</v>
      </c>
      <c r="N9" s="1549">
        <v>0</v>
      </c>
      <c r="O9" s="1550">
        <v>0</v>
      </c>
      <c r="P9" s="1551">
        <f t="shared" si="0"/>
        <v>2697</v>
      </c>
    </row>
    <row r="10" spans="1:16" ht="15" customHeight="1">
      <c r="A10" s="1565">
        <v>5</v>
      </c>
      <c r="B10" s="1570" t="s">
        <v>609</v>
      </c>
      <c r="C10" s="1575">
        <v>1959</v>
      </c>
      <c r="D10" s="1575">
        <v>1680</v>
      </c>
      <c r="E10" s="1573">
        <v>974</v>
      </c>
      <c r="F10" s="1573">
        <v>386</v>
      </c>
      <c r="G10" s="1573">
        <v>453</v>
      </c>
      <c r="H10" s="1573">
        <v>131</v>
      </c>
      <c r="I10" s="1573">
        <v>101</v>
      </c>
      <c r="J10" s="1573">
        <v>57</v>
      </c>
      <c r="K10" s="1573">
        <v>40</v>
      </c>
      <c r="L10" s="1573">
        <v>18</v>
      </c>
      <c r="M10" s="1577">
        <v>2</v>
      </c>
      <c r="N10" s="1550">
        <v>0</v>
      </c>
      <c r="O10" s="1550">
        <v>0</v>
      </c>
      <c r="P10" s="1551">
        <f t="shared" si="0"/>
        <v>5801</v>
      </c>
    </row>
    <row r="11" spans="1:16" ht="15" customHeight="1">
      <c r="A11" s="1565">
        <v>6</v>
      </c>
      <c r="B11" s="1570" t="s">
        <v>610</v>
      </c>
      <c r="C11" s="1575">
        <v>47843</v>
      </c>
      <c r="D11" s="1575">
        <v>37123</v>
      </c>
      <c r="E11" s="1573">
        <v>22549</v>
      </c>
      <c r="F11" s="1573">
        <v>9688</v>
      </c>
      <c r="G11" s="1573">
        <v>11197</v>
      </c>
      <c r="H11" s="1573">
        <v>3592</v>
      </c>
      <c r="I11" s="1573">
        <v>2786</v>
      </c>
      <c r="J11" s="1573">
        <v>1607</v>
      </c>
      <c r="K11" s="1573">
        <v>863</v>
      </c>
      <c r="L11" s="1573">
        <v>300</v>
      </c>
      <c r="M11" s="1573">
        <v>86</v>
      </c>
      <c r="N11" s="1578">
        <v>42</v>
      </c>
      <c r="O11" s="1578">
        <v>46</v>
      </c>
      <c r="P11" s="1551">
        <f t="shared" si="0"/>
        <v>137722</v>
      </c>
    </row>
    <row r="12" spans="1:16" ht="15" customHeight="1">
      <c r="A12" s="1565">
        <v>7</v>
      </c>
      <c r="B12" s="1570" t="s">
        <v>611</v>
      </c>
      <c r="C12" s="1575">
        <v>25474</v>
      </c>
      <c r="D12" s="1575">
        <v>19715</v>
      </c>
      <c r="E12" s="1573">
        <v>10566</v>
      </c>
      <c r="F12" s="1573">
        <v>4188</v>
      </c>
      <c r="G12" s="1573">
        <v>4609</v>
      </c>
      <c r="H12" s="1573">
        <v>1295</v>
      </c>
      <c r="I12" s="1573">
        <v>1035</v>
      </c>
      <c r="J12" s="1573">
        <v>687</v>
      </c>
      <c r="K12" s="1573">
        <v>523</v>
      </c>
      <c r="L12" s="1573">
        <v>186</v>
      </c>
      <c r="M12" s="1573">
        <v>41</v>
      </c>
      <c r="N12" s="1578">
        <v>12</v>
      </c>
      <c r="O12" s="1578">
        <v>4</v>
      </c>
      <c r="P12" s="1551">
        <f t="shared" si="0"/>
        <v>68335</v>
      </c>
    </row>
    <row r="13" spans="1:16" ht="15" customHeight="1">
      <c r="A13" s="1565">
        <v>8</v>
      </c>
      <c r="B13" s="1570" t="s">
        <v>612</v>
      </c>
      <c r="C13" s="1575">
        <v>1373</v>
      </c>
      <c r="D13" s="1575">
        <v>1174</v>
      </c>
      <c r="E13" s="1573">
        <v>548</v>
      </c>
      <c r="F13" s="1573">
        <v>187</v>
      </c>
      <c r="G13" s="1573">
        <v>260</v>
      </c>
      <c r="H13" s="1573">
        <v>96</v>
      </c>
      <c r="I13" s="1573">
        <v>63</v>
      </c>
      <c r="J13" s="1573">
        <v>34</v>
      </c>
      <c r="K13" s="1573">
        <v>31</v>
      </c>
      <c r="L13" s="1577">
        <v>2</v>
      </c>
      <c r="M13" s="1577">
        <v>2</v>
      </c>
      <c r="N13" s="1550">
        <v>0</v>
      </c>
      <c r="O13" s="1578">
        <v>1</v>
      </c>
      <c r="P13" s="1551">
        <f t="shared" si="0"/>
        <v>3771</v>
      </c>
    </row>
    <row r="14" spans="1:16" ht="15" customHeight="1">
      <c r="A14" s="1565">
        <v>9</v>
      </c>
      <c r="B14" s="1570" t="s">
        <v>582</v>
      </c>
      <c r="C14" s="1575">
        <v>10646</v>
      </c>
      <c r="D14" s="1575">
        <v>7474</v>
      </c>
      <c r="E14" s="1573">
        <v>3871</v>
      </c>
      <c r="F14" s="1573">
        <v>1528</v>
      </c>
      <c r="G14" s="1573">
        <v>1783</v>
      </c>
      <c r="H14" s="1573">
        <v>509</v>
      </c>
      <c r="I14" s="1573">
        <v>356</v>
      </c>
      <c r="J14" s="1573">
        <v>244</v>
      </c>
      <c r="K14" s="1573">
        <v>134</v>
      </c>
      <c r="L14" s="1573">
        <v>33</v>
      </c>
      <c r="M14" s="1573">
        <v>8</v>
      </c>
      <c r="N14" s="1578">
        <v>6</v>
      </c>
      <c r="O14" s="1578">
        <v>2</v>
      </c>
      <c r="P14" s="1551">
        <f t="shared" si="0"/>
        <v>26594</v>
      </c>
    </row>
    <row r="15" spans="1:16" ht="15" customHeight="1">
      <c r="A15" s="1565">
        <v>10</v>
      </c>
      <c r="B15" s="1570" t="s">
        <v>583</v>
      </c>
      <c r="C15" s="1575">
        <v>10565</v>
      </c>
      <c r="D15" s="1575">
        <v>8265</v>
      </c>
      <c r="E15" s="1573">
        <v>4518</v>
      </c>
      <c r="F15" s="1573">
        <v>1857</v>
      </c>
      <c r="G15" s="1573">
        <v>1766</v>
      </c>
      <c r="H15" s="1573">
        <v>549</v>
      </c>
      <c r="I15" s="1573">
        <v>456</v>
      </c>
      <c r="J15" s="1573">
        <v>228</v>
      </c>
      <c r="K15" s="1573">
        <v>124</v>
      </c>
      <c r="L15" s="1573">
        <v>46</v>
      </c>
      <c r="M15" s="1573">
        <v>5</v>
      </c>
      <c r="N15" s="1578">
        <v>4</v>
      </c>
      <c r="O15" s="1578">
        <v>2</v>
      </c>
      <c r="P15" s="1551">
        <f t="shared" si="0"/>
        <v>28385</v>
      </c>
    </row>
    <row r="16" spans="1:16" ht="15" customHeight="1">
      <c r="A16" s="1565">
        <v>11</v>
      </c>
      <c r="B16" s="1570" t="s">
        <v>584</v>
      </c>
      <c r="C16" s="1575">
        <v>1775</v>
      </c>
      <c r="D16" s="1575">
        <v>1298</v>
      </c>
      <c r="E16" s="1573">
        <v>683</v>
      </c>
      <c r="F16" s="1573">
        <v>262</v>
      </c>
      <c r="G16" s="1573">
        <v>303</v>
      </c>
      <c r="H16" s="1573">
        <v>100</v>
      </c>
      <c r="I16" s="1573">
        <v>79</v>
      </c>
      <c r="J16" s="1573">
        <v>74</v>
      </c>
      <c r="K16" s="1573">
        <v>43</v>
      </c>
      <c r="L16" s="1573">
        <v>19</v>
      </c>
      <c r="M16" s="1573">
        <v>6</v>
      </c>
      <c r="N16" s="1550">
        <v>2</v>
      </c>
      <c r="O16" s="1578">
        <v>2</v>
      </c>
      <c r="P16" s="1551">
        <f t="shared" si="0"/>
        <v>4646</v>
      </c>
    </row>
    <row r="17" spans="1:16" ht="15" customHeight="1">
      <c r="A17" s="1565">
        <v>12</v>
      </c>
      <c r="B17" s="1570" t="s">
        <v>585</v>
      </c>
      <c r="C17" s="1576">
        <v>715</v>
      </c>
      <c r="D17" s="1576">
        <v>599</v>
      </c>
      <c r="E17" s="1573">
        <v>418</v>
      </c>
      <c r="F17" s="1577">
        <v>158</v>
      </c>
      <c r="G17" s="1573">
        <v>312</v>
      </c>
      <c r="H17" s="1573">
        <v>110</v>
      </c>
      <c r="I17" s="1573">
        <v>76</v>
      </c>
      <c r="J17" s="1573">
        <v>48</v>
      </c>
      <c r="K17" s="1573">
        <v>27</v>
      </c>
      <c r="L17" s="1573">
        <v>6</v>
      </c>
      <c r="M17" s="1573">
        <v>1</v>
      </c>
      <c r="N17" s="1574">
        <v>3</v>
      </c>
      <c r="O17" s="1550">
        <v>1</v>
      </c>
      <c r="P17" s="1551">
        <f t="shared" si="0"/>
        <v>2474</v>
      </c>
    </row>
    <row r="18" spans="1:16" ht="15" customHeight="1">
      <c r="A18" s="1565">
        <v>13</v>
      </c>
      <c r="B18" s="1570" t="s">
        <v>586</v>
      </c>
      <c r="C18" s="1576">
        <v>969</v>
      </c>
      <c r="D18" s="1575">
        <v>743</v>
      </c>
      <c r="E18" s="1573">
        <v>419</v>
      </c>
      <c r="F18" s="1577">
        <v>159</v>
      </c>
      <c r="G18" s="1573">
        <v>218</v>
      </c>
      <c r="H18" s="1573">
        <v>57</v>
      </c>
      <c r="I18" s="1573">
        <v>53</v>
      </c>
      <c r="J18" s="1573">
        <v>47</v>
      </c>
      <c r="K18" s="1573">
        <v>37</v>
      </c>
      <c r="L18" s="1577">
        <v>3</v>
      </c>
      <c r="M18" s="1549">
        <v>0</v>
      </c>
      <c r="N18" s="1549">
        <v>0</v>
      </c>
      <c r="O18" s="1550">
        <v>0</v>
      </c>
      <c r="P18" s="1551">
        <f t="shared" si="0"/>
        <v>2705</v>
      </c>
    </row>
    <row r="19" spans="1:16" ht="15" customHeight="1">
      <c r="A19" s="1565">
        <v>14</v>
      </c>
      <c r="B19" s="1570" t="s">
        <v>587</v>
      </c>
      <c r="C19" s="1575">
        <v>2404</v>
      </c>
      <c r="D19" s="1575">
        <v>2029</v>
      </c>
      <c r="E19" s="1573">
        <v>1170</v>
      </c>
      <c r="F19" s="1573">
        <v>458</v>
      </c>
      <c r="G19" s="1573">
        <v>562</v>
      </c>
      <c r="H19" s="1573">
        <v>168</v>
      </c>
      <c r="I19" s="1573">
        <v>129</v>
      </c>
      <c r="J19" s="1573">
        <v>73</v>
      </c>
      <c r="K19" s="1573">
        <v>60</v>
      </c>
      <c r="L19" s="1573">
        <v>15</v>
      </c>
      <c r="M19" s="1577">
        <v>3</v>
      </c>
      <c r="N19" s="1574">
        <v>1</v>
      </c>
      <c r="O19" s="1578">
        <v>4</v>
      </c>
      <c r="P19" s="1551">
        <f t="shared" si="0"/>
        <v>7076</v>
      </c>
    </row>
    <row r="20" spans="1:16" ht="15" customHeight="1">
      <c r="A20" s="1565">
        <v>15</v>
      </c>
      <c r="B20" s="1570" t="s">
        <v>588</v>
      </c>
      <c r="C20" s="1575">
        <v>2246</v>
      </c>
      <c r="D20" s="1575">
        <v>1701</v>
      </c>
      <c r="E20" s="1573">
        <v>932</v>
      </c>
      <c r="F20" s="1573">
        <v>323</v>
      </c>
      <c r="G20" s="1573">
        <v>372</v>
      </c>
      <c r="H20" s="1573">
        <v>136</v>
      </c>
      <c r="I20" s="1573">
        <v>91</v>
      </c>
      <c r="J20" s="1573">
        <v>73</v>
      </c>
      <c r="K20" s="1573">
        <v>48</v>
      </c>
      <c r="L20" s="1573">
        <v>7</v>
      </c>
      <c r="M20" s="1549">
        <v>0</v>
      </c>
      <c r="N20" s="1549">
        <v>0</v>
      </c>
      <c r="O20" s="1550">
        <v>0</v>
      </c>
      <c r="P20" s="1551">
        <f t="shared" si="0"/>
        <v>5929</v>
      </c>
    </row>
    <row r="21" spans="1:16" ht="15" customHeight="1">
      <c r="A21" s="1565">
        <v>16</v>
      </c>
      <c r="B21" s="1570" t="s">
        <v>589</v>
      </c>
      <c r="C21" s="1575">
        <v>25194</v>
      </c>
      <c r="D21" s="1575">
        <v>20766</v>
      </c>
      <c r="E21" s="1573">
        <v>11837</v>
      </c>
      <c r="F21" s="1573">
        <v>4893</v>
      </c>
      <c r="G21" s="1573">
        <v>5678</v>
      </c>
      <c r="H21" s="1573">
        <v>1948</v>
      </c>
      <c r="I21" s="1573">
        <v>1632</v>
      </c>
      <c r="J21" s="1573">
        <v>965</v>
      </c>
      <c r="K21" s="1573">
        <v>624</v>
      </c>
      <c r="L21" s="1573">
        <v>199</v>
      </c>
      <c r="M21" s="1573">
        <v>59</v>
      </c>
      <c r="N21" s="1578">
        <v>23</v>
      </c>
      <c r="O21" s="1578">
        <v>32</v>
      </c>
      <c r="P21" s="1551">
        <f t="shared" si="0"/>
        <v>73850</v>
      </c>
    </row>
    <row r="22" spans="1:16" ht="15" customHeight="1">
      <c r="A22" s="1565">
        <v>17</v>
      </c>
      <c r="B22" s="1570" t="s">
        <v>79</v>
      </c>
      <c r="C22" s="1575">
        <v>5526</v>
      </c>
      <c r="D22" s="1575">
        <v>4278</v>
      </c>
      <c r="E22" s="1573">
        <v>2204</v>
      </c>
      <c r="F22" s="1573">
        <v>793</v>
      </c>
      <c r="G22" s="1573">
        <v>780</v>
      </c>
      <c r="H22" s="1573">
        <v>238</v>
      </c>
      <c r="I22" s="1573">
        <v>195</v>
      </c>
      <c r="J22" s="1573">
        <v>110</v>
      </c>
      <c r="K22" s="1573">
        <v>53</v>
      </c>
      <c r="L22" s="1573">
        <v>18</v>
      </c>
      <c r="M22" s="1573">
        <v>2</v>
      </c>
      <c r="N22" s="1574">
        <v>1</v>
      </c>
      <c r="O22" s="1578">
        <v>4</v>
      </c>
      <c r="P22" s="1551">
        <f t="shared" si="0"/>
        <v>14202</v>
      </c>
    </row>
    <row r="23" spans="1:16" ht="15" customHeight="1">
      <c r="A23" s="1565">
        <v>18</v>
      </c>
      <c r="B23" s="1570" t="s">
        <v>80</v>
      </c>
      <c r="C23" s="1575">
        <v>1139</v>
      </c>
      <c r="D23" s="1575">
        <v>828</v>
      </c>
      <c r="E23" s="1573">
        <v>460</v>
      </c>
      <c r="F23" s="1573">
        <v>173</v>
      </c>
      <c r="G23" s="1573">
        <v>230</v>
      </c>
      <c r="H23" s="1573">
        <v>93</v>
      </c>
      <c r="I23" s="1573">
        <v>65</v>
      </c>
      <c r="J23" s="1573">
        <v>32</v>
      </c>
      <c r="K23" s="1573">
        <v>32</v>
      </c>
      <c r="L23" s="1573">
        <v>7</v>
      </c>
      <c r="M23" s="1573">
        <v>2</v>
      </c>
      <c r="N23" s="1550">
        <v>1</v>
      </c>
      <c r="O23" s="1578">
        <v>1</v>
      </c>
      <c r="P23" s="1551">
        <f t="shared" si="0"/>
        <v>3063</v>
      </c>
    </row>
    <row r="24" spans="1:16" ht="15" customHeight="1">
      <c r="A24" s="1565">
        <v>19</v>
      </c>
      <c r="B24" s="1570" t="s">
        <v>651</v>
      </c>
      <c r="C24" s="1575">
        <v>2860</v>
      </c>
      <c r="D24" s="1575">
        <v>2583</v>
      </c>
      <c r="E24" s="1573">
        <v>1341</v>
      </c>
      <c r="F24" s="1573">
        <v>504</v>
      </c>
      <c r="G24" s="1573">
        <v>668</v>
      </c>
      <c r="H24" s="1573">
        <v>187</v>
      </c>
      <c r="I24" s="1573">
        <v>144</v>
      </c>
      <c r="J24" s="1573">
        <v>103</v>
      </c>
      <c r="K24" s="1573">
        <v>78</v>
      </c>
      <c r="L24" s="1573">
        <v>18</v>
      </c>
      <c r="M24" s="1573">
        <v>2</v>
      </c>
      <c r="N24" s="1574">
        <v>0</v>
      </c>
      <c r="O24" s="1550">
        <v>0</v>
      </c>
      <c r="P24" s="1551">
        <f t="shared" si="0"/>
        <v>8488</v>
      </c>
    </row>
    <row r="25" spans="1:16" ht="15" customHeight="1">
      <c r="A25" s="1565">
        <v>20</v>
      </c>
      <c r="B25" s="1570" t="s">
        <v>623</v>
      </c>
      <c r="C25" s="1575">
        <v>8806</v>
      </c>
      <c r="D25" s="1575">
        <v>6793</v>
      </c>
      <c r="E25" s="1573">
        <v>3836</v>
      </c>
      <c r="F25" s="1573">
        <v>1634</v>
      </c>
      <c r="G25" s="1573">
        <v>1972</v>
      </c>
      <c r="H25" s="1573">
        <v>647</v>
      </c>
      <c r="I25" s="1573">
        <v>523</v>
      </c>
      <c r="J25" s="1573">
        <v>314</v>
      </c>
      <c r="K25" s="1573">
        <v>206</v>
      </c>
      <c r="L25" s="1573">
        <v>43</v>
      </c>
      <c r="M25" s="1573">
        <v>17</v>
      </c>
      <c r="N25" s="1574">
        <v>1</v>
      </c>
      <c r="O25" s="1578">
        <v>2</v>
      </c>
      <c r="P25" s="1551">
        <f t="shared" si="0"/>
        <v>24794</v>
      </c>
    </row>
    <row r="26" spans="1:16" ht="15" customHeight="1">
      <c r="A26" s="1565">
        <v>21</v>
      </c>
      <c r="B26" s="1570" t="s">
        <v>502</v>
      </c>
      <c r="C26" s="1575">
        <v>5219</v>
      </c>
      <c r="D26" s="1575">
        <v>3857</v>
      </c>
      <c r="E26" s="1573">
        <v>2077</v>
      </c>
      <c r="F26" s="1573">
        <v>841</v>
      </c>
      <c r="G26" s="1573">
        <v>1284</v>
      </c>
      <c r="H26" s="1573">
        <v>452</v>
      </c>
      <c r="I26" s="1573">
        <v>398</v>
      </c>
      <c r="J26" s="1573">
        <v>276</v>
      </c>
      <c r="K26" s="1573">
        <v>169</v>
      </c>
      <c r="L26" s="1573">
        <v>56</v>
      </c>
      <c r="M26" s="1577">
        <v>10</v>
      </c>
      <c r="N26" s="1578">
        <v>0</v>
      </c>
      <c r="O26" s="1578">
        <v>2</v>
      </c>
      <c r="P26" s="1551">
        <f t="shared" si="0"/>
        <v>14641</v>
      </c>
    </row>
    <row r="27" spans="1:16" ht="15" customHeight="1">
      <c r="A27" s="1565">
        <v>22</v>
      </c>
      <c r="B27" s="1570" t="s">
        <v>544</v>
      </c>
      <c r="C27" s="1575">
        <v>3736</v>
      </c>
      <c r="D27" s="1575">
        <v>2721</v>
      </c>
      <c r="E27" s="1573">
        <v>1446</v>
      </c>
      <c r="F27" s="1573">
        <v>546</v>
      </c>
      <c r="G27" s="1573">
        <v>582</v>
      </c>
      <c r="H27" s="1573">
        <v>176</v>
      </c>
      <c r="I27" s="1573">
        <v>129</v>
      </c>
      <c r="J27" s="1573">
        <v>77</v>
      </c>
      <c r="K27" s="1573">
        <v>53</v>
      </c>
      <c r="L27" s="1573">
        <v>15</v>
      </c>
      <c r="M27" s="1573">
        <v>4</v>
      </c>
      <c r="N27" s="1578">
        <v>0</v>
      </c>
      <c r="O27" s="1578">
        <v>1</v>
      </c>
      <c r="P27" s="1551">
        <f t="shared" si="0"/>
        <v>9486</v>
      </c>
    </row>
    <row r="28" spans="1:16" ht="15" customHeight="1">
      <c r="A28" s="1565">
        <v>23</v>
      </c>
      <c r="B28" s="1570" t="s">
        <v>430</v>
      </c>
      <c r="C28" s="1575">
        <v>2453</v>
      </c>
      <c r="D28" s="1575">
        <v>2044</v>
      </c>
      <c r="E28" s="1573">
        <v>1172</v>
      </c>
      <c r="F28" s="1573">
        <v>463</v>
      </c>
      <c r="G28" s="1573">
        <v>771</v>
      </c>
      <c r="H28" s="1573">
        <v>262</v>
      </c>
      <c r="I28" s="1573">
        <v>165</v>
      </c>
      <c r="J28" s="1573">
        <v>102</v>
      </c>
      <c r="K28" s="1573">
        <v>60</v>
      </c>
      <c r="L28" s="1573">
        <v>10</v>
      </c>
      <c r="M28" s="1577">
        <v>7</v>
      </c>
      <c r="N28" s="1578">
        <v>2</v>
      </c>
      <c r="O28" s="1578">
        <v>4</v>
      </c>
      <c r="P28" s="1551">
        <f t="shared" si="0"/>
        <v>7515</v>
      </c>
    </row>
    <row r="29" spans="1:16" ht="15" customHeight="1">
      <c r="A29" s="1565">
        <v>24</v>
      </c>
      <c r="B29" s="1570" t="s">
        <v>431</v>
      </c>
      <c r="C29" s="1575">
        <v>1248</v>
      </c>
      <c r="D29" s="1575">
        <v>1029</v>
      </c>
      <c r="E29" s="1573">
        <v>592</v>
      </c>
      <c r="F29" s="1573">
        <v>242</v>
      </c>
      <c r="G29" s="1573">
        <v>331</v>
      </c>
      <c r="H29" s="1573">
        <v>115</v>
      </c>
      <c r="I29" s="1573">
        <v>85</v>
      </c>
      <c r="J29" s="1573">
        <v>42</v>
      </c>
      <c r="K29" s="1573">
        <v>35</v>
      </c>
      <c r="L29" s="1573">
        <v>6</v>
      </c>
      <c r="M29" s="1577">
        <v>1</v>
      </c>
      <c r="N29" s="1550">
        <v>1</v>
      </c>
      <c r="O29" s="1550">
        <v>1</v>
      </c>
      <c r="P29" s="1551">
        <f t="shared" si="0"/>
        <v>3728</v>
      </c>
    </row>
    <row r="30" spans="1:16" ht="15" customHeight="1">
      <c r="A30" s="1565">
        <v>25</v>
      </c>
      <c r="B30" s="1570" t="s">
        <v>882</v>
      </c>
      <c r="C30" s="1575">
        <v>3596</v>
      </c>
      <c r="D30" s="1575">
        <v>2691</v>
      </c>
      <c r="E30" s="1573">
        <v>1473</v>
      </c>
      <c r="F30" s="1573">
        <v>667</v>
      </c>
      <c r="G30" s="1573">
        <v>844</v>
      </c>
      <c r="H30" s="1573">
        <v>296</v>
      </c>
      <c r="I30" s="1573">
        <v>211</v>
      </c>
      <c r="J30" s="1573">
        <v>178</v>
      </c>
      <c r="K30" s="1573">
        <v>81</v>
      </c>
      <c r="L30" s="1573">
        <v>19</v>
      </c>
      <c r="M30" s="1573">
        <v>8</v>
      </c>
      <c r="N30" s="1578">
        <v>2</v>
      </c>
      <c r="O30" s="1578">
        <v>3</v>
      </c>
      <c r="P30" s="1551">
        <f t="shared" si="0"/>
        <v>10069</v>
      </c>
    </row>
    <row r="31" spans="1:16" ht="15" customHeight="1">
      <c r="A31" s="1565">
        <v>26</v>
      </c>
      <c r="B31" s="1570" t="s">
        <v>463</v>
      </c>
      <c r="C31" s="1575">
        <v>7591</v>
      </c>
      <c r="D31" s="1575">
        <v>5663</v>
      </c>
      <c r="E31" s="1573">
        <v>3099</v>
      </c>
      <c r="F31" s="1573">
        <v>1191</v>
      </c>
      <c r="G31" s="1573">
        <v>1326</v>
      </c>
      <c r="H31" s="1573">
        <v>421</v>
      </c>
      <c r="I31" s="1573">
        <v>346</v>
      </c>
      <c r="J31" s="1573">
        <v>200</v>
      </c>
      <c r="K31" s="1573">
        <v>143</v>
      </c>
      <c r="L31" s="1573">
        <v>54</v>
      </c>
      <c r="M31" s="1573">
        <v>17</v>
      </c>
      <c r="N31" s="1578">
        <v>3</v>
      </c>
      <c r="O31" s="1578">
        <v>20</v>
      </c>
      <c r="P31" s="1551">
        <f t="shared" si="0"/>
        <v>20074</v>
      </c>
    </row>
    <row r="32" spans="1:16" ht="15" customHeight="1">
      <c r="A32" s="1565">
        <v>27</v>
      </c>
      <c r="B32" s="1570" t="s">
        <v>464</v>
      </c>
      <c r="C32" s="1575">
        <v>12522</v>
      </c>
      <c r="D32" s="1575">
        <v>9365</v>
      </c>
      <c r="E32" s="1573">
        <v>4816</v>
      </c>
      <c r="F32" s="1573">
        <v>1761</v>
      </c>
      <c r="G32" s="1573">
        <v>2032</v>
      </c>
      <c r="H32" s="1573">
        <v>747</v>
      </c>
      <c r="I32" s="1573">
        <v>552</v>
      </c>
      <c r="J32" s="1573">
        <v>394</v>
      </c>
      <c r="K32" s="1573">
        <v>287</v>
      </c>
      <c r="L32" s="1573">
        <v>104</v>
      </c>
      <c r="M32" s="1573">
        <v>46</v>
      </c>
      <c r="N32" s="1578">
        <v>12</v>
      </c>
      <c r="O32" s="1578">
        <v>12</v>
      </c>
      <c r="P32" s="1551">
        <f t="shared" si="0"/>
        <v>32650</v>
      </c>
    </row>
    <row r="33" spans="1:16" ht="15" customHeight="1">
      <c r="A33" s="1565">
        <v>28</v>
      </c>
      <c r="B33" s="1570" t="s">
        <v>71</v>
      </c>
      <c r="C33" s="1575">
        <v>3063</v>
      </c>
      <c r="D33" s="1575">
        <v>2476</v>
      </c>
      <c r="E33" s="1573">
        <v>1282</v>
      </c>
      <c r="F33" s="1573">
        <v>521</v>
      </c>
      <c r="G33" s="1573">
        <v>642</v>
      </c>
      <c r="H33" s="1573">
        <v>191</v>
      </c>
      <c r="I33" s="1573">
        <v>171</v>
      </c>
      <c r="J33" s="1573">
        <v>73</v>
      </c>
      <c r="K33" s="1573">
        <v>44</v>
      </c>
      <c r="L33" s="1573">
        <v>13</v>
      </c>
      <c r="M33" s="1573">
        <v>2</v>
      </c>
      <c r="N33" s="1550">
        <v>1</v>
      </c>
      <c r="O33" s="1550">
        <v>0</v>
      </c>
      <c r="P33" s="1551">
        <f t="shared" si="0"/>
        <v>8479</v>
      </c>
    </row>
    <row r="34" spans="1:16" ht="15" customHeight="1">
      <c r="A34" s="1565">
        <v>29</v>
      </c>
      <c r="B34" s="1570" t="s">
        <v>716</v>
      </c>
      <c r="C34" s="1576">
        <v>781</v>
      </c>
      <c r="D34" s="1575">
        <v>641</v>
      </c>
      <c r="E34" s="1573">
        <v>395</v>
      </c>
      <c r="F34" s="1577">
        <v>130</v>
      </c>
      <c r="G34" s="1573">
        <v>166</v>
      </c>
      <c r="H34" s="1577">
        <v>53</v>
      </c>
      <c r="I34" s="1573">
        <v>31</v>
      </c>
      <c r="J34" s="1573">
        <v>26</v>
      </c>
      <c r="K34" s="1573">
        <v>23</v>
      </c>
      <c r="L34" s="1573">
        <v>4</v>
      </c>
      <c r="M34" s="1549">
        <v>0</v>
      </c>
      <c r="N34" s="1549">
        <v>0</v>
      </c>
      <c r="O34" s="1550">
        <v>0</v>
      </c>
      <c r="P34" s="1551">
        <f t="shared" si="0"/>
        <v>2250</v>
      </c>
    </row>
    <row r="35" spans="1:16" ht="15" customHeight="1">
      <c r="A35" s="1565">
        <v>30</v>
      </c>
      <c r="B35" s="1570" t="s">
        <v>620</v>
      </c>
      <c r="C35" s="1576">
        <v>394</v>
      </c>
      <c r="D35" s="1576">
        <v>380</v>
      </c>
      <c r="E35" s="1577">
        <v>216</v>
      </c>
      <c r="F35" s="1577">
        <v>71</v>
      </c>
      <c r="G35" s="1573">
        <v>136</v>
      </c>
      <c r="H35" s="1577">
        <v>40</v>
      </c>
      <c r="I35" s="1577">
        <v>30</v>
      </c>
      <c r="J35" s="1573">
        <v>32</v>
      </c>
      <c r="K35" s="1573">
        <v>22</v>
      </c>
      <c r="L35" s="1577">
        <v>7</v>
      </c>
      <c r="M35" s="1549">
        <v>1</v>
      </c>
      <c r="N35" s="1549">
        <v>0</v>
      </c>
      <c r="O35" s="1550">
        <v>1</v>
      </c>
      <c r="P35" s="1551">
        <f t="shared" si="0"/>
        <v>1330</v>
      </c>
    </row>
    <row r="36" spans="1:16" ht="15" customHeight="1">
      <c r="A36" s="1565">
        <v>31</v>
      </c>
      <c r="B36" s="1570" t="s">
        <v>621</v>
      </c>
      <c r="C36" s="1575">
        <v>7402</v>
      </c>
      <c r="D36" s="1575">
        <v>6619</v>
      </c>
      <c r="E36" s="1573">
        <v>3801</v>
      </c>
      <c r="F36" s="1573">
        <v>1449</v>
      </c>
      <c r="G36" s="1573">
        <v>1602</v>
      </c>
      <c r="H36" s="1573">
        <v>526</v>
      </c>
      <c r="I36" s="1573">
        <v>414</v>
      </c>
      <c r="J36" s="1573">
        <v>238</v>
      </c>
      <c r="K36" s="1573">
        <v>140</v>
      </c>
      <c r="L36" s="1573">
        <v>58</v>
      </c>
      <c r="M36" s="1573">
        <v>9</v>
      </c>
      <c r="N36" s="1578">
        <v>4</v>
      </c>
      <c r="O36" s="1578">
        <v>4</v>
      </c>
      <c r="P36" s="1551">
        <f t="shared" si="0"/>
        <v>22266</v>
      </c>
    </row>
    <row r="37" spans="1:16" ht="15" customHeight="1">
      <c r="A37" s="1565">
        <v>32</v>
      </c>
      <c r="B37" s="1570" t="s">
        <v>622</v>
      </c>
      <c r="C37" s="1575">
        <v>3266</v>
      </c>
      <c r="D37" s="1575">
        <v>2570</v>
      </c>
      <c r="E37" s="1573">
        <v>1449</v>
      </c>
      <c r="F37" s="1573">
        <v>572</v>
      </c>
      <c r="G37" s="1573">
        <v>611</v>
      </c>
      <c r="H37" s="1573">
        <v>205</v>
      </c>
      <c r="I37" s="1573">
        <v>154</v>
      </c>
      <c r="J37" s="1573">
        <v>85</v>
      </c>
      <c r="K37" s="1573">
        <v>57</v>
      </c>
      <c r="L37" s="1573">
        <v>17</v>
      </c>
      <c r="M37" s="1573">
        <v>8</v>
      </c>
      <c r="N37" s="1550">
        <v>0</v>
      </c>
      <c r="O37" s="1550">
        <v>0</v>
      </c>
      <c r="P37" s="1551">
        <f t="shared" si="0"/>
        <v>8994</v>
      </c>
    </row>
    <row r="38" spans="1:16" ht="15" customHeight="1">
      <c r="A38" s="1565">
        <v>33</v>
      </c>
      <c r="B38" s="1570" t="s">
        <v>887</v>
      </c>
      <c r="C38" s="1575">
        <v>13336</v>
      </c>
      <c r="D38" s="1575">
        <v>10436</v>
      </c>
      <c r="E38" s="1573">
        <v>5477</v>
      </c>
      <c r="F38" s="1573">
        <v>2215</v>
      </c>
      <c r="G38" s="1573">
        <v>2550</v>
      </c>
      <c r="H38" s="1573">
        <v>856</v>
      </c>
      <c r="I38" s="1573">
        <v>658</v>
      </c>
      <c r="J38" s="1573">
        <v>373</v>
      </c>
      <c r="K38" s="1573">
        <v>214</v>
      </c>
      <c r="L38" s="1573">
        <v>57</v>
      </c>
      <c r="M38" s="1573">
        <v>20</v>
      </c>
      <c r="N38" s="1578">
        <v>6</v>
      </c>
      <c r="O38" s="1578">
        <v>4</v>
      </c>
      <c r="P38" s="1551">
        <f t="shared" si="0"/>
        <v>36202</v>
      </c>
    </row>
    <row r="39" spans="1:16" ht="15" customHeight="1">
      <c r="A39" s="1565">
        <v>34</v>
      </c>
      <c r="B39" s="1570" t="s">
        <v>888</v>
      </c>
      <c r="C39" s="1575">
        <v>164131</v>
      </c>
      <c r="D39" s="1575">
        <v>143558</v>
      </c>
      <c r="E39" s="1573">
        <v>85966</v>
      </c>
      <c r="F39" s="1573">
        <v>36222</v>
      </c>
      <c r="G39" s="1573">
        <v>39529</v>
      </c>
      <c r="H39" s="1573">
        <v>13156</v>
      </c>
      <c r="I39" s="1573">
        <v>10351</v>
      </c>
      <c r="J39" s="1573">
        <v>5818</v>
      </c>
      <c r="K39" s="1573">
        <v>3025</v>
      </c>
      <c r="L39" s="1573">
        <v>985</v>
      </c>
      <c r="M39" s="1573">
        <v>302</v>
      </c>
      <c r="N39" s="1578">
        <v>104</v>
      </c>
      <c r="O39" s="1578">
        <v>160</v>
      </c>
      <c r="P39" s="1551">
        <f t="shared" si="0"/>
        <v>503307</v>
      </c>
    </row>
    <row r="40" spans="1:16" ht="15" customHeight="1">
      <c r="A40" s="1565">
        <v>35</v>
      </c>
      <c r="B40" s="1570" t="s">
        <v>889</v>
      </c>
      <c r="C40" s="1575">
        <v>45245</v>
      </c>
      <c r="D40" s="1575">
        <v>35039</v>
      </c>
      <c r="E40" s="1573">
        <v>19621</v>
      </c>
      <c r="F40" s="1573">
        <v>8069</v>
      </c>
      <c r="G40" s="1573">
        <v>8514</v>
      </c>
      <c r="H40" s="1573">
        <v>2659</v>
      </c>
      <c r="I40" s="1573">
        <v>2113</v>
      </c>
      <c r="J40" s="1573">
        <v>1281</v>
      </c>
      <c r="K40" s="1573">
        <v>750</v>
      </c>
      <c r="L40" s="1573">
        <v>229</v>
      </c>
      <c r="M40" s="1573">
        <v>51</v>
      </c>
      <c r="N40" s="1578">
        <v>21</v>
      </c>
      <c r="O40" s="1578">
        <v>26</v>
      </c>
      <c r="P40" s="1551">
        <f t="shared" si="0"/>
        <v>123618</v>
      </c>
    </row>
    <row r="41" spans="1:16" ht="15" customHeight="1">
      <c r="A41" s="1565">
        <v>36</v>
      </c>
      <c r="B41" s="1570" t="s">
        <v>890</v>
      </c>
      <c r="C41" s="1576">
        <v>901</v>
      </c>
      <c r="D41" s="1575">
        <v>820</v>
      </c>
      <c r="E41" s="1573">
        <v>528</v>
      </c>
      <c r="F41" s="1573">
        <v>197</v>
      </c>
      <c r="G41" s="1573">
        <v>266</v>
      </c>
      <c r="H41" s="1573">
        <v>76</v>
      </c>
      <c r="I41" s="1573">
        <v>65</v>
      </c>
      <c r="J41" s="1573">
        <v>35</v>
      </c>
      <c r="K41" s="1573">
        <v>25</v>
      </c>
      <c r="L41" s="1577">
        <v>4</v>
      </c>
      <c r="M41" s="1577">
        <v>2</v>
      </c>
      <c r="N41" s="1549">
        <v>0</v>
      </c>
      <c r="O41" s="1550">
        <v>1</v>
      </c>
      <c r="P41" s="1551">
        <f t="shared" si="0"/>
        <v>2920</v>
      </c>
    </row>
    <row r="42" spans="1:16" ht="15" customHeight="1">
      <c r="A42" s="1565">
        <v>37</v>
      </c>
      <c r="B42" s="1570" t="s">
        <v>601</v>
      </c>
      <c r="C42" s="1575">
        <v>2901</v>
      </c>
      <c r="D42" s="1575">
        <v>1917</v>
      </c>
      <c r="E42" s="1573">
        <v>1131</v>
      </c>
      <c r="F42" s="1573">
        <v>428</v>
      </c>
      <c r="G42" s="1573">
        <v>571</v>
      </c>
      <c r="H42" s="1573">
        <v>181</v>
      </c>
      <c r="I42" s="1573">
        <v>121</v>
      </c>
      <c r="J42" s="1573">
        <v>93</v>
      </c>
      <c r="K42" s="1573">
        <v>49</v>
      </c>
      <c r="L42" s="1573">
        <v>13</v>
      </c>
      <c r="M42" s="1577">
        <v>1</v>
      </c>
      <c r="N42" s="1549">
        <v>0</v>
      </c>
      <c r="O42" s="1550">
        <v>0</v>
      </c>
      <c r="P42" s="1551">
        <f t="shared" si="0"/>
        <v>7406</v>
      </c>
    </row>
    <row r="43" spans="1:16" ht="15" customHeight="1">
      <c r="A43" s="1565">
        <v>38</v>
      </c>
      <c r="B43" s="1570" t="s">
        <v>398</v>
      </c>
      <c r="C43" s="1575">
        <v>12469</v>
      </c>
      <c r="D43" s="1575">
        <v>7545</v>
      </c>
      <c r="E43" s="1573">
        <v>4381</v>
      </c>
      <c r="F43" s="1573">
        <v>1751</v>
      </c>
      <c r="G43" s="1573">
        <v>2015</v>
      </c>
      <c r="H43" s="1573">
        <v>686</v>
      </c>
      <c r="I43" s="1573">
        <v>550</v>
      </c>
      <c r="J43" s="1573">
        <v>348</v>
      </c>
      <c r="K43" s="1573">
        <v>185</v>
      </c>
      <c r="L43" s="1573">
        <v>57</v>
      </c>
      <c r="M43" s="1573">
        <v>15</v>
      </c>
      <c r="N43" s="1578">
        <v>6</v>
      </c>
      <c r="O43" s="1578">
        <v>12</v>
      </c>
      <c r="P43" s="1551">
        <f t="shared" si="0"/>
        <v>30020</v>
      </c>
    </row>
    <row r="44" spans="1:16" ht="15" customHeight="1">
      <c r="A44" s="1565">
        <v>39</v>
      </c>
      <c r="B44" s="1570" t="s">
        <v>39</v>
      </c>
      <c r="C44" s="1575">
        <v>2996</v>
      </c>
      <c r="D44" s="1575">
        <v>2190</v>
      </c>
      <c r="E44" s="1573">
        <v>1322</v>
      </c>
      <c r="F44" s="1573">
        <v>495</v>
      </c>
      <c r="G44" s="1573">
        <v>611</v>
      </c>
      <c r="H44" s="1573">
        <v>171</v>
      </c>
      <c r="I44" s="1573">
        <v>103</v>
      </c>
      <c r="J44" s="1573">
        <v>88</v>
      </c>
      <c r="K44" s="1573">
        <v>67</v>
      </c>
      <c r="L44" s="1573">
        <v>20</v>
      </c>
      <c r="M44" s="1573">
        <v>6</v>
      </c>
      <c r="N44" s="1574">
        <v>2</v>
      </c>
      <c r="O44" s="1578">
        <v>5</v>
      </c>
      <c r="P44" s="1551">
        <f t="shared" si="0"/>
        <v>8076</v>
      </c>
    </row>
    <row r="45" spans="1:16" ht="15" customHeight="1">
      <c r="A45" s="1565">
        <v>40</v>
      </c>
      <c r="B45" s="1570" t="s">
        <v>399</v>
      </c>
      <c r="C45" s="1575">
        <v>1472</v>
      </c>
      <c r="D45" s="1575">
        <v>1099</v>
      </c>
      <c r="E45" s="1573">
        <v>589</v>
      </c>
      <c r="F45" s="1573">
        <v>226</v>
      </c>
      <c r="G45" s="1573">
        <v>271</v>
      </c>
      <c r="H45" s="1573">
        <v>88</v>
      </c>
      <c r="I45" s="1573">
        <v>63</v>
      </c>
      <c r="J45" s="1573">
        <v>34</v>
      </c>
      <c r="K45" s="1573">
        <v>23</v>
      </c>
      <c r="L45" s="1573">
        <v>7</v>
      </c>
      <c r="M45" s="1549">
        <v>0</v>
      </c>
      <c r="N45" s="1550">
        <v>0</v>
      </c>
      <c r="O45" s="1578">
        <v>1</v>
      </c>
      <c r="P45" s="1551">
        <f t="shared" si="0"/>
        <v>3873</v>
      </c>
    </row>
    <row r="46" spans="1:16" ht="15" customHeight="1">
      <c r="A46" s="1565">
        <v>41</v>
      </c>
      <c r="B46" s="1570" t="s">
        <v>400</v>
      </c>
      <c r="C46" s="1575">
        <v>13739</v>
      </c>
      <c r="D46" s="1575">
        <v>12146</v>
      </c>
      <c r="E46" s="1573">
        <v>7624</v>
      </c>
      <c r="F46" s="1573">
        <v>3374</v>
      </c>
      <c r="G46" s="1573">
        <v>3903</v>
      </c>
      <c r="H46" s="1573">
        <v>1329</v>
      </c>
      <c r="I46" s="1573">
        <v>1184</v>
      </c>
      <c r="J46" s="1573">
        <v>734</v>
      </c>
      <c r="K46" s="1573">
        <v>484</v>
      </c>
      <c r="L46" s="1573">
        <v>172</v>
      </c>
      <c r="M46" s="1573">
        <v>48</v>
      </c>
      <c r="N46" s="1578">
        <v>17</v>
      </c>
      <c r="O46" s="1578">
        <v>23</v>
      </c>
      <c r="P46" s="1551">
        <f t="shared" si="0"/>
        <v>44777</v>
      </c>
    </row>
    <row r="47" spans="1:16" ht="15" customHeight="1">
      <c r="A47" s="1565">
        <v>42</v>
      </c>
      <c r="B47" s="1570" t="s">
        <v>401</v>
      </c>
      <c r="C47" s="1575">
        <v>16662</v>
      </c>
      <c r="D47" s="1575">
        <v>12384</v>
      </c>
      <c r="E47" s="1573">
        <v>6817</v>
      </c>
      <c r="F47" s="1573">
        <v>2741</v>
      </c>
      <c r="G47" s="1573">
        <v>3156</v>
      </c>
      <c r="H47" s="1573">
        <v>1065</v>
      </c>
      <c r="I47" s="1573">
        <v>799</v>
      </c>
      <c r="J47" s="1573">
        <v>500</v>
      </c>
      <c r="K47" s="1573">
        <v>274</v>
      </c>
      <c r="L47" s="1573">
        <v>69</v>
      </c>
      <c r="M47" s="1573">
        <v>20</v>
      </c>
      <c r="N47" s="1578">
        <v>10</v>
      </c>
      <c r="O47" s="1550">
        <v>8</v>
      </c>
      <c r="P47" s="1551">
        <f t="shared" si="0"/>
        <v>44505</v>
      </c>
    </row>
    <row r="48" spans="1:16" ht="15" customHeight="1">
      <c r="A48" s="1565">
        <v>43</v>
      </c>
      <c r="B48" s="1570" t="s">
        <v>402</v>
      </c>
      <c r="C48" s="1575">
        <v>3880</v>
      </c>
      <c r="D48" s="1575">
        <v>2910</v>
      </c>
      <c r="E48" s="1573">
        <v>1598</v>
      </c>
      <c r="F48" s="1573">
        <v>608</v>
      </c>
      <c r="G48" s="1573">
        <v>781</v>
      </c>
      <c r="H48" s="1573">
        <v>228</v>
      </c>
      <c r="I48" s="1573">
        <v>172</v>
      </c>
      <c r="J48" s="1573">
        <v>119</v>
      </c>
      <c r="K48" s="1573">
        <v>89</v>
      </c>
      <c r="L48" s="1573">
        <v>31</v>
      </c>
      <c r="M48" s="1573">
        <v>11</v>
      </c>
      <c r="N48" s="1574">
        <v>4</v>
      </c>
      <c r="O48" s="1578">
        <v>2</v>
      </c>
      <c r="P48" s="1551">
        <f t="shared" si="0"/>
        <v>10433</v>
      </c>
    </row>
    <row r="49" spans="1:16" ht="15" customHeight="1">
      <c r="A49" s="1565">
        <v>44</v>
      </c>
      <c r="B49" s="1570" t="s">
        <v>226</v>
      </c>
      <c r="C49" s="1575">
        <v>4366</v>
      </c>
      <c r="D49" s="1575">
        <v>3194</v>
      </c>
      <c r="E49" s="1573">
        <v>1646</v>
      </c>
      <c r="F49" s="1573">
        <v>621</v>
      </c>
      <c r="G49" s="1573">
        <v>989</v>
      </c>
      <c r="H49" s="1573">
        <v>299</v>
      </c>
      <c r="I49" s="1573">
        <v>248</v>
      </c>
      <c r="J49" s="1573">
        <v>178</v>
      </c>
      <c r="K49" s="1573">
        <v>102</v>
      </c>
      <c r="L49" s="1573">
        <v>27</v>
      </c>
      <c r="M49" s="1573">
        <v>8</v>
      </c>
      <c r="N49" s="1578">
        <v>3</v>
      </c>
      <c r="O49" s="1578">
        <v>5</v>
      </c>
      <c r="P49" s="1551">
        <f t="shared" si="0"/>
        <v>11686</v>
      </c>
    </row>
    <row r="50" spans="1:16" ht="15" customHeight="1">
      <c r="A50" s="1565">
        <v>45</v>
      </c>
      <c r="B50" s="1570" t="s">
        <v>624</v>
      </c>
      <c r="C50" s="1575">
        <v>9949</v>
      </c>
      <c r="D50" s="1575">
        <v>8030</v>
      </c>
      <c r="E50" s="1573">
        <v>4282</v>
      </c>
      <c r="F50" s="1573">
        <v>1649</v>
      </c>
      <c r="G50" s="1573">
        <v>1748</v>
      </c>
      <c r="H50" s="1573">
        <v>506</v>
      </c>
      <c r="I50" s="1573">
        <v>463</v>
      </c>
      <c r="J50" s="1573">
        <v>302</v>
      </c>
      <c r="K50" s="1573">
        <v>246</v>
      </c>
      <c r="L50" s="1573">
        <v>77</v>
      </c>
      <c r="M50" s="1573">
        <v>20</v>
      </c>
      <c r="N50" s="1578">
        <v>11</v>
      </c>
      <c r="O50" s="1578">
        <v>14</v>
      </c>
      <c r="P50" s="1551">
        <f t="shared" si="0"/>
        <v>27297</v>
      </c>
    </row>
    <row r="51" spans="1:16" ht="15" customHeight="1">
      <c r="A51" s="1565">
        <v>46</v>
      </c>
      <c r="B51" s="1570" t="s">
        <v>810</v>
      </c>
      <c r="C51" s="1575">
        <v>5861</v>
      </c>
      <c r="D51" s="1575">
        <v>3909</v>
      </c>
      <c r="E51" s="1573">
        <v>2126</v>
      </c>
      <c r="F51" s="1573">
        <v>883</v>
      </c>
      <c r="G51" s="1573">
        <v>1239</v>
      </c>
      <c r="H51" s="1573">
        <v>381</v>
      </c>
      <c r="I51" s="1573">
        <v>295</v>
      </c>
      <c r="J51" s="1573">
        <v>202</v>
      </c>
      <c r="K51" s="1573">
        <v>171</v>
      </c>
      <c r="L51" s="1573">
        <v>71</v>
      </c>
      <c r="M51" s="1573">
        <v>17</v>
      </c>
      <c r="N51" s="1578">
        <v>5</v>
      </c>
      <c r="O51" s="1578">
        <v>2</v>
      </c>
      <c r="P51" s="1551">
        <f t="shared" si="0"/>
        <v>15162</v>
      </c>
    </row>
    <row r="52" spans="1:16" ht="15" customHeight="1">
      <c r="A52" s="1565">
        <v>47</v>
      </c>
      <c r="B52" s="1570" t="s">
        <v>811</v>
      </c>
      <c r="C52" s="1575">
        <v>1543</v>
      </c>
      <c r="D52" s="1575">
        <v>1193</v>
      </c>
      <c r="E52" s="1573">
        <v>866</v>
      </c>
      <c r="F52" s="1573">
        <v>394</v>
      </c>
      <c r="G52" s="1573">
        <v>792</v>
      </c>
      <c r="H52" s="1573">
        <v>316</v>
      </c>
      <c r="I52" s="1573">
        <v>234</v>
      </c>
      <c r="J52" s="1573">
        <v>103</v>
      </c>
      <c r="K52" s="1573">
        <v>76</v>
      </c>
      <c r="L52" s="1573">
        <v>24</v>
      </c>
      <c r="M52" s="1577">
        <v>6</v>
      </c>
      <c r="N52" s="1574">
        <v>0</v>
      </c>
      <c r="O52" s="1578">
        <v>1</v>
      </c>
      <c r="P52" s="1551">
        <f t="shared" si="0"/>
        <v>5548</v>
      </c>
    </row>
    <row r="53" spans="1:16" ht="15" customHeight="1">
      <c r="A53" s="1565">
        <v>48</v>
      </c>
      <c r="B53" s="1570" t="s">
        <v>676</v>
      </c>
      <c r="C53" s="1575">
        <v>13056</v>
      </c>
      <c r="D53" s="1575">
        <v>9866</v>
      </c>
      <c r="E53" s="1573">
        <v>5083</v>
      </c>
      <c r="F53" s="1573">
        <v>1911</v>
      </c>
      <c r="G53" s="1573">
        <v>2048</v>
      </c>
      <c r="H53" s="1573">
        <v>555</v>
      </c>
      <c r="I53" s="1573">
        <v>417</v>
      </c>
      <c r="J53" s="1573">
        <v>283</v>
      </c>
      <c r="K53" s="1573">
        <v>161</v>
      </c>
      <c r="L53" s="1573">
        <v>41</v>
      </c>
      <c r="M53" s="1573">
        <v>9</v>
      </c>
      <c r="N53" s="1574">
        <v>0</v>
      </c>
      <c r="O53" s="1578">
        <v>1</v>
      </c>
      <c r="P53" s="1551">
        <f t="shared" si="0"/>
        <v>33431</v>
      </c>
    </row>
    <row r="54" spans="1:16" ht="15" customHeight="1">
      <c r="A54" s="1565">
        <v>49</v>
      </c>
      <c r="B54" s="1570" t="s">
        <v>876</v>
      </c>
      <c r="C54" s="1576">
        <v>677</v>
      </c>
      <c r="D54" s="1575">
        <v>585</v>
      </c>
      <c r="E54" s="1573">
        <v>379</v>
      </c>
      <c r="F54" s="1577">
        <v>170</v>
      </c>
      <c r="G54" s="1573">
        <v>238</v>
      </c>
      <c r="H54" s="1573">
        <v>92</v>
      </c>
      <c r="I54" s="1573">
        <v>66</v>
      </c>
      <c r="J54" s="1573">
        <v>42</v>
      </c>
      <c r="K54" s="1573">
        <v>30</v>
      </c>
      <c r="L54" s="1573">
        <v>10</v>
      </c>
      <c r="M54" s="1549">
        <v>1</v>
      </c>
      <c r="N54" s="1549">
        <v>0</v>
      </c>
      <c r="O54" s="1550">
        <v>1</v>
      </c>
      <c r="P54" s="1551">
        <f t="shared" si="0"/>
        <v>2291</v>
      </c>
    </row>
    <row r="55" spans="1:16" ht="15" customHeight="1">
      <c r="A55" s="1565">
        <v>50</v>
      </c>
      <c r="B55" s="1570" t="s">
        <v>877</v>
      </c>
      <c r="C55" s="1575">
        <v>2179</v>
      </c>
      <c r="D55" s="1575">
        <v>1727</v>
      </c>
      <c r="E55" s="1573">
        <v>953</v>
      </c>
      <c r="F55" s="1573">
        <v>344</v>
      </c>
      <c r="G55" s="1573">
        <v>486</v>
      </c>
      <c r="H55" s="1573">
        <v>169</v>
      </c>
      <c r="I55" s="1573">
        <v>109</v>
      </c>
      <c r="J55" s="1573">
        <v>73</v>
      </c>
      <c r="K55" s="1573">
        <v>31</v>
      </c>
      <c r="L55" s="1573">
        <v>7</v>
      </c>
      <c r="M55" s="1549">
        <v>1</v>
      </c>
      <c r="N55" s="1549">
        <v>0</v>
      </c>
      <c r="O55" s="1550">
        <v>0</v>
      </c>
      <c r="P55" s="1551">
        <f t="shared" si="0"/>
        <v>6079</v>
      </c>
    </row>
    <row r="56" spans="1:16" ht="15" customHeight="1">
      <c r="A56" s="1565">
        <v>51</v>
      </c>
      <c r="B56" s="1570" t="s">
        <v>878</v>
      </c>
      <c r="C56" s="1575">
        <v>2462</v>
      </c>
      <c r="D56" s="1575">
        <v>1457</v>
      </c>
      <c r="E56" s="1573">
        <v>847</v>
      </c>
      <c r="F56" s="1573">
        <v>287</v>
      </c>
      <c r="G56" s="1573">
        <v>486</v>
      </c>
      <c r="H56" s="1573">
        <v>149</v>
      </c>
      <c r="I56" s="1573">
        <v>110</v>
      </c>
      <c r="J56" s="1573">
        <v>57</v>
      </c>
      <c r="K56" s="1573">
        <v>52</v>
      </c>
      <c r="L56" s="1573">
        <v>10</v>
      </c>
      <c r="M56" s="1577">
        <v>1</v>
      </c>
      <c r="N56" s="1549">
        <v>1</v>
      </c>
      <c r="O56" s="1550">
        <v>0</v>
      </c>
      <c r="P56" s="1551">
        <f t="shared" si="0"/>
        <v>5919</v>
      </c>
    </row>
    <row r="57" spans="1:16" ht="15" customHeight="1">
      <c r="A57" s="1565">
        <v>52</v>
      </c>
      <c r="B57" s="1570" t="s">
        <v>846</v>
      </c>
      <c r="C57" s="1575">
        <v>4536</v>
      </c>
      <c r="D57" s="1575">
        <v>3556</v>
      </c>
      <c r="E57" s="1573">
        <v>1932</v>
      </c>
      <c r="F57" s="1573">
        <v>693</v>
      </c>
      <c r="G57" s="1573">
        <v>951</v>
      </c>
      <c r="H57" s="1573">
        <v>314</v>
      </c>
      <c r="I57" s="1573">
        <v>208</v>
      </c>
      <c r="J57" s="1573">
        <v>112</v>
      </c>
      <c r="K57" s="1573">
        <v>61</v>
      </c>
      <c r="L57" s="1573">
        <v>28</v>
      </c>
      <c r="M57" s="1573">
        <v>6</v>
      </c>
      <c r="N57" s="1573">
        <v>2</v>
      </c>
      <c r="O57" s="1550">
        <v>2</v>
      </c>
      <c r="P57" s="1551">
        <f t="shared" si="0"/>
        <v>12401</v>
      </c>
    </row>
    <row r="58" spans="1:16" ht="15" customHeight="1">
      <c r="A58" s="1565">
        <v>53</v>
      </c>
      <c r="B58" s="1570" t="s">
        <v>847</v>
      </c>
      <c r="C58" s="1575">
        <v>2428</v>
      </c>
      <c r="D58" s="1575">
        <v>1826</v>
      </c>
      <c r="E58" s="1573">
        <v>984</v>
      </c>
      <c r="F58" s="1573">
        <v>430</v>
      </c>
      <c r="G58" s="1573">
        <v>557</v>
      </c>
      <c r="H58" s="1573">
        <v>153</v>
      </c>
      <c r="I58" s="1573">
        <v>123</v>
      </c>
      <c r="J58" s="1573">
        <v>66</v>
      </c>
      <c r="K58" s="1573">
        <v>97</v>
      </c>
      <c r="L58" s="1573">
        <v>17</v>
      </c>
      <c r="M58" s="1573">
        <v>4</v>
      </c>
      <c r="N58" s="1550">
        <v>0</v>
      </c>
      <c r="O58" s="1550">
        <v>0</v>
      </c>
      <c r="P58" s="1551">
        <f t="shared" si="0"/>
        <v>6685</v>
      </c>
    </row>
    <row r="59" spans="1:16" ht="15" customHeight="1">
      <c r="A59" s="1565">
        <v>54</v>
      </c>
      <c r="B59" s="1570" t="s">
        <v>655</v>
      </c>
      <c r="C59" s="1575">
        <v>8011</v>
      </c>
      <c r="D59" s="1575">
        <v>6452</v>
      </c>
      <c r="E59" s="1573">
        <v>3677</v>
      </c>
      <c r="F59" s="1573">
        <v>1440</v>
      </c>
      <c r="G59" s="1573">
        <v>1555</v>
      </c>
      <c r="H59" s="1573">
        <v>526</v>
      </c>
      <c r="I59" s="1573">
        <v>373</v>
      </c>
      <c r="J59" s="1573">
        <v>267</v>
      </c>
      <c r="K59" s="1573">
        <v>138</v>
      </c>
      <c r="L59" s="1573">
        <v>47</v>
      </c>
      <c r="M59" s="1573">
        <v>16</v>
      </c>
      <c r="N59" s="1578">
        <v>7</v>
      </c>
      <c r="O59" s="1578">
        <v>10</v>
      </c>
      <c r="P59" s="1551">
        <f t="shared" si="0"/>
        <v>22519</v>
      </c>
    </row>
    <row r="60" spans="1:16" ht="15" customHeight="1">
      <c r="A60" s="1565">
        <v>55</v>
      </c>
      <c r="B60" s="1570" t="s">
        <v>656</v>
      </c>
      <c r="C60" s="1575">
        <v>8124</v>
      </c>
      <c r="D60" s="1575">
        <v>7174</v>
      </c>
      <c r="E60" s="1573">
        <v>4383</v>
      </c>
      <c r="F60" s="1573">
        <v>1753</v>
      </c>
      <c r="G60" s="1573">
        <v>1814</v>
      </c>
      <c r="H60" s="1573">
        <v>581</v>
      </c>
      <c r="I60" s="1573">
        <v>432</v>
      </c>
      <c r="J60" s="1573">
        <v>229</v>
      </c>
      <c r="K60" s="1573">
        <v>130</v>
      </c>
      <c r="L60" s="1573">
        <v>37</v>
      </c>
      <c r="M60" s="1573">
        <v>7</v>
      </c>
      <c r="N60" s="1578">
        <v>3</v>
      </c>
      <c r="O60" s="1578">
        <v>6</v>
      </c>
      <c r="P60" s="1551">
        <f t="shared" si="0"/>
        <v>24673</v>
      </c>
    </row>
    <row r="61" spans="1:16" ht="15" customHeight="1">
      <c r="A61" s="1565">
        <v>56</v>
      </c>
      <c r="B61" s="1570" t="s">
        <v>657</v>
      </c>
      <c r="C61" s="1576">
        <v>657</v>
      </c>
      <c r="D61" s="1575">
        <v>646</v>
      </c>
      <c r="E61" s="1573">
        <v>347</v>
      </c>
      <c r="F61" s="1577">
        <v>154</v>
      </c>
      <c r="G61" s="1573">
        <v>247</v>
      </c>
      <c r="H61" s="1573">
        <v>103</v>
      </c>
      <c r="I61" s="1573">
        <v>69</v>
      </c>
      <c r="J61" s="1573">
        <v>50</v>
      </c>
      <c r="K61" s="1573">
        <v>27</v>
      </c>
      <c r="L61" s="1573">
        <v>7</v>
      </c>
      <c r="M61" s="1549">
        <v>0</v>
      </c>
      <c r="N61" s="1574">
        <v>0</v>
      </c>
      <c r="O61" s="1550">
        <v>0</v>
      </c>
      <c r="P61" s="1551">
        <f t="shared" si="0"/>
        <v>2307</v>
      </c>
    </row>
    <row r="62" spans="1:16" ht="15" customHeight="1">
      <c r="A62" s="1565">
        <v>57</v>
      </c>
      <c r="B62" s="1570" t="s">
        <v>658</v>
      </c>
      <c r="C62" s="1575">
        <v>1477</v>
      </c>
      <c r="D62" s="1575">
        <v>1205</v>
      </c>
      <c r="E62" s="1573">
        <v>672</v>
      </c>
      <c r="F62" s="1573">
        <v>236</v>
      </c>
      <c r="G62" s="1573">
        <v>262</v>
      </c>
      <c r="H62" s="1573">
        <v>68</v>
      </c>
      <c r="I62" s="1573">
        <v>51</v>
      </c>
      <c r="J62" s="1573">
        <v>59</v>
      </c>
      <c r="K62" s="1573">
        <v>29</v>
      </c>
      <c r="L62" s="1573">
        <v>5</v>
      </c>
      <c r="M62" s="1549">
        <v>0</v>
      </c>
      <c r="N62" s="1550">
        <v>0</v>
      </c>
      <c r="O62" s="1550">
        <v>0</v>
      </c>
      <c r="P62" s="1551">
        <f t="shared" si="0"/>
        <v>4064</v>
      </c>
    </row>
    <row r="63" spans="1:16" ht="15" customHeight="1">
      <c r="A63" s="1565">
        <v>58</v>
      </c>
      <c r="B63" s="1570" t="s">
        <v>659</v>
      </c>
      <c r="C63" s="1575">
        <v>3268</v>
      </c>
      <c r="D63" s="1575">
        <v>2692</v>
      </c>
      <c r="E63" s="1573">
        <v>1562</v>
      </c>
      <c r="F63" s="1573">
        <v>598</v>
      </c>
      <c r="G63" s="1573">
        <v>927</v>
      </c>
      <c r="H63" s="1573">
        <v>293</v>
      </c>
      <c r="I63" s="1573">
        <v>196</v>
      </c>
      <c r="J63" s="1573">
        <v>121</v>
      </c>
      <c r="K63" s="1573">
        <v>67</v>
      </c>
      <c r="L63" s="1573">
        <v>26</v>
      </c>
      <c r="M63" s="1573">
        <v>2</v>
      </c>
      <c r="N63" s="1574">
        <v>4</v>
      </c>
      <c r="O63" s="1578">
        <v>3</v>
      </c>
      <c r="P63" s="1551">
        <f t="shared" si="0"/>
        <v>9759</v>
      </c>
    </row>
    <row r="64" spans="1:16" ht="15" customHeight="1">
      <c r="A64" s="1565">
        <v>59</v>
      </c>
      <c r="B64" s="1570" t="s">
        <v>660</v>
      </c>
      <c r="C64" s="1575">
        <v>7997</v>
      </c>
      <c r="D64" s="1575">
        <v>6309</v>
      </c>
      <c r="E64" s="1573">
        <v>3859</v>
      </c>
      <c r="F64" s="1573">
        <v>1601</v>
      </c>
      <c r="G64" s="1573">
        <v>1785</v>
      </c>
      <c r="H64" s="1573">
        <v>583</v>
      </c>
      <c r="I64" s="1573">
        <v>503</v>
      </c>
      <c r="J64" s="1573">
        <v>374</v>
      </c>
      <c r="K64" s="1573">
        <v>340</v>
      </c>
      <c r="L64" s="1573">
        <v>100</v>
      </c>
      <c r="M64" s="1573">
        <v>22</v>
      </c>
      <c r="N64" s="1578">
        <v>9</v>
      </c>
      <c r="O64" s="1578">
        <v>10</v>
      </c>
      <c r="P64" s="1551">
        <f t="shared" si="0"/>
        <v>23492</v>
      </c>
    </row>
    <row r="65" spans="1:16" ht="15" customHeight="1">
      <c r="A65" s="1565">
        <v>60</v>
      </c>
      <c r="B65" s="1570" t="s">
        <v>661</v>
      </c>
      <c r="C65" s="1575">
        <v>3139</v>
      </c>
      <c r="D65" s="1575">
        <v>2303</v>
      </c>
      <c r="E65" s="1573">
        <v>1324</v>
      </c>
      <c r="F65" s="1573">
        <v>501</v>
      </c>
      <c r="G65" s="1573">
        <v>664</v>
      </c>
      <c r="H65" s="1573">
        <v>197</v>
      </c>
      <c r="I65" s="1573">
        <v>139</v>
      </c>
      <c r="J65" s="1573">
        <v>96</v>
      </c>
      <c r="K65" s="1573">
        <v>56</v>
      </c>
      <c r="L65" s="1573">
        <v>23</v>
      </c>
      <c r="M65" s="1577">
        <v>4</v>
      </c>
      <c r="N65" s="1550">
        <v>0</v>
      </c>
      <c r="O65" s="1550">
        <v>1</v>
      </c>
      <c r="P65" s="1551">
        <f t="shared" si="0"/>
        <v>8447</v>
      </c>
    </row>
    <row r="66" spans="1:16" ht="15" customHeight="1">
      <c r="A66" s="1565">
        <v>61</v>
      </c>
      <c r="B66" s="1570" t="s">
        <v>665</v>
      </c>
      <c r="C66" s="1575">
        <v>5954</v>
      </c>
      <c r="D66" s="1575">
        <v>4935</v>
      </c>
      <c r="E66" s="1573">
        <v>2793</v>
      </c>
      <c r="F66" s="1573">
        <v>1153</v>
      </c>
      <c r="G66" s="1573">
        <v>1575</v>
      </c>
      <c r="H66" s="1573">
        <v>451</v>
      </c>
      <c r="I66" s="1573">
        <v>351</v>
      </c>
      <c r="J66" s="1573">
        <v>176</v>
      </c>
      <c r="K66" s="1573">
        <v>91</v>
      </c>
      <c r="L66" s="1573">
        <v>28</v>
      </c>
      <c r="M66" s="1573">
        <v>7</v>
      </c>
      <c r="N66" s="1574">
        <v>3</v>
      </c>
      <c r="O66" s="1550">
        <v>3</v>
      </c>
      <c r="P66" s="1551">
        <f t="shared" si="0"/>
        <v>17520</v>
      </c>
    </row>
    <row r="67" spans="1:16" ht="15" customHeight="1">
      <c r="A67" s="1565">
        <v>62</v>
      </c>
      <c r="B67" s="1570" t="s">
        <v>666</v>
      </c>
      <c r="C67" s="1576">
        <v>425</v>
      </c>
      <c r="D67" s="1576">
        <v>338</v>
      </c>
      <c r="E67" s="1577">
        <v>181</v>
      </c>
      <c r="F67" s="1577">
        <v>67</v>
      </c>
      <c r="G67" s="1573">
        <v>98</v>
      </c>
      <c r="H67" s="1577">
        <v>37</v>
      </c>
      <c r="I67" s="1577">
        <v>25</v>
      </c>
      <c r="J67" s="1577">
        <v>11</v>
      </c>
      <c r="K67" s="1577">
        <v>7</v>
      </c>
      <c r="L67" s="1549">
        <v>1</v>
      </c>
      <c r="M67" s="1549">
        <v>0</v>
      </c>
      <c r="N67" s="1550">
        <v>0</v>
      </c>
      <c r="O67" s="1550">
        <v>0</v>
      </c>
      <c r="P67" s="1551">
        <f t="shared" si="0"/>
        <v>1190</v>
      </c>
    </row>
    <row r="68" spans="1:16" ht="15" customHeight="1">
      <c r="A68" s="1565">
        <v>63</v>
      </c>
      <c r="B68" s="1570" t="s">
        <v>667</v>
      </c>
      <c r="C68" s="1575">
        <v>3798</v>
      </c>
      <c r="D68" s="1575">
        <v>3391</v>
      </c>
      <c r="E68" s="1573">
        <v>2026</v>
      </c>
      <c r="F68" s="1573">
        <v>887</v>
      </c>
      <c r="G68" s="1573">
        <v>1387</v>
      </c>
      <c r="H68" s="1573">
        <v>392</v>
      </c>
      <c r="I68" s="1573">
        <v>287</v>
      </c>
      <c r="J68" s="1573">
        <v>204</v>
      </c>
      <c r="K68" s="1573">
        <v>156</v>
      </c>
      <c r="L68" s="1573">
        <v>53</v>
      </c>
      <c r="M68" s="1573">
        <v>7</v>
      </c>
      <c r="N68" s="1578">
        <v>5</v>
      </c>
      <c r="O68" s="1578">
        <v>2</v>
      </c>
      <c r="P68" s="1551">
        <f t="shared" si="0"/>
        <v>12595</v>
      </c>
    </row>
    <row r="69" spans="1:16" ht="15" customHeight="1">
      <c r="A69" s="1565">
        <v>64</v>
      </c>
      <c r="B69" s="1570" t="s">
        <v>668</v>
      </c>
      <c r="C69" s="1575">
        <v>3282</v>
      </c>
      <c r="D69" s="1575">
        <v>2401</v>
      </c>
      <c r="E69" s="1573">
        <v>1263</v>
      </c>
      <c r="F69" s="1573">
        <v>485</v>
      </c>
      <c r="G69" s="1573">
        <v>595</v>
      </c>
      <c r="H69" s="1573">
        <v>187</v>
      </c>
      <c r="I69" s="1573">
        <v>170</v>
      </c>
      <c r="J69" s="1573">
        <v>86</v>
      </c>
      <c r="K69" s="1573">
        <v>51</v>
      </c>
      <c r="L69" s="1573">
        <v>19</v>
      </c>
      <c r="M69" s="1573">
        <v>2</v>
      </c>
      <c r="N69" s="1574">
        <v>3</v>
      </c>
      <c r="O69" s="1550">
        <v>2</v>
      </c>
      <c r="P69" s="1551">
        <f t="shared" si="0"/>
        <v>8546</v>
      </c>
    </row>
    <row r="70" spans="1:16" ht="15" customHeight="1">
      <c r="A70" s="1565">
        <v>65</v>
      </c>
      <c r="B70" s="1570" t="s">
        <v>669</v>
      </c>
      <c r="C70" s="1575">
        <v>2950</v>
      </c>
      <c r="D70" s="1575">
        <v>2287</v>
      </c>
      <c r="E70" s="1573">
        <v>1169</v>
      </c>
      <c r="F70" s="1573">
        <v>501</v>
      </c>
      <c r="G70" s="1573">
        <v>789</v>
      </c>
      <c r="H70" s="1573">
        <v>248</v>
      </c>
      <c r="I70" s="1573">
        <v>189</v>
      </c>
      <c r="J70" s="1573">
        <v>133</v>
      </c>
      <c r="K70" s="1573">
        <v>131</v>
      </c>
      <c r="L70" s="1573">
        <v>30</v>
      </c>
      <c r="M70" s="1573">
        <v>5</v>
      </c>
      <c r="N70" s="1574">
        <v>1</v>
      </c>
      <c r="O70" s="1550">
        <v>0</v>
      </c>
      <c r="P70" s="1551">
        <f t="shared" si="0"/>
        <v>8433</v>
      </c>
    </row>
    <row r="71" spans="1:16" ht="15" customHeight="1">
      <c r="A71" s="1565">
        <v>66</v>
      </c>
      <c r="B71" s="1570" t="s">
        <v>670</v>
      </c>
      <c r="C71" s="1575">
        <v>2140</v>
      </c>
      <c r="D71" s="1575">
        <v>1675</v>
      </c>
      <c r="E71" s="1573">
        <v>914</v>
      </c>
      <c r="F71" s="1573">
        <v>343</v>
      </c>
      <c r="G71" s="1573">
        <v>496</v>
      </c>
      <c r="H71" s="1573">
        <v>141</v>
      </c>
      <c r="I71" s="1573">
        <v>99</v>
      </c>
      <c r="J71" s="1573">
        <v>83</v>
      </c>
      <c r="K71" s="1573">
        <v>50</v>
      </c>
      <c r="L71" s="1573">
        <v>3</v>
      </c>
      <c r="M71" s="1577">
        <v>2</v>
      </c>
      <c r="N71" s="1550">
        <v>0</v>
      </c>
      <c r="O71" s="1578">
        <v>0</v>
      </c>
      <c r="P71" s="1551">
        <f t="shared" ref="P71:P86" si="1">SUM(C71:O71)</f>
        <v>5946</v>
      </c>
    </row>
    <row r="72" spans="1:16" ht="15" customHeight="1">
      <c r="A72" s="1565">
        <v>67</v>
      </c>
      <c r="B72" s="1570" t="s">
        <v>896</v>
      </c>
      <c r="C72" s="1575">
        <v>4119</v>
      </c>
      <c r="D72" s="1575">
        <v>3083</v>
      </c>
      <c r="E72" s="1573">
        <v>1837</v>
      </c>
      <c r="F72" s="1573">
        <v>681</v>
      </c>
      <c r="G72" s="1573">
        <v>740</v>
      </c>
      <c r="H72" s="1573">
        <v>256</v>
      </c>
      <c r="I72" s="1573">
        <v>184</v>
      </c>
      <c r="J72" s="1573">
        <v>108</v>
      </c>
      <c r="K72" s="1573">
        <v>70</v>
      </c>
      <c r="L72" s="1573">
        <v>30</v>
      </c>
      <c r="M72" s="1573">
        <v>5</v>
      </c>
      <c r="N72" s="1578">
        <v>3</v>
      </c>
      <c r="O72" s="1578">
        <v>4</v>
      </c>
      <c r="P72" s="1551">
        <f t="shared" si="1"/>
        <v>11120</v>
      </c>
    </row>
    <row r="73" spans="1:16" ht="15" customHeight="1">
      <c r="A73" s="1565">
        <v>68</v>
      </c>
      <c r="B73" s="1570" t="s">
        <v>897</v>
      </c>
      <c r="C73" s="1575">
        <v>2618</v>
      </c>
      <c r="D73" s="1575">
        <v>1816</v>
      </c>
      <c r="E73" s="1573">
        <v>1054</v>
      </c>
      <c r="F73" s="1573">
        <v>389</v>
      </c>
      <c r="G73" s="1573">
        <v>596</v>
      </c>
      <c r="H73" s="1573">
        <v>208</v>
      </c>
      <c r="I73" s="1573">
        <v>143</v>
      </c>
      <c r="J73" s="1573">
        <v>54</v>
      </c>
      <c r="K73" s="1573">
        <v>37</v>
      </c>
      <c r="L73" s="1573">
        <v>7</v>
      </c>
      <c r="M73" s="1549">
        <v>2</v>
      </c>
      <c r="N73" s="1574">
        <v>0</v>
      </c>
      <c r="O73" s="1578">
        <v>4</v>
      </c>
      <c r="P73" s="1551">
        <f t="shared" si="1"/>
        <v>6928</v>
      </c>
    </row>
    <row r="74" spans="1:16" ht="15" customHeight="1">
      <c r="A74" s="1565">
        <v>69</v>
      </c>
      <c r="B74" s="1570" t="s">
        <v>575</v>
      </c>
      <c r="C74" s="1576">
        <v>358</v>
      </c>
      <c r="D74" s="1576">
        <v>349</v>
      </c>
      <c r="E74" s="1577">
        <v>193</v>
      </c>
      <c r="F74" s="1577">
        <v>57</v>
      </c>
      <c r="G74" s="1573">
        <v>92</v>
      </c>
      <c r="H74" s="1577">
        <v>34</v>
      </c>
      <c r="I74" s="1577">
        <v>22</v>
      </c>
      <c r="J74" s="1577">
        <v>19</v>
      </c>
      <c r="K74" s="1577">
        <v>11</v>
      </c>
      <c r="L74" s="1577">
        <v>3</v>
      </c>
      <c r="M74" s="1549">
        <v>0</v>
      </c>
      <c r="N74" s="1550">
        <v>1</v>
      </c>
      <c r="O74" s="1550">
        <v>0</v>
      </c>
      <c r="P74" s="1551">
        <f t="shared" si="1"/>
        <v>1139</v>
      </c>
    </row>
    <row r="75" spans="1:16" ht="15" customHeight="1">
      <c r="A75" s="1565">
        <v>70</v>
      </c>
      <c r="B75" s="1570" t="s">
        <v>576</v>
      </c>
      <c r="C75" s="1575">
        <v>1596</v>
      </c>
      <c r="D75" s="1575">
        <v>1224</v>
      </c>
      <c r="E75" s="1573">
        <v>741</v>
      </c>
      <c r="F75" s="1573">
        <v>265</v>
      </c>
      <c r="G75" s="1573">
        <v>382</v>
      </c>
      <c r="H75" s="1573">
        <v>104</v>
      </c>
      <c r="I75" s="1573">
        <v>89</v>
      </c>
      <c r="J75" s="1573">
        <v>60</v>
      </c>
      <c r="K75" s="1573">
        <v>43</v>
      </c>
      <c r="L75" s="1573">
        <v>11</v>
      </c>
      <c r="M75" s="1549">
        <v>2</v>
      </c>
      <c r="N75" s="1550">
        <v>1</v>
      </c>
      <c r="O75" s="1578">
        <v>5</v>
      </c>
      <c r="P75" s="1551">
        <f t="shared" si="1"/>
        <v>4523</v>
      </c>
    </row>
    <row r="76" spans="1:16" ht="15" customHeight="1">
      <c r="A76" s="1565">
        <v>72</v>
      </c>
      <c r="B76" s="1570" t="s">
        <v>365</v>
      </c>
      <c r="C76" s="1575">
        <v>1703</v>
      </c>
      <c r="D76" s="1575">
        <v>1380</v>
      </c>
      <c r="E76" s="1573">
        <v>795</v>
      </c>
      <c r="F76" s="1573">
        <v>331</v>
      </c>
      <c r="G76" s="1573">
        <v>356</v>
      </c>
      <c r="H76" s="1573">
        <v>123</v>
      </c>
      <c r="I76" s="1573">
        <v>88</v>
      </c>
      <c r="J76" s="1573">
        <v>59</v>
      </c>
      <c r="K76" s="1573">
        <v>48</v>
      </c>
      <c r="L76" s="1573">
        <v>6</v>
      </c>
      <c r="M76" s="1573">
        <v>4</v>
      </c>
      <c r="N76" s="1578">
        <v>1</v>
      </c>
      <c r="O76" s="1578">
        <v>2</v>
      </c>
      <c r="P76" s="1551">
        <f t="shared" si="1"/>
        <v>4896</v>
      </c>
    </row>
    <row r="77" spans="1:16" ht="15" customHeight="1">
      <c r="A77" s="1565">
        <v>72</v>
      </c>
      <c r="B77" s="1570" t="s">
        <v>416</v>
      </c>
      <c r="C77" s="1576">
        <v>960</v>
      </c>
      <c r="D77" s="1575">
        <v>1017</v>
      </c>
      <c r="E77" s="1573">
        <v>708</v>
      </c>
      <c r="F77" s="1573">
        <v>314</v>
      </c>
      <c r="G77" s="1573">
        <v>488</v>
      </c>
      <c r="H77" s="1573">
        <v>180</v>
      </c>
      <c r="I77" s="1573">
        <v>123</v>
      </c>
      <c r="J77" s="1573">
        <v>95</v>
      </c>
      <c r="K77" s="1573">
        <v>77</v>
      </c>
      <c r="L77" s="1573">
        <v>18</v>
      </c>
      <c r="M77" s="1573">
        <v>5</v>
      </c>
      <c r="N77" s="1550">
        <v>1</v>
      </c>
      <c r="O77" s="1550">
        <v>1</v>
      </c>
      <c r="P77" s="1551">
        <f t="shared" si="1"/>
        <v>3987</v>
      </c>
    </row>
    <row r="78" spans="1:16" ht="15" customHeight="1">
      <c r="A78" s="1565">
        <v>73</v>
      </c>
      <c r="B78" s="1570" t="s">
        <v>417</v>
      </c>
      <c r="C78" s="1576">
        <v>488</v>
      </c>
      <c r="D78" s="1576">
        <v>492</v>
      </c>
      <c r="E78" s="1573">
        <v>384</v>
      </c>
      <c r="F78" s="1577">
        <v>176</v>
      </c>
      <c r="G78" s="1573">
        <v>404</v>
      </c>
      <c r="H78" s="1573">
        <v>142</v>
      </c>
      <c r="I78" s="1573">
        <v>132</v>
      </c>
      <c r="J78" s="1573">
        <v>69</v>
      </c>
      <c r="K78" s="1573">
        <v>41</v>
      </c>
      <c r="L78" s="1573">
        <v>17</v>
      </c>
      <c r="M78" s="1573">
        <v>5</v>
      </c>
      <c r="N78" s="1549">
        <v>1</v>
      </c>
      <c r="O78" s="1550">
        <v>0</v>
      </c>
      <c r="P78" s="1551">
        <f t="shared" si="1"/>
        <v>2351</v>
      </c>
    </row>
    <row r="79" spans="1:16" ht="15" customHeight="1">
      <c r="A79" s="1565">
        <v>74</v>
      </c>
      <c r="B79" s="1570" t="s">
        <v>418</v>
      </c>
      <c r="C79" s="1575">
        <v>1602</v>
      </c>
      <c r="D79" s="1575">
        <v>1172</v>
      </c>
      <c r="E79" s="1573">
        <v>597</v>
      </c>
      <c r="F79" s="1573">
        <v>216</v>
      </c>
      <c r="G79" s="1573">
        <v>313</v>
      </c>
      <c r="H79" s="1573">
        <v>93</v>
      </c>
      <c r="I79" s="1573">
        <v>71</v>
      </c>
      <c r="J79" s="1573">
        <v>34</v>
      </c>
      <c r="K79" s="1573">
        <v>31</v>
      </c>
      <c r="L79" s="1573">
        <v>9</v>
      </c>
      <c r="M79" s="1573">
        <v>3</v>
      </c>
      <c r="N79" s="1550">
        <v>0</v>
      </c>
      <c r="O79" s="1550">
        <v>0</v>
      </c>
      <c r="P79" s="1551">
        <f t="shared" si="1"/>
        <v>4141</v>
      </c>
    </row>
    <row r="80" spans="1:16" ht="15" customHeight="1">
      <c r="A80" s="1565">
        <v>75</v>
      </c>
      <c r="B80" s="1570" t="s">
        <v>419</v>
      </c>
      <c r="C80" s="1576">
        <v>380</v>
      </c>
      <c r="D80" s="1576">
        <v>361</v>
      </c>
      <c r="E80" s="1577">
        <v>244</v>
      </c>
      <c r="F80" s="1577">
        <v>83</v>
      </c>
      <c r="G80" s="1573">
        <v>89</v>
      </c>
      <c r="H80" s="1577">
        <v>41</v>
      </c>
      <c r="I80" s="1577">
        <v>24</v>
      </c>
      <c r="J80" s="1577">
        <v>20</v>
      </c>
      <c r="K80" s="1577">
        <v>7</v>
      </c>
      <c r="L80" s="1577">
        <v>2</v>
      </c>
      <c r="M80" s="1549">
        <v>0</v>
      </c>
      <c r="N80" s="1549">
        <v>0</v>
      </c>
      <c r="O80" s="1550">
        <v>1</v>
      </c>
      <c r="P80" s="1551">
        <f t="shared" si="1"/>
        <v>1252</v>
      </c>
    </row>
    <row r="81" spans="1:16" ht="15" customHeight="1">
      <c r="A81" s="1565">
        <v>76</v>
      </c>
      <c r="B81" s="1570" t="s">
        <v>420</v>
      </c>
      <c r="C81" s="1576">
        <v>510</v>
      </c>
      <c r="D81" s="1576">
        <v>523</v>
      </c>
      <c r="E81" s="1573">
        <v>367</v>
      </c>
      <c r="F81" s="1577">
        <v>118</v>
      </c>
      <c r="G81" s="1573">
        <v>178</v>
      </c>
      <c r="H81" s="1573">
        <v>63</v>
      </c>
      <c r="I81" s="1573">
        <v>61</v>
      </c>
      <c r="J81" s="1573">
        <v>34</v>
      </c>
      <c r="K81" s="1573">
        <v>22</v>
      </c>
      <c r="L81" s="1577">
        <v>5</v>
      </c>
      <c r="M81" s="1549">
        <v>0</v>
      </c>
      <c r="N81" s="1549">
        <v>0</v>
      </c>
      <c r="O81" s="1550">
        <v>0</v>
      </c>
      <c r="P81" s="1551">
        <f t="shared" si="1"/>
        <v>1881</v>
      </c>
    </row>
    <row r="82" spans="1:16" ht="15" customHeight="1">
      <c r="A82" s="1565">
        <v>77</v>
      </c>
      <c r="B82" s="1570" t="s">
        <v>421</v>
      </c>
      <c r="C82" s="1575">
        <v>2468</v>
      </c>
      <c r="D82" s="1575">
        <v>1943</v>
      </c>
      <c r="E82" s="1573">
        <v>1075</v>
      </c>
      <c r="F82" s="1573">
        <v>413</v>
      </c>
      <c r="G82" s="1573">
        <v>519</v>
      </c>
      <c r="H82" s="1573">
        <v>163</v>
      </c>
      <c r="I82" s="1573">
        <v>112</v>
      </c>
      <c r="J82" s="1573">
        <v>58</v>
      </c>
      <c r="K82" s="1573">
        <v>37</v>
      </c>
      <c r="L82" s="1573">
        <v>13</v>
      </c>
      <c r="M82" s="1573">
        <v>4</v>
      </c>
      <c r="N82" s="1574">
        <v>1</v>
      </c>
      <c r="O82" s="1578">
        <v>5</v>
      </c>
      <c r="P82" s="1551">
        <f t="shared" si="1"/>
        <v>6811</v>
      </c>
    </row>
    <row r="83" spans="1:16" ht="15" customHeight="1">
      <c r="A83" s="1565">
        <v>78</v>
      </c>
      <c r="B83" s="1570" t="s">
        <v>422</v>
      </c>
      <c r="C83" s="1575">
        <v>1960</v>
      </c>
      <c r="D83" s="1575">
        <v>1534</v>
      </c>
      <c r="E83" s="1573">
        <v>801</v>
      </c>
      <c r="F83" s="1573">
        <v>270</v>
      </c>
      <c r="G83" s="1573">
        <v>352</v>
      </c>
      <c r="H83" s="1573">
        <v>117</v>
      </c>
      <c r="I83" s="1573">
        <v>89</v>
      </c>
      <c r="J83" s="1573">
        <v>52</v>
      </c>
      <c r="K83" s="1573">
        <v>33</v>
      </c>
      <c r="L83" s="1573">
        <v>8</v>
      </c>
      <c r="M83" s="1573">
        <v>2</v>
      </c>
      <c r="N83" s="1550">
        <v>2</v>
      </c>
      <c r="O83" s="1578">
        <v>2</v>
      </c>
      <c r="P83" s="1551">
        <f t="shared" si="1"/>
        <v>5222</v>
      </c>
    </row>
    <row r="84" spans="1:16" ht="15" customHeight="1">
      <c r="A84" s="1565">
        <v>79</v>
      </c>
      <c r="B84" s="1570" t="s">
        <v>423</v>
      </c>
      <c r="C84" s="1576">
        <v>542</v>
      </c>
      <c r="D84" s="1576">
        <v>417</v>
      </c>
      <c r="E84" s="1573">
        <v>251</v>
      </c>
      <c r="F84" s="1577">
        <v>110</v>
      </c>
      <c r="G84" s="1573">
        <v>141</v>
      </c>
      <c r="H84" s="1573">
        <v>42</v>
      </c>
      <c r="I84" s="1573">
        <v>40</v>
      </c>
      <c r="J84" s="1577">
        <v>19</v>
      </c>
      <c r="K84" s="1573">
        <v>19</v>
      </c>
      <c r="L84" s="1577">
        <v>5</v>
      </c>
      <c r="M84" s="1549">
        <v>3</v>
      </c>
      <c r="N84" s="1549">
        <v>0</v>
      </c>
      <c r="O84" s="1550">
        <v>0</v>
      </c>
      <c r="P84" s="1551">
        <f t="shared" si="1"/>
        <v>1589</v>
      </c>
    </row>
    <row r="85" spans="1:16" ht="15" customHeight="1">
      <c r="A85" s="1565">
        <v>80</v>
      </c>
      <c r="B85" s="1570" t="s">
        <v>828</v>
      </c>
      <c r="C85" s="1575">
        <v>2374</v>
      </c>
      <c r="D85" s="1575">
        <v>1873</v>
      </c>
      <c r="E85" s="1573">
        <v>1000</v>
      </c>
      <c r="F85" s="1573">
        <v>414</v>
      </c>
      <c r="G85" s="1573">
        <v>513</v>
      </c>
      <c r="H85" s="1573">
        <v>183</v>
      </c>
      <c r="I85" s="1573">
        <v>128</v>
      </c>
      <c r="J85" s="1573">
        <v>82</v>
      </c>
      <c r="K85" s="1573">
        <v>61</v>
      </c>
      <c r="L85" s="1573">
        <v>19</v>
      </c>
      <c r="M85" s="1573">
        <v>6</v>
      </c>
      <c r="N85" s="1577">
        <v>0</v>
      </c>
      <c r="O85" s="1550">
        <v>1</v>
      </c>
      <c r="P85" s="1551">
        <f t="shared" si="1"/>
        <v>6654</v>
      </c>
    </row>
    <row r="86" spans="1:16" ht="15" customHeight="1">
      <c r="A86" s="1579">
        <v>81</v>
      </c>
      <c r="B86" s="1580" t="s">
        <v>581</v>
      </c>
      <c r="C86" s="1581">
        <v>2550</v>
      </c>
      <c r="D86" s="1581">
        <v>2147</v>
      </c>
      <c r="E86" s="1582">
        <v>1278</v>
      </c>
      <c r="F86" s="1582">
        <v>558</v>
      </c>
      <c r="G86" s="1582">
        <v>694</v>
      </c>
      <c r="H86" s="1582">
        <v>233</v>
      </c>
      <c r="I86" s="1582">
        <v>162</v>
      </c>
      <c r="J86" s="1582">
        <v>112</v>
      </c>
      <c r="K86" s="1582">
        <v>89</v>
      </c>
      <c r="L86" s="1582">
        <v>21</v>
      </c>
      <c r="M86" s="1583">
        <v>4</v>
      </c>
      <c r="N86" s="1584">
        <v>1</v>
      </c>
      <c r="O86" s="1584">
        <v>2</v>
      </c>
      <c r="P86" s="1558">
        <f t="shared" si="1"/>
        <v>7851</v>
      </c>
    </row>
    <row r="87" spans="1:16" ht="15" customHeight="1" thickBot="1">
      <c r="A87" s="2026" t="s">
        <v>885</v>
      </c>
      <c r="B87" s="2027"/>
      <c r="C87" s="1585">
        <f t="shared" ref="C87:O87" si="2">SUM(C6:C86)</f>
        <v>623379</v>
      </c>
      <c r="D87" s="1585">
        <f t="shared" si="2"/>
        <v>501128</v>
      </c>
      <c r="E87" s="1585">
        <f t="shared" si="2"/>
        <v>287646</v>
      </c>
      <c r="F87" s="1585">
        <f t="shared" si="2"/>
        <v>117315</v>
      </c>
      <c r="G87" s="1585">
        <f t="shared" si="2"/>
        <v>135855</v>
      </c>
      <c r="H87" s="1585">
        <f t="shared" si="2"/>
        <v>44158</v>
      </c>
      <c r="I87" s="1585">
        <f t="shared" si="2"/>
        <v>34594</v>
      </c>
      <c r="J87" s="1585">
        <f t="shared" si="2"/>
        <v>20765</v>
      </c>
      <c r="K87" s="1585">
        <f t="shared" si="2"/>
        <v>12596</v>
      </c>
      <c r="L87" s="1585">
        <f t="shared" si="2"/>
        <v>3926</v>
      </c>
      <c r="M87" s="1585">
        <f t="shared" si="2"/>
        <v>1048</v>
      </c>
      <c r="N87" s="1585">
        <f t="shared" si="2"/>
        <v>376</v>
      </c>
      <c r="O87" s="1585">
        <f t="shared" si="2"/>
        <v>490</v>
      </c>
      <c r="P87" s="1586">
        <f>SUM(C87:O87)</f>
        <v>1783276</v>
      </c>
    </row>
  </sheetData>
  <mergeCells count="7">
    <mergeCell ref="A87:B87"/>
    <mergeCell ref="A1:O1"/>
    <mergeCell ref="C3:O3"/>
    <mergeCell ref="C4:O4"/>
    <mergeCell ref="A2:M2"/>
    <mergeCell ref="A3:A5"/>
    <mergeCell ref="N2:P2"/>
  </mergeCells>
  <phoneticPr fontId="7" type="noConversion"/>
  <printOptions horizontalCentered="1" verticalCentered="1"/>
  <pageMargins left="0" right="0" top="0.19685039370078741" bottom="0" header="0" footer="0"/>
  <pageSetup paperSize="9" scale="62"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ayfa25">
    <tabColor indexed="22"/>
  </sheetPr>
  <dimension ref="A1:P87"/>
  <sheetViews>
    <sheetView showGridLines="0" topLeftCell="A58" zoomScaleNormal="100" workbookViewId="0">
      <selection activeCell="I65" sqref="I65"/>
    </sheetView>
  </sheetViews>
  <sheetFormatPr defaultRowHeight="12.75"/>
  <cols>
    <col min="1" max="1" width="4.28515625" customWidth="1"/>
    <col min="2" max="2" width="14.7109375" customWidth="1"/>
    <col min="3" max="3" width="9.42578125" style="5" bestFit="1" customWidth="1"/>
    <col min="4" max="5" width="11.28515625" style="5" bestFit="1" customWidth="1"/>
    <col min="6" max="6" width="9.42578125" style="5" bestFit="1" customWidth="1"/>
    <col min="7" max="7" width="11.28515625" style="5" bestFit="1" customWidth="1"/>
    <col min="8" max="8" width="9.42578125" style="5" bestFit="1" customWidth="1"/>
    <col min="9" max="12" width="11.28515625" style="5" bestFit="1" customWidth="1"/>
    <col min="13" max="14" width="10.85546875" style="5" bestFit="1" customWidth="1"/>
    <col min="15" max="15" width="9.42578125" style="5" bestFit="1" customWidth="1"/>
    <col min="16" max="16" width="12.5703125" style="5" customWidth="1"/>
  </cols>
  <sheetData>
    <row r="1" spans="1:16" s="14" customFormat="1" ht="15" customHeight="1">
      <c r="A1" s="1997" t="s">
        <v>1085</v>
      </c>
      <c r="B1" s="1997"/>
      <c r="C1" s="1997"/>
      <c r="D1" s="1997"/>
      <c r="E1" s="1997"/>
      <c r="F1" s="1997"/>
      <c r="G1" s="1997"/>
      <c r="H1" s="1997"/>
      <c r="I1" s="1997"/>
      <c r="J1" s="1997"/>
      <c r="K1" s="1997"/>
      <c r="L1" s="1997"/>
      <c r="M1" s="1997"/>
      <c r="N1" s="1997"/>
      <c r="O1" s="1997"/>
      <c r="P1" s="569" t="s">
        <v>729</v>
      </c>
    </row>
    <row r="2" spans="1:16" s="14" customFormat="1" ht="13.5" customHeight="1" thickBot="1">
      <c r="A2" s="2034" t="s">
        <v>1086</v>
      </c>
      <c r="B2" s="2034"/>
      <c r="C2" s="2034"/>
      <c r="D2" s="2034"/>
      <c r="E2" s="2034"/>
      <c r="F2" s="2034"/>
      <c r="G2" s="2034"/>
      <c r="H2" s="2034"/>
      <c r="I2" s="2034"/>
      <c r="J2" s="2034"/>
      <c r="K2" s="2034"/>
      <c r="L2" s="2034"/>
      <c r="M2" s="2034"/>
      <c r="N2" s="1978" t="s">
        <v>1163</v>
      </c>
      <c r="O2" s="1979"/>
      <c r="P2" s="1979"/>
    </row>
    <row r="3" spans="1:16" ht="22.5" customHeight="1">
      <c r="A3" s="2035" t="s">
        <v>1002</v>
      </c>
      <c r="B3" s="592" t="s">
        <v>729</v>
      </c>
      <c r="C3" s="2043" t="s">
        <v>1008</v>
      </c>
      <c r="D3" s="2044"/>
      <c r="E3" s="2044"/>
      <c r="F3" s="2044"/>
      <c r="G3" s="2044"/>
      <c r="H3" s="2044"/>
      <c r="I3" s="2044"/>
      <c r="J3" s="2044"/>
      <c r="K3" s="2044"/>
      <c r="L3" s="2044"/>
      <c r="M3" s="2044"/>
      <c r="N3" s="2044"/>
      <c r="O3" s="2045"/>
      <c r="P3" s="595" t="s">
        <v>729</v>
      </c>
    </row>
    <row r="4" spans="1:16" ht="16.5" customHeight="1">
      <c r="A4" s="2036"/>
      <c r="B4" s="593" t="s">
        <v>905</v>
      </c>
      <c r="C4" s="2040" t="s">
        <v>1028</v>
      </c>
      <c r="D4" s="2041"/>
      <c r="E4" s="2041"/>
      <c r="F4" s="2041"/>
      <c r="G4" s="2041"/>
      <c r="H4" s="2041"/>
      <c r="I4" s="2041"/>
      <c r="J4" s="2041"/>
      <c r="K4" s="2041"/>
      <c r="L4" s="2041"/>
      <c r="M4" s="2041"/>
      <c r="N4" s="2041"/>
      <c r="O4" s="2042"/>
      <c r="P4" s="596" t="s">
        <v>630</v>
      </c>
    </row>
    <row r="5" spans="1:16" ht="29.25" customHeight="1">
      <c r="A5" s="2037"/>
      <c r="B5" s="594" t="s">
        <v>137</v>
      </c>
      <c r="C5" s="597" t="s">
        <v>381</v>
      </c>
      <c r="D5" s="588" t="s">
        <v>382</v>
      </c>
      <c r="E5" s="590" t="s">
        <v>782</v>
      </c>
      <c r="F5" s="590" t="s">
        <v>783</v>
      </c>
      <c r="G5" s="590" t="s">
        <v>784</v>
      </c>
      <c r="H5" s="590" t="s">
        <v>785</v>
      </c>
      <c r="I5" s="587" t="s">
        <v>786</v>
      </c>
      <c r="J5" s="587" t="s">
        <v>260</v>
      </c>
      <c r="K5" s="587" t="s">
        <v>383</v>
      </c>
      <c r="L5" s="587" t="s">
        <v>384</v>
      </c>
      <c r="M5" s="587" t="s">
        <v>385</v>
      </c>
      <c r="N5" s="587" t="s">
        <v>727</v>
      </c>
      <c r="O5" s="591" t="s">
        <v>640</v>
      </c>
      <c r="P5" s="693" t="s">
        <v>879</v>
      </c>
    </row>
    <row r="6" spans="1:16" ht="15.95" customHeight="1">
      <c r="A6" s="1587">
        <v>1</v>
      </c>
      <c r="B6" s="1566" t="s">
        <v>606</v>
      </c>
      <c r="C6" s="1567">
        <v>14591</v>
      </c>
      <c r="D6" s="1567">
        <v>24594</v>
      </c>
      <c r="E6" s="1568">
        <v>27607</v>
      </c>
      <c r="F6" s="1568">
        <v>17660</v>
      </c>
      <c r="G6" s="1568">
        <v>34429</v>
      </c>
      <c r="H6" s="1568">
        <v>21583</v>
      </c>
      <c r="I6" s="1568">
        <v>30100</v>
      </c>
      <c r="J6" s="1568">
        <v>25159</v>
      </c>
      <c r="K6" s="1568">
        <v>36041</v>
      </c>
      <c r="L6" s="1568">
        <v>27420</v>
      </c>
      <c r="M6" s="1568">
        <v>12555</v>
      </c>
      <c r="N6" s="1569">
        <v>11157</v>
      </c>
      <c r="O6" s="1569">
        <v>16111</v>
      </c>
      <c r="P6" s="1551">
        <f>SUM(C6:O6)</f>
        <v>299007</v>
      </c>
    </row>
    <row r="7" spans="1:16" ht="15.95" customHeight="1">
      <c r="A7" s="1587">
        <v>2</v>
      </c>
      <c r="B7" s="1570" t="s">
        <v>607</v>
      </c>
      <c r="C7" s="1571">
        <v>2582</v>
      </c>
      <c r="D7" s="1571">
        <v>4061</v>
      </c>
      <c r="E7" s="1572">
        <v>4286</v>
      </c>
      <c r="F7" s="1572">
        <v>2675</v>
      </c>
      <c r="G7" s="1572">
        <v>6393</v>
      </c>
      <c r="H7" s="1573">
        <v>3353</v>
      </c>
      <c r="I7" s="1573">
        <v>4606</v>
      </c>
      <c r="J7" s="1573">
        <v>4273</v>
      </c>
      <c r="K7" s="1573">
        <v>8986</v>
      </c>
      <c r="L7" s="1573">
        <v>5221</v>
      </c>
      <c r="M7" s="1573">
        <v>1676</v>
      </c>
      <c r="N7" s="1574">
        <v>1632</v>
      </c>
      <c r="O7" s="1550">
        <v>0</v>
      </c>
      <c r="P7" s="1551">
        <f t="shared" ref="P7:P69" si="0">SUM(C7:O7)</f>
        <v>49744</v>
      </c>
    </row>
    <row r="8" spans="1:16" ht="15.95" customHeight="1">
      <c r="A8" s="1587">
        <v>3</v>
      </c>
      <c r="B8" s="1570" t="s">
        <v>159</v>
      </c>
      <c r="C8" s="1575">
        <v>4454</v>
      </c>
      <c r="D8" s="1575">
        <v>7722</v>
      </c>
      <c r="E8" s="1573">
        <v>8739</v>
      </c>
      <c r="F8" s="1573">
        <v>5810</v>
      </c>
      <c r="G8" s="1573">
        <v>12504</v>
      </c>
      <c r="H8" s="1573">
        <v>8003</v>
      </c>
      <c r="I8" s="1573">
        <v>9081</v>
      </c>
      <c r="J8" s="1573">
        <v>8973</v>
      </c>
      <c r="K8" s="1573">
        <v>12969</v>
      </c>
      <c r="L8" s="1573">
        <v>6566</v>
      </c>
      <c r="M8" s="1573">
        <v>2797</v>
      </c>
      <c r="N8" s="1549">
        <v>0</v>
      </c>
      <c r="O8" s="1550">
        <v>946</v>
      </c>
      <c r="P8" s="1551">
        <f t="shared" si="0"/>
        <v>88564</v>
      </c>
    </row>
    <row r="9" spans="1:16" ht="15.95" customHeight="1">
      <c r="A9" s="1587">
        <v>4</v>
      </c>
      <c r="B9" s="1570" t="s">
        <v>608</v>
      </c>
      <c r="C9" s="1576">
        <v>748</v>
      </c>
      <c r="D9" s="1575">
        <v>1609</v>
      </c>
      <c r="E9" s="1573">
        <v>2115</v>
      </c>
      <c r="F9" s="1573">
        <v>1586</v>
      </c>
      <c r="G9" s="1573">
        <v>3078</v>
      </c>
      <c r="H9" s="1573">
        <v>1994</v>
      </c>
      <c r="I9" s="1573">
        <v>1960</v>
      </c>
      <c r="J9" s="1573">
        <v>2202</v>
      </c>
      <c r="K9" s="1573">
        <v>5589</v>
      </c>
      <c r="L9" s="1573">
        <v>3183</v>
      </c>
      <c r="M9" s="1549">
        <v>0</v>
      </c>
      <c r="N9" s="1549">
        <v>0</v>
      </c>
      <c r="O9" s="1550">
        <v>0</v>
      </c>
      <c r="P9" s="1551">
        <f t="shared" si="0"/>
        <v>24064</v>
      </c>
    </row>
    <row r="10" spans="1:16" ht="15.95" customHeight="1">
      <c r="A10" s="1587">
        <v>5</v>
      </c>
      <c r="B10" s="1570" t="s">
        <v>609</v>
      </c>
      <c r="C10" s="1575">
        <v>1959</v>
      </c>
      <c r="D10" s="1575">
        <v>3630</v>
      </c>
      <c r="E10" s="1573">
        <v>4192</v>
      </c>
      <c r="F10" s="1573">
        <v>2787</v>
      </c>
      <c r="G10" s="1573">
        <v>5456</v>
      </c>
      <c r="H10" s="1573">
        <v>2806</v>
      </c>
      <c r="I10" s="1573">
        <v>3603</v>
      </c>
      <c r="J10" s="1573">
        <v>3304</v>
      </c>
      <c r="K10" s="1573">
        <v>5332</v>
      </c>
      <c r="L10" s="1573">
        <v>5199</v>
      </c>
      <c r="M10" s="1573">
        <v>1207</v>
      </c>
      <c r="N10" s="1550">
        <v>0</v>
      </c>
      <c r="O10" s="1550">
        <v>0</v>
      </c>
      <c r="P10" s="1551">
        <f t="shared" si="0"/>
        <v>39475</v>
      </c>
    </row>
    <row r="11" spans="1:16" ht="15.95" customHeight="1">
      <c r="A11" s="1587">
        <v>6</v>
      </c>
      <c r="B11" s="1570" t="s">
        <v>610</v>
      </c>
      <c r="C11" s="1575">
        <v>47843</v>
      </c>
      <c r="D11" s="1575">
        <v>80823</v>
      </c>
      <c r="E11" s="1573">
        <v>98872</v>
      </c>
      <c r="F11" s="1573">
        <v>69967</v>
      </c>
      <c r="G11" s="1573">
        <v>137370</v>
      </c>
      <c r="H11" s="1573">
        <v>78401</v>
      </c>
      <c r="I11" s="1573">
        <v>96228</v>
      </c>
      <c r="J11" s="1573">
        <v>-38285</v>
      </c>
      <c r="K11" s="1573">
        <v>120401</v>
      </c>
      <c r="L11" s="1573">
        <v>94747</v>
      </c>
      <c r="M11" s="1573">
        <v>48299</v>
      </c>
      <c r="N11" s="1578">
        <v>32938</v>
      </c>
      <c r="O11" s="1578">
        <v>228860</v>
      </c>
      <c r="P11" s="1551">
        <f t="shared" si="0"/>
        <v>1096464</v>
      </c>
    </row>
    <row r="12" spans="1:16" ht="15.95" customHeight="1">
      <c r="A12" s="1587">
        <v>7</v>
      </c>
      <c r="B12" s="1570" t="s">
        <v>611</v>
      </c>
      <c r="C12" s="1575">
        <v>25474</v>
      </c>
      <c r="D12" s="1575">
        <v>42632</v>
      </c>
      <c r="E12" s="1573">
        <v>45918</v>
      </c>
      <c r="F12" s="1573">
        <v>30217</v>
      </c>
      <c r="G12" s="1573">
        <v>56382</v>
      </c>
      <c r="H12" s="1573">
        <v>28284</v>
      </c>
      <c r="I12" s="1573">
        <v>35819</v>
      </c>
      <c r="J12" s="1573">
        <v>58460</v>
      </c>
      <c r="K12" s="1573">
        <v>72387</v>
      </c>
      <c r="L12" s="1573">
        <v>56958</v>
      </c>
      <c r="M12" s="1573">
        <v>22786</v>
      </c>
      <c r="N12" s="1578">
        <v>9735</v>
      </c>
      <c r="O12" s="1578">
        <v>4367</v>
      </c>
      <c r="P12" s="1551">
        <f t="shared" si="0"/>
        <v>489419</v>
      </c>
    </row>
    <row r="13" spans="1:16" ht="15.95" customHeight="1">
      <c r="A13" s="1587">
        <v>8</v>
      </c>
      <c r="B13" s="1570" t="s">
        <v>612</v>
      </c>
      <c r="C13" s="1575">
        <v>1373</v>
      </c>
      <c r="D13" s="1575">
        <v>2516</v>
      </c>
      <c r="E13" s="1573">
        <v>2377</v>
      </c>
      <c r="F13" s="1573">
        <v>1334</v>
      </c>
      <c r="G13" s="1573">
        <v>3199</v>
      </c>
      <c r="H13" s="1573">
        <v>2129</v>
      </c>
      <c r="I13" s="1573">
        <v>2182</v>
      </c>
      <c r="J13" s="1573">
        <v>2686</v>
      </c>
      <c r="K13" s="1573">
        <v>4482</v>
      </c>
      <c r="L13" s="1577">
        <v>565</v>
      </c>
      <c r="M13" s="1577">
        <v>1059</v>
      </c>
      <c r="N13" s="1550">
        <v>0</v>
      </c>
      <c r="O13" s="1578">
        <v>945</v>
      </c>
      <c r="P13" s="1551">
        <f t="shared" si="0"/>
        <v>24847</v>
      </c>
    </row>
    <row r="14" spans="1:16" ht="15.95" customHeight="1">
      <c r="A14" s="1587">
        <v>9</v>
      </c>
      <c r="B14" s="1570" t="s">
        <v>582</v>
      </c>
      <c r="C14" s="1575">
        <v>10646</v>
      </c>
      <c r="D14" s="1575">
        <v>16063</v>
      </c>
      <c r="E14" s="1573">
        <v>16880</v>
      </c>
      <c r="F14" s="1573">
        <v>10988</v>
      </c>
      <c r="G14" s="1573">
        <v>21765</v>
      </c>
      <c r="H14" s="1573">
        <v>11106</v>
      </c>
      <c r="I14" s="1573">
        <v>12319</v>
      </c>
      <c r="J14" s="1573">
        <v>17978</v>
      </c>
      <c r="K14" s="1573">
        <v>18269</v>
      </c>
      <c r="L14" s="1573">
        <v>9399</v>
      </c>
      <c r="M14" s="1573">
        <v>4773</v>
      </c>
      <c r="N14" s="1578">
        <v>4502</v>
      </c>
      <c r="O14" s="1578">
        <v>2212</v>
      </c>
      <c r="P14" s="1551">
        <f t="shared" si="0"/>
        <v>156900</v>
      </c>
    </row>
    <row r="15" spans="1:16" ht="15.95" customHeight="1">
      <c r="A15" s="1587">
        <v>10</v>
      </c>
      <c r="B15" s="1570" t="s">
        <v>583</v>
      </c>
      <c r="C15" s="1575">
        <v>10565</v>
      </c>
      <c r="D15" s="1575">
        <v>17918</v>
      </c>
      <c r="E15" s="1573">
        <v>19715</v>
      </c>
      <c r="F15" s="1573">
        <v>13412</v>
      </c>
      <c r="G15" s="1573">
        <v>21512</v>
      </c>
      <c r="H15" s="1573">
        <v>12110</v>
      </c>
      <c r="I15" s="1573">
        <v>15813</v>
      </c>
      <c r="J15" s="1573">
        <v>13725</v>
      </c>
      <c r="K15" s="1573">
        <v>18073</v>
      </c>
      <c r="L15" s="1573">
        <v>14059</v>
      </c>
      <c r="M15" s="1573">
        <v>2615</v>
      </c>
      <c r="N15" s="1578">
        <v>3093</v>
      </c>
      <c r="O15" s="1578">
        <v>2997</v>
      </c>
      <c r="P15" s="1551">
        <f t="shared" si="0"/>
        <v>165607</v>
      </c>
    </row>
    <row r="16" spans="1:16" ht="15.95" customHeight="1">
      <c r="A16" s="1587">
        <v>11</v>
      </c>
      <c r="B16" s="1570" t="s">
        <v>584</v>
      </c>
      <c r="C16" s="1575">
        <v>1775</v>
      </c>
      <c r="D16" s="1575">
        <v>2789</v>
      </c>
      <c r="E16" s="1573">
        <v>2968</v>
      </c>
      <c r="F16" s="1573">
        <v>1884</v>
      </c>
      <c r="G16" s="1573">
        <v>3757</v>
      </c>
      <c r="H16" s="1573">
        <v>2168</v>
      </c>
      <c r="I16" s="1573">
        <v>2756</v>
      </c>
      <c r="J16" s="1573">
        <v>5295</v>
      </c>
      <c r="K16" s="1573">
        <v>6230</v>
      </c>
      <c r="L16" s="1573">
        <v>5593</v>
      </c>
      <c r="M16" s="1573">
        <v>3446</v>
      </c>
      <c r="N16" s="1550">
        <v>1529</v>
      </c>
      <c r="O16" s="1578">
        <v>3048</v>
      </c>
      <c r="P16" s="1551">
        <f t="shared" si="0"/>
        <v>43238</v>
      </c>
    </row>
    <row r="17" spans="1:16" ht="15.95" customHeight="1">
      <c r="A17" s="1587">
        <v>12</v>
      </c>
      <c r="B17" s="1570" t="s">
        <v>585</v>
      </c>
      <c r="C17" s="1576">
        <v>715</v>
      </c>
      <c r="D17" s="1576">
        <v>1287</v>
      </c>
      <c r="E17" s="1573">
        <v>1808</v>
      </c>
      <c r="F17" s="1577">
        <v>1132</v>
      </c>
      <c r="G17" s="1573">
        <v>3868</v>
      </c>
      <c r="H17" s="1573">
        <v>2395</v>
      </c>
      <c r="I17" s="1573">
        <v>2674</v>
      </c>
      <c r="J17" s="1573">
        <v>2083</v>
      </c>
      <c r="K17" s="1573">
        <v>3710</v>
      </c>
      <c r="L17" s="1573">
        <v>2129</v>
      </c>
      <c r="M17" s="1573">
        <v>567</v>
      </c>
      <c r="N17" s="1574">
        <v>3930</v>
      </c>
      <c r="O17" s="1550">
        <v>2434</v>
      </c>
      <c r="P17" s="1551">
        <f t="shared" si="0"/>
        <v>28732</v>
      </c>
    </row>
    <row r="18" spans="1:16" ht="15.95" customHeight="1">
      <c r="A18" s="1587">
        <v>13</v>
      </c>
      <c r="B18" s="1570" t="s">
        <v>586</v>
      </c>
      <c r="C18" s="1576">
        <v>969</v>
      </c>
      <c r="D18" s="1575">
        <v>1609</v>
      </c>
      <c r="E18" s="1573">
        <v>1842</v>
      </c>
      <c r="F18" s="1577">
        <v>1155</v>
      </c>
      <c r="G18" s="1573">
        <v>2704</v>
      </c>
      <c r="H18" s="1573">
        <v>1229</v>
      </c>
      <c r="I18" s="1573">
        <v>1888</v>
      </c>
      <c r="J18" s="1573">
        <v>1571</v>
      </c>
      <c r="K18" s="1573">
        <v>5746</v>
      </c>
      <c r="L18" s="1577">
        <v>1501</v>
      </c>
      <c r="M18" s="1549">
        <v>1195</v>
      </c>
      <c r="N18" s="1549">
        <v>0</v>
      </c>
      <c r="O18" s="1550">
        <v>1096</v>
      </c>
      <c r="P18" s="1551">
        <f t="shared" si="0"/>
        <v>22505</v>
      </c>
    </row>
    <row r="19" spans="1:16" ht="15.95" customHeight="1">
      <c r="A19" s="1587">
        <v>14</v>
      </c>
      <c r="B19" s="1570" t="s">
        <v>587</v>
      </c>
      <c r="C19" s="1575">
        <v>2404</v>
      </c>
      <c r="D19" s="1575">
        <v>4396</v>
      </c>
      <c r="E19" s="1573">
        <v>5133</v>
      </c>
      <c r="F19" s="1573">
        <v>3302</v>
      </c>
      <c r="G19" s="1573">
        <v>6879</v>
      </c>
      <c r="H19" s="1573">
        <v>3647</v>
      </c>
      <c r="I19" s="1573">
        <v>4383</v>
      </c>
      <c r="J19" s="1573">
        <v>4796</v>
      </c>
      <c r="K19" s="1573">
        <v>8291</v>
      </c>
      <c r="L19" s="1573">
        <v>4932</v>
      </c>
      <c r="M19" s="1577">
        <v>1528</v>
      </c>
      <c r="N19" s="1574">
        <v>746</v>
      </c>
      <c r="O19" s="1578">
        <v>5811</v>
      </c>
      <c r="P19" s="1551">
        <f t="shared" si="0"/>
        <v>56248</v>
      </c>
    </row>
    <row r="20" spans="1:16" ht="15.95" customHeight="1">
      <c r="A20" s="1587">
        <v>15</v>
      </c>
      <c r="B20" s="1570" t="s">
        <v>588</v>
      </c>
      <c r="C20" s="1575">
        <v>2246</v>
      </c>
      <c r="D20" s="1575">
        <v>3678</v>
      </c>
      <c r="E20" s="1573">
        <v>4029</v>
      </c>
      <c r="F20" s="1573">
        <v>2333</v>
      </c>
      <c r="G20" s="1573">
        <v>4602</v>
      </c>
      <c r="H20" s="1573">
        <v>2956</v>
      </c>
      <c r="I20" s="1573">
        <v>3183</v>
      </c>
      <c r="J20" s="1573">
        <v>4385</v>
      </c>
      <c r="K20" s="1573">
        <v>6396</v>
      </c>
      <c r="L20" s="1573">
        <v>2233</v>
      </c>
      <c r="M20" s="1549">
        <v>0</v>
      </c>
      <c r="N20" s="1549">
        <v>0</v>
      </c>
      <c r="O20" s="1550">
        <v>0</v>
      </c>
      <c r="P20" s="1551">
        <f t="shared" si="0"/>
        <v>36041</v>
      </c>
    </row>
    <row r="21" spans="1:16" ht="15.95" customHeight="1">
      <c r="A21" s="1587">
        <v>16</v>
      </c>
      <c r="B21" s="1570" t="s">
        <v>589</v>
      </c>
      <c r="C21" s="1575">
        <v>25194</v>
      </c>
      <c r="D21" s="1575">
        <v>45057</v>
      </c>
      <c r="E21" s="1573">
        <v>51647</v>
      </c>
      <c r="F21" s="1573">
        <v>35115</v>
      </c>
      <c r="G21" s="1573">
        <v>69713</v>
      </c>
      <c r="H21" s="1573">
        <v>42452</v>
      </c>
      <c r="I21" s="1573">
        <v>56864</v>
      </c>
      <c r="J21" s="1573">
        <v>71924</v>
      </c>
      <c r="K21" s="1573">
        <v>88293</v>
      </c>
      <c r="L21" s="1573">
        <v>64088</v>
      </c>
      <c r="M21" s="1573">
        <v>32613</v>
      </c>
      <c r="N21" s="1578">
        <v>17997</v>
      </c>
      <c r="O21" s="1578">
        <v>64999</v>
      </c>
      <c r="P21" s="1551">
        <f t="shared" si="0"/>
        <v>665956</v>
      </c>
    </row>
    <row r="22" spans="1:16" ht="15.95" customHeight="1">
      <c r="A22" s="1587">
        <v>17</v>
      </c>
      <c r="B22" s="1570" t="s">
        <v>79</v>
      </c>
      <c r="C22" s="1575">
        <v>5526</v>
      </c>
      <c r="D22" s="1575">
        <v>9288</v>
      </c>
      <c r="E22" s="1573">
        <v>9622</v>
      </c>
      <c r="F22" s="1573">
        <v>5667</v>
      </c>
      <c r="G22" s="1573">
        <v>9470</v>
      </c>
      <c r="H22" s="1573">
        <v>5127</v>
      </c>
      <c r="I22" s="1573">
        <v>6786</v>
      </c>
      <c r="J22" s="1573">
        <v>9615</v>
      </c>
      <c r="K22" s="1573">
        <v>7502</v>
      </c>
      <c r="L22" s="1573">
        <v>5276</v>
      </c>
      <c r="M22" s="1573">
        <v>1116</v>
      </c>
      <c r="N22" s="1574">
        <v>714</v>
      </c>
      <c r="O22" s="1578">
        <v>8223</v>
      </c>
      <c r="P22" s="1551">
        <f t="shared" si="0"/>
        <v>83932</v>
      </c>
    </row>
    <row r="23" spans="1:16" ht="15.95" customHeight="1">
      <c r="A23" s="1587">
        <v>18</v>
      </c>
      <c r="B23" s="1570" t="s">
        <v>80</v>
      </c>
      <c r="C23" s="1575">
        <v>1139</v>
      </c>
      <c r="D23" s="1575">
        <v>1792</v>
      </c>
      <c r="E23" s="1573">
        <v>2007</v>
      </c>
      <c r="F23" s="1573">
        <v>1251</v>
      </c>
      <c r="G23" s="1573">
        <v>2794</v>
      </c>
      <c r="H23" s="1573">
        <v>2008</v>
      </c>
      <c r="I23" s="1573">
        <v>2338</v>
      </c>
      <c r="J23" s="1573">
        <v>2086</v>
      </c>
      <c r="K23" s="1573">
        <v>4463</v>
      </c>
      <c r="L23" s="1573">
        <v>2557</v>
      </c>
      <c r="M23" s="1573">
        <v>1020</v>
      </c>
      <c r="N23" s="1550">
        <v>915</v>
      </c>
      <c r="O23" s="1578">
        <v>1195</v>
      </c>
      <c r="P23" s="1551">
        <f t="shared" si="0"/>
        <v>25565</v>
      </c>
    </row>
    <row r="24" spans="1:16" ht="15.95" customHeight="1">
      <c r="A24" s="1587">
        <v>19</v>
      </c>
      <c r="B24" s="1570" t="s">
        <v>651</v>
      </c>
      <c r="C24" s="1575">
        <v>2860</v>
      </c>
      <c r="D24" s="1575">
        <v>5630</v>
      </c>
      <c r="E24" s="1573">
        <v>5802</v>
      </c>
      <c r="F24" s="1573">
        <v>3653</v>
      </c>
      <c r="G24" s="1573">
        <v>8133</v>
      </c>
      <c r="H24" s="1573">
        <v>4096</v>
      </c>
      <c r="I24" s="1573">
        <v>4963</v>
      </c>
      <c r="J24" s="1573">
        <v>6538</v>
      </c>
      <c r="K24" s="1573">
        <v>10715</v>
      </c>
      <c r="L24" s="1573">
        <v>5439</v>
      </c>
      <c r="M24" s="1573">
        <v>1111</v>
      </c>
      <c r="N24" s="1574">
        <v>0</v>
      </c>
      <c r="O24" s="1550">
        <v>0</v>
      </c>
      <c r="P24" s="1551">
        <f t="shared" si="0"/>
        <v>58940</v>
      </c>
    </row>
    <row r="25" spans="1:16" ht="15.95" customHeight="1">
      <c r="A25" s="1587">
        <v>20</v>
      </c>
      <c r="B25" s="1570" t="s">
        <v>623</v>
      </c>
      <c r="C25" s="1575">
        <v>8806</v>
      </c>
      <c r="D25" s="1575">
        <v>14727</v>
      </c>
      <c r="E25" s="1573">
        <v>16777</v>
      </c>
      <c r="F25" s="1573">
        <v>11785</v>
      </c>
      <c r="G25" s="1573">
        <v>24300</v>
      </c>
      <c r="H25" s="1573">
        <v>14209</v>
      </c>
      <c r="I25" s="1573">
        <v>18345</v>
      </c>
      <c r="J25" s="1573">
        <v>23972</v>
      </c>
      <c r="K25" s="1573">
        <v>28917</v>
      </c>
      <c r="L25" s="1573">
        <v>13972</v>
      </c>
      <c r="M25" s="1573">
        <v>9165</v>
      </c>
      <c r="N25" s="1574">
        <v>693</v>
      </c>
      <c r="O25" s="1578">
        <v>3313</v>
      </c>
      <c r="P25" s="1551">
        <f t="shared" si="0"/>
        <v>188981</v>
      </c>
    </row>
    <row r="26" spans="1:16" ht="15.95" customHeight="1">
      <c r="A26" s="1587">
        <v>21</v>
      </c>
      <c r="B26" s="1570" t="s">
        <v>502</v>
      </c>
      <c r="C26" s="1575">
        <v>5219</v>
      </c>
      <c r="D26" s="1575">
        <v>8315</v>
      </c>
      <c r="E26" s="1573">
        <v>8951</v>
      </c>
      <c r="F26" s="1573">
        <v>6093</v>
      </c>
      <c r="G26" s="1573">
        <v>15758</v>
      </c>
      <c r="H26" s="1573">
        <v>9835</v>
      </c>
      <c r="I26" s="1573">
        <v>13974</v>
      </c>
      <c r="J26" s="1573">
        <v>19329</v>
      </c>
      <c r="K26" s="1573">
        <v>24815</v>
      </c>
      <c r="L26" s="1573">
        <v>17616</v>
      </c>
      <c r="M26" s="1577">
        <v>6793</v>
      </c>
      <c r="N26" s="1578">
        <v>0</v>
      </c>
      <c r="O26" s="1578">
        <v>2325</v>
      </c>
      <c r="P26" s="1551">
        <f t="shared" si="0"/>
        <v>139023</v>
      </c>
    </row>
    <row r="27" spans="1:16" ht="15.95" customHeight="1">
      <c r="A27" s="1587">
        <v>22</v>
      </c>
      <c r="B27" s="1570" t="s">
        <v>544</v>
      </c>
      <c r="C27" s="1575">
        <v>3736</v>
      </c>
      <c r="D27" s="1575">
        <v>5871</v>
      </c>
      <c r="E27" s="1573">
        <v>6281</v>
      </c>
      <c r="F27" s="1573">
        <v>3919</v>
      </c>
      <c r="G27" s="1573">
        <v>7125</v>
      </c>
      <c r="H27" s="1573">
        <v>3797</v>
      </c>
      <c r="I27" s="1573">
        <v>4594</v>
      </c>
      <c r="J27" s="1573">
        <v>5598</v>
      </c>
      <c r="K27" s="1573">
        <v>7210</v>
      </c>
      <c r="L27" s="1573">
        <v>4643</v>
      </c>
      <c r="M27" s="1573">
        <v>2364</v>
      </c>
      <c r="N27" s="1578">
        <v>0</v>
      </c>
      <c r="O27" s="1578">
        <v>2210</v>
      </c>
      <c r="P27" s="1551">
        <f t="shared" si="0"/>
        <v>57348</v>
      </c>
    </row>
    <row r="28" spans="1:16" ht="15.95" customHeight="1">
      <c r="A28" s="1587">
        <v>23</v>
      </c>
      <c r="B28" s="1570" t="s">
        <v>430</v>
      </c>
      <c r="C28" s="1575">
        <v>2453</v>
      </c>
      <c r="D28" s="1575">
        <v>4416</v>
      </c>
      <c r="E28" s="1573">
        <v>5084</v>
      </c>
      <c r="F28" s="1573">
        <v>3364</v>
      </c>
      <c r="G28" s="1573">
        <v>9511</v>
      </c>
      <c r="H28" s="1573">
        <v>5733</v>
      </c>
      <c r="I28" s="1573">
        <v>5782</v>
      </c>
      <c r="J28" s="1573">
        <v>5343</v>
      </c>
      <c r="K28" s="1573">
        <v>8813</v>
      </c>
      <c r="L28" s="1573">
        <v>3865</v>
      </c>
      <c r="M28" s="1577">
        <v>3859</v>
      </c>
      <c r="N28" s="1578">
        <v>1484</v>
      </c>
      <c r="O28" s="1578">
        <v>4808</v>
      </c>
      <c r="P28" s="1551">
        <f t="shared" si="0"/>
        <v>64515</v>
      </c>
    </row>
    <row r="29" spans="1:16" ht="15.95" customHeight="1">
      <c r="A29" s="1587">
        <v>24</v>
      </c>
      <c r="B29" s="1570" t="s">
        <v>431</v>
      </c>
      <c r="C29" s="1575">
        <v>1248</v>
      </c>
      <c r="D29" s="1575">
        <v>2236</v>
      </c>
      <c r="E29" s="1573">
        <v>2592</v>
      </c>
      <c r="F29" s="1573">
        <v>1753</v>
      </c>
      <c r="G29" s="1573">
        <v>4006</v>
      </c>
      <c r="H29" s="1573">
        <v>2559</v>
      </c>
      <c r="I29" s="1573">
        <v>2922</v>
      </c>
      <c r="J29" s="1573">
        <v>2492</v>
      </c>
      <c r="K29" s="1573">
        <v>4884</v>
      </c>
      <c r="L29" s="1573">
        <v>2022</v>
      </c>
      <c r="M29" s="1577">
        <v>489</v>
      </c>
      <c r="N29" s="1550">
        <v>722</v>
      </c>
      <c r="O29" s="1550">
        <v>1272</v>
      </c>
      <c r="P29" s="1551">
        <f t="shared" si="0"/>
        <v>29197</v>
      </c>
    </row>
    <row r="30" spans="1:16" ht="15.95" customHeight="1">
      <c r="A30" s="1587">
        <v>25</v>
      </c>
      <c r="B30" s="1570" t="s">
        <v>882</v>
      </c>
      <c r="C30" s="1575">
        <v>3596</v>
      </c>
      <c r="D30" s="1575">
        <v>5833</v>
      </c>
      <c r="E30" s="1573">
        <v>6409</v>
      </c>
      <c r="F30" s="1573">
        <v>4841</v>
      </c>
      <c r="G30" s="1573">
        <v>10342</v>
      </c>
      <c r="H30" s="1573">
        <v>6410</v>
      </c>
      <c r="I30" s="1573">
        <v>7398</v>
      </c>
      <c r="J30" s="1573">
        <v>11339</v>
      </c>
      <c r="K30" s="1573">
        <v>11143</v>
      </c>
      <c r="L30" s="1573">
        <v>5990</v>
      </c>
      <c r="M30" s="1573">
        <v>4358</v>
      </c>
      <c r="N30" s="1578">
        <v>1558</v>
      </c>
      <c r="O30" s="1578">
        <v>3148</v>
      </c>
      <c r="P30" s="1551">
        <f t="shared" si="0"/>
        <v>82365</v>
      </c>
    </row>
    <row r="31" spans="1:16" ht="15.95" customHeight="1">
      <c r="A31" s="1587">
        <v>26</v>
      </c>
      <c r="B31" s="1570" t="s">
        <v>463</v>
      </c>
      <c r="C31" s="1575">
        <v>7591</v>
      </c>
      <c r="D31" s="1575">
        <v>12254</v>
      </c>
      <c r="E31" s="1573">
        <v>13473</v>
      </c>
      <c r="F31" s="1573">
        <v>8585</v>
      </c>
      <c r="G31" s="1573">
        <v>16214</v>
      </c>
      <c r="H31" s="1573">
        <v>9181</v>
      </c>
      <c r="I31" s="1573">
        <v>12090</v>
      </c>
      <c r="J31" s="1573">
        <v>12471</v>
      </c>
      <c r="K31" s="1573">
        <v>19930</v>
      </c>
      <c r="L31" s="1573">
        <v>17337</v>
      </c>
      <c r="M31" s="1573">
        <v>9136</v>
      </c>
      <c r="N31" s="1578">
        <v>2342</v>
      </c>
      <c r="O31" s="1578">
        <v>28429</v>
      </c>
      <c r="P31" s="1551">
        <f t="shared" si="0"/>
        <v>169033</v>
      </c>
    </row>
    <row r="32" spans="1:16" ht="15.95" customHeight="1">
      <c r="A32" s="1587">
        <v>27</v>
      </c>
      <c r="B32" s="1570" t="s">
        <v>464</v>
      </c>
      <c r="C32" s="1575">
        <v>12522</v>
      </c>
      <c r="D32" s="1575">
        <v>20265</v>
      </c>
      <c r="E32" s="1573">
        <v>20901</v>
      </c>
      <c r="F32" s="1573">
        <v>12745</v>
      </c>
      <c r="G32" s="1573">
        <v>25065</v>
      </c>
      <c r="H32" s="1573">
        <v>16444</v>
      </c>
      <c r="I32" s="1573">
        <v>19517</v>
      </c>
      <c r="J32" s="1573">
        <v>20407</v>
      </c>
      <c r="K32" s="1573">
        <v>41127</v>
      </c>
      <c r="L32" s="1573">
        <v>33460</v>
      </c>
      <c r="M32" s="1573">
        <v>25690</v>
      </c>
      <c r="N32" s="1578">
        <v>9249</v>
      </c>
      <c r="O32" s="1578">
        <v>15235</v>
      </c>
      <c r="P32" s="1551">
        <f t="shared" si="0"/>
        <v>272627</v>
      </c>
    </row>
    <row r="33" spans="1:16" ht="15.95" customHeight="1">
      <c r="A33" s="1587">
        <v>28</v>
      </c>
      <c r="B33" s="1570" t="s">
        <v>71</v>
      </c>
      <c r="C33" s="1575">
        <v>3063</v>
      </c>
      <c r="D33" s="1575">
        <v>5357</v>
      </c>
      <c r="E33" s="1573">
        <v>5537</v>
      </c>
      <c r="F33" s="1573">
        <v>3724</v>
      </c>
      <c r="G33" s="1573">
        <v>7743</v>
      </c>
      <c r="H33" s="1573">
        <v>4182</v>
      </c>
      <c r="I33" s="1573">
        <v>5777</v>
      </c>
      <c r="J33" s="1573">
        <v>4556</v>
      </c>
      <c r="K33" s="1573">
        <v>6818</v>
      </c>
      <c r="L33" s="1573">
        <v>4129</v>
      </c>
      <c r="M33" s="1573">
        <v>1079</v>
      </c>
      <c r="N33" s="1550">
        <v>711</v>
      </c>
      <c r="O33" s="1550">
        <v>0</v>
      </c>
      <c r="P33" s="1551">
        <f t="shared" si="0"/>
        <v>52676</v>
      </c>
    </row>
    <row r="34" spans="1:16" ht="15.95" customHeight="1">
      <c r="A34" s="1587">
        <v>29</v>
      </c>
      <c r="B34" s="1570" t="s">
        <v>716</v>
      </c>
      <c r="C34" s="1576">
        <v>781</v>
      </c>
      <c r="D34" s="1575">
        <v>1392</v>
      </c>
      <c r="E34" s="1573">
        <v>1730</v>
      </c>
      <c r="F34" s="1577">
        <v>939</v>
      </c>
      <c r="G34" s="1573">
        <v>2022</v>
      </c>
      <c r="H34" s="1577">
        <v>1136</v>
      </c>
      <c r="I34" s="1573">
        <v>1076</v>
      </c>
      <c r="J34" s="1573">
        <v>1695</v>
      </c>
      <c r="K34" s="1573">
        <v>2912</v>
      </c>
      <c r="L34" s="1573">
        <v>1287</v>
      </c>
      <c r="M34" s="1549">
        <v>0</v>
      </c>
      <c r="N34" s="1549">
        <v>0</v>
      </c>
      <c r="O34" s="1550">
        <v>0</v>
      </c>
      <c r="P34" s="1551">
        <f t="shared" si="0"/>
        <v>14970</v>
      </c>
    </row>
    <row r="35" spans="1:16" ht="15.95" customHeight="1">
      <c r="A35" s="1587">
        <v>30</v>
      </c>
      <c r="B35" s="1570" t="s">
        <v>620</v>
      </c>
      <c r="C35" s="1576">
        <v>394</v>
      </c>
      <c r="D35" s="1576">
        <v>817</v>
      </c>
      <c r="E35" s="1577">
        <v>959</v>
      </c>
      <c r="F35" s="1577">
        <v>520</v>
      </c>
      <c r="G35" s="1573">
        <v>1663</v>
      </c>
      <c r="H35" s="1577">
        <v>876</v>
      </c>
      <c r="I35" s="1577">
        <v>1031</v>
      </c>
      <c r="J35" s="1573">
        <v>1457</v>
      </c>
      <c r="K35" s="1573">
        <v>3258</v>
      </c>
      <c r="L35" s="1577">
        <v>2013</v>
      </c>
      <c r="M35" s="1549">
        <v>488</v>
      </c>
      <c r="N35" s="1549">
        <v>0</v>
      </c>
      <c r="O35" s="1550">
        <v>1783</v>
      </c>
      <c r="P35" s="1551">
        <f t="shared" si="0"/>
        <v>15259</v>
      </c>
    </row>
    <row r="36" spans="1:16" ht="15.95" customHeight="1">
      <c r="A36" s="1587">
        <v>31</v>
      </c>
      <c r="B36" s="1570" t="s">
        <v>621</v>
      </c>
      <c r="C36" s="1575">
        <v>7402</v>
      </c>
      <c r="D36" s="1575">
        <v>14367</v>
      </c>
      <c r="E36" s="1573">
        <v>16483</v>
      </c>
      <c r="F36" s="1573">
        <v>10422</v>
      </c>
      <c r="G36" s="1573">
        <v>19777</v>
      </c>
      <c r="H36" s="1573">
        <v>11503</v>
      </c>
      <c r="I36" s="1573">
        <v>14398</v>
      </c>
      <c r="J36" s="1573">
        <v>9536</v>
      </c>
      <c r="K36" s="1573">
        <v>20106</v>
      </c>
      <c r="L36" s="1573">
        <v>18225</v>
      </c>
      <c r="M36" s="1573">
        <v>4840</v>
      </c>
      <c r="N36" s="1578">
        <v>3235</v>
      </c>
      <c r="O36" s="1578">
        <v>8971</v>
      </c>
      <c r="P36" s="1551">
        <f t="shared" si="0"/>
        <v>159265</v>
      </c>
    </row>
    <row r="37" spans="1:16" ht="15.95" customHeight="1">
      <c r="A37" s="1587">
        <v>32</v>
      </c>
      <c r="B37" s="1570" t="s">
        <v>622</v>
      </c>
      <c r="C37" s="1575">
        <v>3266</v>
      </c>
      <c r="D37" s="1575">
        <v>5531</v>
      </c>
      <c r="E37" s="1573">
        <v>6276</v>
      </c>
      <c r="F37" s="1573">
        <v>4133</v>
      </c>
      <c r="G37" s="1573">
        <v>7550</v>
      </c>
      <c r="H37" s="1573">
        <v>4431</v>
      </c>
      <c r="I37" s="1573">
        <v>5357</v>
      </c>
      <c r="J37" s="1573">
        <v>4775</v>
      </c>
      <c r="K37" s="1573">
        <v>7699</v>
      </c>
      <c r="L37" s="1573">
        <v>5402</v>
      </c>
      <c r="M37" s="1573">
        <v>4309</v>
      </c>
      <c r="N37" s="1550">
        <v>0</v>
      </c>
      <c r="O37" s="1550">
        <v>0</v>
      </c>
      <c r="P37" s="1551">
        <f t="shared" si="0"/>
        <v>58729</v>
      </c>
    </row>
    <row r="38" spans="1:16" ht="15.95" customHeight="1">
      <c r="A38" s="1587">
        <v>33</v>
      </c>
      <c r="B38" s="1570" t="s">
        <v>887</v>
      </c>
      <c r="C38" s="1575">
        <v>13336</v>
      </c>
      <c r="D38" s="1575">
        <v>22579</v>
      </c>
      <c r="E38" s="1573">
        <v>23822</v>
      </c>
      <c r="F38" s="1573">
        <v>16033</v>
      </c>
      <c r="G38" s="1573">
        <v>31141</v>
      </c>
      <c r="H38" s="1573">
        <v>18763</v>
      </c>
      <c r="I38" s="1573">
        <v>22683</v>
      </c>
      <c r="J38" s="1573">
        <v>21166</v>
      </c>
      <c r="K38" s="1573">
        <v>29646</v>
      </c>
      <c r="L38" s="1573">
        <v>18322</v>
      </c>
      <c r="M38" s="1573">
        <v>10483</v>
      </c>
      <c r="N38" s="1578">
        <v>4718</v>
      </c>
      <c r="O38" s="1578">
        <v>4255</v>
      </c>
      <c r="P38" s="1551">
        <f t="shared" si="0"/>
        <v>236947</v>
      </c>
    </row>
    <row r="39" spans="1:16" ht="15.95" customHeight="1">
      <c r="A39" s="1587">
        <v>34</v>
      </c>
      <c r="B39" s="1570" t="s">
        <v>888</v>
      </c>
      <c r="C39" s="1575">
        <v>164131</v>
      </c>
      <c r="D39" s="1575">
        <v>312677</v>
      </c>
      <c r="E39" s="1573">
        <v>376238</v>
      </c>
      <c r="F39" s="1573">
        <v>260713</v>
      </c>
      <c r="G39" s="1573">
        <v>485098</v>
      </c>
      <c r="H39" s="1573">
        <v>287376</v>
      </c>
      <c r="I39" s="1573">
        <v>358341</v>
      </c>
      <c r="J39" s="1573">
        <v>482365</v>
      </c>
      <c r="K39" s="1573">
        <v>421724</v>
      </c>
      <c r="L39" s="1573">
        <v>314980</v>
      </c>
      <c r="M39" s="1573">
        <v>166393</v>
      </c>
      <c r="N39" s="1578">
        <v>81926</v>
      </c>
      <c r="O39" s="1578">
        <v>289468</v>
      </c>
      <c r="P39" s="1551">
        <f t="shared" si="0"/>
        <v>4001430</v>
      </c>
    </row>
    <row r="40" spans="1:16" ht="15.95" customHeight="1">
      <c r="A40" s="1587">
        <v>35</v>
      </c>
      <c r="B40" s="1570" t="s">
        <v>889</v>
      </c>
      <c r="C40" s="1575">
        <v>45245</v>
      </c>
      <c r="D40" s="1575">
        <v>75887</v>
      </c>
      <c r="E40" s="1573">
        <v>85538</v>
      </c>
      <c r="F40" s="1573">
        <v>58130</v>
      </c>
      <c r="G40" s="1573">
        <v>104192</v>
      </c>
      <c r="H40" s="1573">
        <v>58074</v>
      </c>
      <c r="I40" s="1573">
        <v>73340</v>
      </c>
      <c r="J40" s="1573">
        <v>97193</v>
      </c>
      <c r="K40" s="1573">
        <v>105712</v>
      </c>
      <c r="L40" s="1573">
        <v>72398</v>
      </c>
      <c r="M40" s="1573">
        <v>27946</v>
      </c>
      <c r="N40" s="1578">
        <v>16934</v>
      </c>
      <c r="O40" s="1578">
        <v>49113</v>
      </c>
      <c r="P40" s="1551">
        <f t="shared" si="0"/>
        <v>869702</v>
      </c>
    </row>
    <row r="41" spans="1:16" ht="15.95" customHeight="1">
      <c r="A41" s="1587">
        <v>36</v>
      </c>
      <c r="B41" s="1570" t="s">
        <v>890</v>
      </c>
      <c r="C41" s="1576">
        <v>901</v>
      </c>
      <c r="D41" s="1575">
        <v>1784</v>
      </c>
      <c r="E41" s="1573">
        <v>2259</v>
      </c>
      <c r="F41" s="1573">
        <v>1406</v>
      </c>
      <c r="G41" s="1573">
        <v>3306</v>
      </c>
      <c r="H41" s="1573">
        <v>1667</v>
      </c>
      <c r="I41" s="1573">
        <v>2176</v>
      </c>
      <c r="J41" s="1573">
        <v>2434</v>
      </c>
      <c r="K41" s="1573">
        <v>3922</v>
      </c>
      <c r="L41" s="1577">
        <v>1181</v>
      </c>
      <c r="M41" s="1577">
        <v>1071</v>
      </c>
      <c r="N41" s="1549">
        <v>0</v>
      </c>
      <c r="O41" s="1550">
        <v>1561</v>
      </c>
      <c r="P41" s="1551">
        <f t="shared" si="0"/>
        <v>23668</v>
      </c>
    </row>
    <row r="42" spans="1:16" ht="15.95" customHeight="1">
      <c r="A42" s="1587">
        <v>37</v>
      </c>
      <c r="B42" s="1570" t="s">
        <v>601</v>
      </c>
      <c r="C42" s="1575">
        <v>2901</v>
      </c>
      <c r="D42" s="1575">
        <v>4161</v>
      </c>
      <c r="E42" s="1573">
        <v>4905</v>
      </c>
      <c r="F42" s="1573">
        <v>3100</v>
      </c>
      <c r="G42" s="1573">
        <v>7032</v>
      </c>
      <c r="H42" s="1573">
        <v>3980</v>
      </c>
      <c r="I42" s="1573">
        <v>4233</v>
      </c>
      <c r="J42" s="1573">
        <v>5462</v>
      </c>
      <c r="K42" s="1573">
        <v>6288</v>
      </c>
      <c r="L42" s="1573">
        <v>3946</v>
      </c>
      <c r="M42" s="1577">
        <v>495</v>
      </c>
      <c r="N42" s="1549">
        <v>0</v>
      </c>
      <c r="O42" s="1550">
        <v>0</v>
      </c>
      <c r="P42" s="1551">
        <f t="shared" si="0"/>
        <v>46503</v>
      </c>
    </row>
    <row r="43" spans="1:16" ht="15.95" customHeight="1">
      <c r="A43" s="1587">
        <v>38</v>
      </c>
      <c r="B43" s="1570" t="s">
        <v>398</v>
      </c>
      <c r="C43" s="1575">
        <v>12469</v>
      </c>
      <c r="D43" s="1575">
        <v>16291</v>
      </c>
      <c r="E43" s="1573">
        <v>19026</v>
      </c>
      <c r="F43" s="1573">
        <v>12623</v>
      </c>
      <c r="G43" s="1573">
        <v>24811</v>
      </c>
      <c r="H43" s="1573">
        <v>14979</v>
      </c>
      <c r="I43" s="1573">
        <v>18790</v>
      </c>
      <c r="J43" s="1573">
        <v>20137</v>
      </c>
      <c r="K43" s="1573">
        <v>26014</v>
      </c>
      <c r="L43" s="1573">
        <v>19378</v>
      </c>
      <c r="M43" s="1573">
        <v>7941</v>
      </c>
      <c r="N43" s="1578">
        <v>4914</v>
      </c>
      <c r="O43" s="1578">
        <v>16406</v>
      </c>
      <c r="P43" s="1551">
        <f t="shared" si="0"/>
        <v>213779</v>
      </c>
    </row>
    <row r="44" spans="1:16" ht="15.95" customHeight="1">
      <c r="A44" s="1587">
        <v>39</v>
      </c>
      <c r="B44" s="1570" t="s">
        <v>39</v>
      </c>
      <c r="C44" s="1575">
        <v>2996</v>
      </c>
      <c r="D44" s="1575">
        <v>4727</v>
      </c>
      <c r="E44" s="1573">
        <v>5771</v>
      </c>
      <c r="F44" s="1573">
        <v>3543</v>
      </c>
      <c r="G44" s="1573">
        <v>7516</v>
      </c>
      <c r="H44" s="1573">
        <v>3743</v>
      </c>
      <c r="I44" s="1573">
        <v>3518</v>
      </c>
      <c r="J44" s="1573">
        <v>7922</v>
      </c>
      <c r="K44" s="1573">
        <v>9444</v>
      </c>
      <c r="L44" s="1573">
        <v>6180</v>
      </c>
      <c r="M44" s="1573">
        <v>3408</v>
      </c>
      <c r="N44" s="1574">
        <v>1720</v>
      </c>
      <c r="O44" s="1578">
        <v>5695</v>
      </c>
      <c r="P44" s="1551">
        <f t="shared" si="0"/>
        <v>66183</v>
      </c>
    </row>
    <row r="45" spans="1:16" ht="15.95" customHeight="1">
      <c r="A45" s="1587">
        <v>40</v>
      </c>
      <c r="B45" s="1570" t="s">
        <v>399</v>
      </c>
      <c r="C45" s="1575">
        <v>1472</v>
      </c>
      <c r="D45" s="1575">
        <v>2362</v>
      </c>
      <c r="E45" s="1573">
        <v>2554</v>
      </c>
      <c r="F45" s="1573">
        <v>1629</v>
      </c>
      <c r="G45" s="1573">
        <v>3268</v>
      </c>
      <c r="H45" s="1573">
        <v>1947</v>
      </c>
      <c r="I45" s="1573">
        <v>2170</v>
      </c>
      <c r="J45" s="1573">
        <v>1899</v>
      </c>
      <c r="K45" s="1573">
        <v>3266</v>
      </c>
      <c r="L45" s="1573">
        <v>2319</v>
      </c>
      <c r="M45" s="1549">
        <v>0</v>
      </c>
      <c r="N45" s="1550">
        <v>0</v>
      </c>
      <c r="O45" s="1578">
        <v>2681</v>
      </c>
      <c r="P45" s="1551">
        <f t="shared" si="0"/>
        <v>25567</v>
      </c>
    </row>
    <row r="46" spans="1:16" ht="15.95" customHeight="1">
      <c r="A46" s="1587">
        <v>41</v>
      </c>
      <c r="B46" s="1570" t="s">
        <v>400</v>
      </c>
      <c r="C46" s="1575">
        <v>13739</v>
      </c>
      <c r="D46" s="1575">
        <v>26496</v>
      </c>
      <c r="E46" s="1573">
        <v>33401</v>
      </c>
      <c r="F46" s="1573">
        <v>24281</v>
      </c>
      <c r="G46" s="1573">
        <v>48060</v>
      </c>
      <c r="H46" s="1573">
        <v>29124</v>
      </c>
      <c r="I46" s="1573">
        <v>41476</v>
      </c>
      <c r="J46" s="1573">
        <v>58198</v>
      </c>
      <c r="K46" s="1573">
        <v>71170</v>
      </c>
      <c r="L46" s="1573">
        <v>56114</v>
      </c>
      <c r="M46" s="1573">
        <v>26236</v>
      </c>
      <c r="N46" s="1578">
        <v>13264</v>
      </c>
      <c r="O46" s="1578">
        <v>37094</v>
      </c>
      <c r="P46" s="1551">
        <f t="shared" si="0"/>
        <v>478653</v>
      </c>
    </row>
    <row r="47" spans="1:16" ht="15.95" customHeight="1">
      <c r="A47" s="1587">
        <v>42</v>
      </c>
      <c r="B47" s="1570" t="s">
        <v>401</v>
      </c>
      <c r="C47" s="1575">
        <v>16662</v>
      </c>
      <c r="D47" s="1575">
        <v>26739</v>
      </c>
      <c r="E47" s="1573">
        <v>29642</v>
      </c>
      <c r="F47" s="1573">
        <v>19740</v>
      </c>
      <c r="G47" s="1573">
        <v>38950</v>
      </c>
      <c r="H47" s="1573">
        <v>23144</v>
      </c>
      <c r="I47" s="1573">
        <v>27666</v>
      </c>
      <c r="J47" s="1573">
        <v>29097</v>
      </c>
      <c r="K47" s="1573">
        <v>37648</v>
      </c>
      <c r="L47" s="1573">
        <v>22375</v>
      </c>
      <c r="M47" s="1573">
        <v>10799</v>
      </c>
      <c r="N47" s="1578">
        <v>7534</v>
      </c>
      <c r="O47" s="1550">
        <v>9293</v>
      </c>
      <c r="P47" s="1551">
        <f t="shared" si="0"/>
        <v>299289</v>
      </c>
    </row>
    <row r="48" spans="1:16" ht="15.95" customHeight="1">
      <c r="A48" s="1587">
        <v>43</v>
      </c>
      <c r="B48" s="1570" t="s">
        <v>402</v>
      </c>
      <c r="C48" s="1575">
        <v>3880</v>
      </c>
      <c r="D48" s="1575">
        <v>6274</v>
      </c>
      <c r="E48" s="1573">
        <v>6953</v>
      </c>
      <c r="F48" s="1573">
        <v>4390</v>
      </c>
      <c r="G48" s="1573">
        <v>9398</v>
      </c>
      <c r="H48" s="1573">
        <v>4963</v>
      </c>
      <c r="I48" s="1573">
        <v>5876</v>
      </c>
      <c r="J48" s="1573">
        <v>6622</v>
      </c>
      <c r="K48" s="1573">
        <v>12842</v>
      </c>
      <c r="L48" s="1573">
        <v>9998</v>
      </c>
      <c r="M48" s="1573">
        <v>5906</v>
      </c>
      <c r="N48" s="1574">
        <v>3216</v>
      </c>
      <c r="O48" s="1578">
        <v>2692</v>
      </c>
      <c r="P48" s="1551">
        <f t="shared" si="0"/>
        <v>83010</v>
      </c>
    </row>
    <row r="49" spans="1:16" ht="15.95" customHeight="1">
      <c r="A49" s="1587">
        <v>44</v>
      </c>
      <c r="B49" s="1570" t="s">
        <v>226</v>
      </c>
      <c r="C49" s="1575">
        <v>4366</v>
      </c>
      <c r="D49" s="1575">
        <v>6909</v>
      </c>
      <c r="E49" s="1573">
        <v>7146</v>
      </c>
      <c r="F49" s="1573">
        <v>4497</v>
      </c>
      <c r="G49" s="1573">
        <v>12263</v>
      </c>
      <c r="H49" s="1573">
        <v>6565</v>
      </c>
      <c r="I49" s="1573">
        <v>8520</v>
      </c>
      <c r="J49" s="1573">
        <v>6951</v>
      </c>
      <c r="K49" s="1573">
        <v>14783</v>
      </c>
      <c r="L49" s="1573">
        <v>8197</v>
      </c>
      <c r="M49" s="1573">
        <v>4346</v>
      </c>
      <c r="N49" s="1578">
        <v>2406</v>
      </c>
      <c r="O49" s="1578">
        <v>6323</v>
      </c>
      <c r="P49" s="1551">
        <f t="shared" si="0"/>
        <v>93272</v>
      </c>
    </row>
    <row r="50" spans="1:16" ht="15.95" customHeight="1">
      <c r="A50" s="1587">
        <v>45</v>
      </c>
      <c r="B50" s="1570" t="s">
        <v>624</v>
      </c>
      <c r="C50" s="1575">
        <v>9949</v>
      </c>
      <c r="D50" s="1575">
        <v>17385</v>
      </c>
      <c r="E50" s="1573">
        <v>18632</v>
      </c>
      <c r="F50" s="1573">
        <v>11872</v>
      </c>
      <c r="G50" s="1573">
        <v>21308</v>
      </c>
      <c r="H50" s="1573">
        <v>11091</v>
      </c>
      <c r="I50" s="1573">
        <v>16228</v>
      </c>
      <c r="J50" s="1573">
        <v>20208</v>
      </c>
      <c r="K50" s="1573">
        <v>35701</v>
      </c>
      <c r="L50" s="1573">
        <v>24106</v>
      </c>
      <c r="M50" s="1573">
        <v>10434</v>
      </c>
      <c r="N50" s="1578">
        <v>9267</v>
      </c>
      <c r="O50" s="1578">
        <v>28654</v>
      </c>
      <c r="P50" s="1551">
        <f t="shared" si="0"/>
        <v>234835</v>
      </c>
    </row>
    <row r="51" spans="1:16" ht="15.95" customHeight="1">
      <c r="A51" s="1587">
        <v>46</v>
      </c>
      <c r="B51" s="1570" t="s">
        <v>810</v>
      </c>
      <c r="C51" s="1575">
        <v>5861</v>
      </c>
      <c r="D51" s="1575">
        <v>8424</v>
      </c>
      <c r="E51" s="1573">
        <v>9279</v>
      </c>
      <c r="F51" s="1573">
        <v>6370</v>
      </c>
      <c r="G51" s="1573">
        <v>15093</v>
      </c>
      <c r="H51" s="1573">
        <v>8352</v>
      </c>
      <c r="I51" s="1573">
        <v>10380</v>
      </c>
      <c r="J51" s="1573">
        <v>11342</v>
      </c>
      <c r="K51" s="1573">
        <v>25656</v>
      </c>
      <c r="L51" s="1573">
        <v>23372</v>
      </c>
      <c r="M51" s="1573">
        <v>9105</v>
      </c>
      <c r="N51" s="1578">
        <v>3935</v>
      </c>
      <c r="O51" s="1578">
        <v>2843</v>
      </c>
      <c r="P51" s="1551">
        <f t="shared" si="0"/>
        <v>140012</v>
      </c>
    </row>
    <row r="52" spans="1:16" ht="15.95" customHeight="1">
      <c r="A52" s="1587">
        <v>47</v>
      </c>
      <c r="B52" s="1570" t="s">
        <v>811</v>
      </c>
      <c r="C52" s="1575">
        <v>1543</v>
      </c>
      <c r="D52" s="1575">
        <v>2594</v>
      </c>
      <c r="E52" s="1573">
        <v>3799</v>
      </c>
      <c r="F52" s="1573">
        <v>2830</v>
      </c>
      <c r="G52" s="1573">
        <v>9965</v>
      </c>
      <c r="H52" s="1573">
        <v>6962</v>
      </c>
      <c r="I52" s="1573">
        <v>8149</v>
      </c>
      <c r="J52" s="1573">
        <v>4994</v>
      </c>
      <c r="K52" s="1573">
        <v>11515</v>
      </c>
      <c r="L52" s="1573">
        <v>8525</v>
      </c>
      <c r="M52" s="1577">
        <v>3413</v>
      </c>
      <c r="N52" s="1574">
        <v>0</v>
      </c>
      <c r="O52" s="1578">
        <v>2975</v>
      </c>
      <c r="P52" s="1551">
        <f t="shared" si="0"/>
        <v>67264</v>
      </c>
    </row>
    <row r="53" spans="1:16" ht="15.95" customHeight="1">
      <c r="A53" s="1587">
        <v>48</v>
      </c>
      <c r="B53" s="1570" t="s">
        <v>676</v>
      </c>
      <c r="C53" s="1575">
        <v>13056</v>
      </c>
      <c r="D53" s="1575">
        <v>21313</v>
      </c>
      <c r="E53" s="1573">
        <v>22063</v>
      </c>
      <c r="F53" s="1573">
        <v>13735</v>
      </c>
      <c r="G53" s="1573">
        <v>25186</v>
      </c>
      <c r="H53" s="1573">
        <v>12125</v>
      </c>
      <c r="I53" s="1573">
        <v>14211</v>
      </c>
      <c r="J53" s="1573">
        <v>25019</v>
      </c>
      <c r="K53" s="1573">
        <v>22757</v>
      </c>
      <c r="L53" s="1573">
        <v>12892</v>
      </c>
      <c r="M53" s="1573">
        <v>4598</v>
      </c>
      <c r="N53" s="1574">
        <v>0</v>
      </c>
      <c r="O53" s="1578">
        <v>1125</v>
      </c>
      <c r="P53" s="1551">
        <f t="shared" si="0"/>
        <v>188080</v>
      </c>
    </row>
    <row r="54" spans="1:16" ht="15.95" customHeight="1">
      <c r="A54" s="1587">
        <v>49</v>
      </c>
      <c r="B54" s="1570" t="s">
        <v>876</v>
      </c>
      <c r="C54" s="1576">
        <v>677</v>
      </c>
      <c r="D54" s="1575">
        <v>1256</v>
      </c>
      <c r="E54" s="1573">
        <v>1674</v>
      </c>
      <c r="F54" s="1577">
        <v>1224</v>
      </c>
      <c r="G54" s="1573">
        <v>2923</v>
      </c>
      <c r="H54" s="1573">
        <v>1981</v>
      </c>
      <c r="I54" s="1573">
        <v>2233</v>
      </c>
      <c r="J54" s="1573">
        <v>1310</v>
      </c>
      <c r="K54" s="1573">
        <v>4598</v>
      </c>
      <c r="L54" s="1573">
        <v>3532</v>
      </c>
      <c r="M54" s="1549">
        <v>652</v>
      </c>
      <c r="N54" s="1549">
        <v>0</v>
      </c>
      <c r="O54" s="1550">
        <v>1933</v>
      </c>
      <c r="P54" s="1551">
        <f t="shared" si="0"/>
        <v>23993</v>
      </c>
    </row>
    <row r="55" spans="1:16" ht="15.95" customHeight="1">
      <c r="A55" s="1587">
        <v>50</v>
      </c>
      <c r="B55" s="1570" t="s">
        <v>877</v>
      </c>
      <c r="C55" s="1575">
        <v>2179</v>
      </c>
      <c r="D55" s="1575">
        <v>3749</v>
      </c>
      <c r="E55" s="1573">
        <v>4135</v>
      </c>
      <c r="F55" s="1573">
        <v>2488</v>
      </c>
      <c r="G55" s="1573">
        <v>5925</v>
      </c>
      <c r="H55" s="1573">
        <v>3638</v>
      </c>
      <c r="I55" s="1573">
        <v>3797</v>
      </c>
      <c r="J55" s="1573">
        <v>4019</v>
      </c>
      <c r="K55" s="1573">
        <v>4190</v>
      </c>
      <c r="L55" s="1573">
        <v>2348</v>
      </c>
      <c r="M55" s="1549">
        <v>637</v>
      </c>
      <c r="N55" s="1549">
        <v>0</v>
      </c>
      <c r="O55" s="1550">
        <v>0</v>
      </c>
      <c r="P55" s="1551">
        <f t="shared" si="0"/>
        <v>37105</v>
      </c>
    </row>
    <row r="56" spans="1:16" ht="15.95" customHeight="1">
      <c r="A56" s="1587">
        <v>51</v>
      </c>
      <c r="B56" s="1570" t="s">
        <v>878</v>
      </c>
      <c r="C56" s="1575">
        <v>2462</v>
      </c>
      <c r="D56" s="1575">
        <v>3121</v>
      </c>
      <c r="E56" s="1573">
        <v>3704</v>
      </c>
      <c r="F56" s="1573">
        <v>2076</v>
      </c>
      <c r="G56" s="1573">
        <v>6014</v>
      </c>
      <c r="H56" s="1573">
        <v>3231</v>
      </c>
      <c r="I56" s="1573">
        <v>3717</v>
      </c>
      <c r="J56" s="1573">
        <v>1918</v>
      </c>
      <c r="K56" s="1573">
        <v>7060</v>
      </c>
      <c r="L56" s="1573">
        <v>3084</v>
      </c>
      <c r="M56" s="1577">
        <v>589</v>
      </c>
      <c r="N56" s="1549">
        <v>768</v>
      </c>
      <c r="O56" s="1550">
        <v>0</v>
      </c>
      <c r="P56" s="1551">
        <f t="shared" si="0"/>
        <v>37744</v>
      </c>
    </row>
    <row r="57" spans="1:16" ht="15.95" customHeight="1">
      <c r="A57" s="1587">
        <v>52</v>
      </c>
      <c r="B57" s="1570" t="s">
        <v>846</v>
      </c>
      <c r="C57" s="1575">
        <v>4536</v>
      </c>
      <c r="D57" s="1575">
        <v>7705</v>
      </c>
      <c r="E57" s="1573">
        <v>8333</v>
      </c>
      <c r="F57" s="1573">
        <v>4993</v>
      </c>
      <c r="G57" s="1573">
        <v>11625</v>
      </c>
      <c r="H57" s="1573">
        <v>6842</v>
      </c>
      <c r="I57" s="1573">
        <v>7146</v>
      </c>
      <c r="J57" s="1573">
        <v>5166</v>
      </c>
      <c r="K57" s="1573">
        <v>8759</v>
      </c>
      <c r="L57" s="1573">
        <v>9106</v>
      </c>
      <c r="M57" s="1573">
        <v>3304</v>
      </c>
      <c r="N57" s="1573">
        <v>1664</v>
      </c>
      <c r="O57" s="1550">
        <v>2057</v>
      </c>
      <c r="P57" s="1551">
        <f t="shared" si="0"/>
        <v>81236</v>
      </c>
    </row>
    <row r="58" spans="1:16" ht="15.95" customHeight="1">
      <c r="A58" s="1587">
        <v>53</v>
      </c>
      <c r="B58" s="1570" t="s">
        <v>847</v>
      </c>
      <c r="C58" s="1575">
        <v>2428</v>
      </c>
      <c r="D58" s="1575">
        <v>3971</v>
      </c>
      <c r="E58" s="1573">
        <v>4252</v>
      </c>
      <c r="F58" s="1573">
        <v>3082</v>
      </c>
      <c r="G58" s="1573">
        <v>6804</v>
      </c>
      <c r="H58" s="1573">
        <v>3297</v>
      </c>
      <c r="I58" s="1573">
        <v>4301</v>
      </c>
      <c r="J58" s="1573">
        <v>2497</v>
      </c>
      <c r="K58" s="1573">
        <v>14888</v>
      </c>
      <c r="L58" s="1573">
        <v>4853</v>
      </c>
      <c r="M58" s="1573">
        <v>2244</v>
      </c>
      <c r="N58" s="1550">
        <v>0</v>
      </c>
      <c r="O58" s="1550">
        <v>0</v>
      </c>
      <c r="P58" s="1551">
        <f t="shared" si="0"/>
        <v>52617</v>
      </c>
    </row>
    <row r="59" spans="1:16" ht="15.95" customHeight="1">
      <c r="A59" s="1587">
        <v>54</v>
      </c>
      <c r="B59" s="1570" t="s">
        <v>655</v>
      </c>
      <c r="C59" s="1575">
        <v>8011</v>
      </c>
      <c r="D59" s="1575">
        <v>14024</v>
      </c>
      <c r="E59" s="1573">
        <v>16109</v>
      </c>
      <c r="F59" s="1573">
        <v>10355</v>
      </c>
      <c r="G59" s="1573">
        <v>19059</v>
      </c>
      <c r="H59" s="1573">
        <v>11485</v>
      </c>
      <c r="I59" s="1573">
        <v>13003</v>
      </c>
      <c r="J59" s="1573">
        <v>18327</v>
      </c>
      <c r="K59" s="1573">
        <v>20032</v>
      </c>
      <c r="L59" s="1573">
        <v>15424</v>
      </c>
      <c r="M59" s="1573">
        <v>9060</v>
      </c>
      <c r="N59" s="1578">
        <v>5409</v>
      </c>
      <c r="O59" s="1578">
        <v>18287</v>
      </c>
      <c r="P59" s="1551">
        <f t="shared" si="0"/>
        <v>178585</v>
      </c>
    </row>
    <row r="60" spans="1:16" ht="15.95" customHeight="1">
      <c r="A60" s="1587">
        <v>55</v>
      </c>
      <c r="B60" s="1570" t="s">
        <v>656</v>
      </c>
      <c r="C60" s="1575">
        <v>8124</v>
      </c>
      <c r="D60" s="1575">
        <v>15694</v>
      </c>
      <c r="E60" s="1573">
        <v>18990</v>
      </c>
      <c r="F60" s="1573">
        <v>12605</v>
      </c>
      <c r="G60" s="1573">
        <v>22178</v>
      </c>
      <c r="H60" s="1573">
        <v>12701</v>
      </c>
      <c r="I60" s="1573">
        <v>14817</v>
      </c>
      <c r="J60" s="1573">
        <v>13025</v>
      </c>
      <c r="K60" s="1573">
        <v>18717</v>
      </c>
      <c r="L60" s="1573">
        <v>11267</v>
      </c>
      <c r="M60" s="1573">
        <v>3751</v>
      </c>
      <c r="N60" s="1578">
        <v>2312</v>
      </c>
      <c r="O60" s="1578">
        <v>6772</v>
      </c>
      <c r="P60" s="1551">
        <f t="shared" si="0"/>
        <v>160953</v>
      </c>
    </row>
    <row r="61" spans="1:16" ht="15.95" customHeight="1">
      <c r="A61" s="1587">
        <v>56</v>
      </c>
      <c r="B61" s="1570" t="s">
        <v>657</v>
      </c>
      <c r="C61" s="1576">
        <v>657</v>
      </c>
      <c r="D61" s="1575">
        <v>1394</v>
      </c>
      <c r="E61" s="1573">
        <v>1504</v>
      </c>
      <c r="F61" s="1577">
        <v>1096</v>
      </c>
      <c r="G61" s="1573">
        <v>2964</v>
      </c>
      <c r="H61" s="1573">
        <v>2212</v>
      </c>
      <c r="I61" s="1573">
        <v>2446</v>
      </c>
      <c r="J61" s="1573">
        <v>2909</v>
      </c>
      <c r="K61" s="1573">
        <v>4058</v>
      </c>
      <c r="L61" s="1573">
        <v>2711</v>
      </c>
      <c r="M61" s="1549">
        <v>632</v>
      </c>
      <c r="N61" s="1574">
        <v>0</v>
      </c>
      <c r="O61" s="1550">
        <v>967</v>
      </c>
      <c r="P61" s="1551">
        <f t="shared" si="0"/>
        <v>23550</v>
      </c>
    </row>
    <row r="62" spans="1:16" ht="15.95" customHeight="1">
      <c r="A62" s="1587">
        <v>57</v>
      </c>
      <c r="B62" s="1570" t="s">
        <v>658</v>
      </c>
      <c r="C62" s="1575">
        <v>1477</v>
      </c>
      <c r="D62" s="1575">
        <v>2612</v>
      </c>
      <c r="E62" s="1573">
        <v>2904</v>
      </c>
      <c r="F62" s="1573">
        <v>1696</v>
      </c>
      <c r="G62" s="1573">
        <v>3154</v>
      </c>
      <c r="H62" s="1573">
        <v>1523</v>
      </c>
      <c r="I62" s="1573">
        <v>1779</v>
      </c>
      <c r="J62" s="1573">
        <v>3479</v>
      </c>
      <c r="K62" s="1573">
        <v>4006</v>
      </c>
      <c r="L62" s="1573">
        <v>1396</v>
      </c>
      <c r="M62" s="1549">
        <v>0</v>
      </c>
      <c r="N62" s="1550">
        <v>0</v>
      </c>
      <c r="O62" s="1550">
        <v>0</v>
      </c>
      <c r="P62" s="1551">
        <f t="shared" si="0"/>
        <v>24026</v>
      </c>
    </row>
    <row r="63" spans="1:16" ht="15.95" customHeight="1">
      <c r="A63" s="1587">
        <v>58</v>
      </c>
      <c r="B63" s="1570" t="s">
        <v>659</v>
      </c>
      <c r="C63" s="1575">
        <v>3268</v>
      </c>
      <c r="D63" s="1575">
        <v>5861</v>
      </c>
      <c r="E63" s="1573">
        <v>6769</v>
      </c>
      <c r="F63" s="1573">
        <v>4322</v>
      </c>
      <c r="G63" s="1573">
        <v>11544</v>
      </c>
      <c r="H63" s="1573">
        <v>6353</v>
      </c>
      <c r="I63" s="1573">
        <v>6667</v>
      </c>
      <c r="J63" s="1573">
        <v>6280</v>
      </c>
      <c r="K63" s="1573">
        <v>9417</v>
      </c>
      <c r="L63" s="1573">
        <v>8510</v>
      </c>
      <c r="M63" s="1573">
        <v>1024</v>
      </c>
      <c r="N63" s="1574">
        <v>3263</v>
      </c>
      <c r="O63" s="1578">
        <v>3398</v>
      </c>
      <c r="P63" s="1551">
        <f t="shared" si="0"/>
        <v>76676</v>
      </c>
    </row>
    <row r="64" spans="1:16" ht="15.95" customHeight="1">
      <c r="A64" s="1587">
        <v>59</v>
      </c>
      <c r="B64" s="1570" t="s">
        <v>660</v>
      </c>
      <c r="C64" s="1575">
        <v>7997</v>
      </c>
      <c r="D64" s="1575">
        <v>13664</v>
      </c>
      <c r="E64" s="1573">
        <v>16873</v>
      </c>
      <c r="F64" s="1573">
        <v>11551</v>
      </c>
      <c r="G64" s="1573">
        <v>22049</v>
      </c>
      <c r="H64" s="1573">
        <v>12757</v>
      </c>
      <c r="I64" s="1573">
        <v>17557</v>
      </c>
      <c r="J64" s="1573">
        <v>36502</v>
      </c>
      <c r="K64" s="1573">
        <v>48994</v>
      </c>
      <c r="L64" s="1573">
        <v>31089</v>
      </c>
      <c r="M64" s="1573">
        <v>12018</v>
      </c>
      <c r="N64" s="1578">
        <v>7674</v>
      </c>
      <c r="O64" s="1578">
        <v>19138</v>
      </c>
      <c r="P64" s="1551">
        <f t="shared" si="0"/>
        <v>257863</v>
      </c>
    </row>
    <row r="65" spans="1:16" ht="15.95" customHeight="1">
      <c r="A65" s="1587">
        <v>60</v>
      </c>
      <c r="B65" s="1570" t="s">
        <v>661</v>
      </c>
      <c r="C65" s="1575">
        <v>3139</v>
      </c>
      <c r="D65" s="1575">
        <v>4984</v>
      </c>
      <c r="E65" s="1573">
        <v>5740</v>
      </c>
      <c r="F65" s="1573">
        <v>3619</v>
      </c>
      <c r="G65" s="1573">
        <v>8052</v>
      </c>
      <c r="H65" s="1573">
        <v>4200</v>
      </c>
      <c r="I65" s="1573">
        <v>4800</v>
      </c>
      <c r="J65" s="1573">
        <v>3155</v>
      </c>
      <c r="K65" s="1573">
        <v>7828</v>
      </c>
      <c r="L65" s="1573">
        <v>7095</v>
      </c>
      <c r="M65" s="1577">
        <v>2109</v>
      </c>
      <c r="N65" s="1550">
        <v>0</v>
      </c>
      <c r="O65" s="1550">
        <v>937</v>
      </c>
      <c r="P65" s="1551">
        <f t="shared" si="0"/>
        <v>55658</v>
      </c>
    </row>
    <row r="66" spans="1:16" ht="15.95" customHeight="1">
      <c r="A66" s="1587">
        <v>61</v>
      </c>
      <c r="B66" s="1570" t="s">
        <v>665</v>
      </c>
      <c r="C66" s="1575">
        <v>5954</v>
      </c>
      <c r="D66" s="1575">
        <v>10666</v>
      </c>
      <c r="E66" s="1573">
        <v>12144</v>
      </c>
      <c r="F66" s="1573">
        <v>8341</v>
      </c>
      <c r="G66" s="1573">
        <v>19295</v>
      </c>
      <c r="H66" s="1573">
        <v>9764</v>
      </c>
      <c r="I66" s="1573">
        <v>12056</v>
      </c>
      <c r="J66" s="1573">
        <v>11883</v>
      </c>
      <c r="K66" s="1573">
        <v>12313</v>
      </c>
      <c r="L66" s="1573">
        <v>8521</v>
      </c>
      <c r="M66" s="1573">
        <v>3626</v>
      </c>
      <c r="N66" s="1574">
        <v>2355</v>
      </c>
      <c r="O66" s="1550">
        <v>3817</v>
      </c>
      <c r="P66" s="1551">
        <f t="shared" si="0"/>
        <v>120735</v>
      </c>
    </row>
    <row r="67" spans="1:16" ht="15.95" customHeight="1">
      <c r="A67" s="1587">
        <v>62</v>
      </c>
      <c r="B67" s="1570" t="s">
        <v>666</v>
      </c>
      <c r="C67" s="1576">
        <v>425</v>
      </c>
      <c r="D67" s="1576">
        <v>734</v>
      </c>
      <c r="E67" s="1577">
        <v>763</v>
      </c>
      <c r="F67" s="1577">
        <v>478</v>
      </c>
      <c r="G67" s="1573">
        <v>1250</v>
      </c>
      <c r="H67" s="1577">
        <v>798</v>
      </c>
      <c r="I67" s="1577">
        <v>858</v>
      </c>
      <c r="J67" s="1577">
        <v>1089</v>
      </c>
      <c r="K67" s="1577">
        <v>989</v>
      </c>
      <c r="L67" s="1549">
        <v>656</v>
      </c>
      <c r="M67" s="1549">
        <v>0</v>
      </c>
      <c r="N67" s="1550">
        <v>0</v>
      </c>
      <c r="O67" s="1550">
        <v>0</v>
      </c>
      <c r="P67" s="1551">
        <f t="shared" si="0"/>
        <v>8040</v>
      </c>
    </row>
    <row r="68" spans="1:16" ht="15.95" customHeight="1">
      <c r="A68" s="1587">
        <v>63</v>
      </c>
      <c r="B68" s="1570" t="s">
        <v>667</v>
      </c>
      <c r="C68" s="1575">
        <v>3798</v>
      </c>
      <c r="D68" s="1575">
        <v>7349</v>
      </c>
      <c r="E68" s="1573">
        <v>8841</v>
      </c>
      <c r="F68" s="1573">
        <v>6414</v>
      </c>
      <c r="G68" s="1573">
        <v>16773</v>
      </c>
      <c r="H68" s="1573">
        <v>8562</v>
      </c>
      <c r="I68" s="1573">
        <v>10158</v>
      </c>
      <c r="J68" s="1573">
        <v>7645</v>
      </c>
      <c r="K68" s="1573">
        <v>23639</v>
      </c>
      <c r="L68" s="1573">
        <v>16809</v>
      </c>
      <c r="M68" s="1573">
        <v>3864</v>
      </c>
      <c r="N68" s="1578">
        <v>3878</v>
      </c>
      <c r="O68" s="1578">
        <v>2093</v>
      </c>
      <c r="P68" s="1551">
        <f t="shared" si="0"/>
        <v>119823</v>
      </c>
    </row>
    <row r="69" spans="1:16" ht="15.95" customHeight="1">
      <c r="A69" s="1587">
        <v>64</v>
      </c>
      <c r="B69" s="1570" t="s">
        <v>668</v>
      </c>
      <c r="C69" s="1575">
        <v>3282</v>
      </c>
      <c r="D69" s="1575">
        <v>5194</v>
      </c>
      <c r="E69" s="1573">
        <v>5475</v>
      </c>
      <c r="F69" s="1573">
        <v>3480</v>
      </c>
      <c r="G69" s="1573">
        <v>7247</v>
      </c>
      <c r="H69" s="1573">
        <v>4113</v>
      </c>
      <c r="I69" s="1573">
        <v>5843</v>
      </c>
      <c r="J69" s="1573">
        <v>6761</v>
      </c>
      <c r="K69" s="1573">
        <v>7758</v>
      </c>
      <c r="L69" s="1573">
        <v>6029</v>
      </c>
      <c r="M69" s="1573">
        <v>1218</v>
      </c>
      <c r="N69" s="1574">
        <v>2401</v>
      </c>
      <c r="O69" s="1550">
        <v>2023</v>
      </c>
      <c r="P69" s="1551">
        <f t="shared" si="0"/>
        <v>60824</v>
      </c>
    </row>
    <row r="70" spans="1:16" ht="15.95" customHeight="1">
      <c r="A70" s="1587">
        <v>65</v>
      </c>
      <c r="B70" s="1570" t="s">
        <v>669</v>
      </c>
      <c r="C70" s="1575">
        <v>2950</v>
      </c>
      <c r="D70" s="1575">
        <v>4915</v>
      </c>
      <c r="E70" s="1573">
        <v>5124</v>
      </c>
      <c r="F70" s="1573">
        <v>3633</v>
      </c>
      <c r="G70" s="1573">
        <v>9673</v>
      </c>
      <c r="H70" s="1573">
        <v>5482</v>
      </c>
      <c r="I70" s="1573">
        <v>6525</v>
      </c>
      <c r="J70" s="1573">
        <v>2776</v>
      </c>
      <c r="K70" s="1573">
        <v>18776</v>
      </c>
      <c r="L70" s="1573">
        <v>10941</v>
      </c>
      <c r="M70" s="1573">
        <v>3396</v>
      </c>
      <c r="N70" s="1574">
        <v>1667</v>
      </c>
      <c r="O70" s="1550">
        <v>0</v>
      </c>
      <c r="P70" s="1551">
        <f t="shared" ref="P70:P87" si="1">SUM(C70:O70)</f>
        <v>75858</v>
      </c>
    </row>
    <row r="71" spans="1:16" ht="15.95" customHeight="1">
      <c r="A71" s="1587">
        <v>66</v>
      </c>
      <c r="B71" s="1570" t="s">
        <v>670</v>
      </c>
      <c r="C71" s="1575">
        <v>2140</v>
      </c>
      <c r="D71" s="1575">
        <v>3591</v>
      </c>
      <c r="E71" s="1573">
        <v>3980</v>
      </c>
      <c r="F71" s="1573">
        <v>2476</v>
      </c>
      <c r="G71" s="1573">
        <v>6029</v>
      </c>
      <c r="H71" s="1573">
        <v>3086</v>
      </c>
      <c r="I71" s="1573">
        <v>3465</v>
      </c>
      <c r="J71" s="1573">
        <v>3742</v>
      </c>
      <c r="K71" s="1573">
        <v>7072</v>
      </c>
      <c r="L71" s="1573">
        <v>1063</v>
      </c>
      <c r="M71" s="1577">
        <v>966</v>
      </c>
      <c r="N71" s="1550">
        <v>0</v>
      </c>
      <c r="O71" s="1578">
        <v>0</v>
      </c>
      <c r="P71" s="1551">
        <f t="shared" si="1"/>
        <v>37610</v>
      </c>
    </row>
    <row r="72" spans="1:16" ht="15.95" customHeight="1">
      <c r="A72" s="1587">
        <v>67</v>
      </c>
      <c r="B72" s="1570" t="s">
        <v>896</v>
      </c>
      <c r="C72" s="1575">
        <v>4119</v>
      </c>
      <c r="D72" s="1575">
        <v>6669</v>
      </c>
      <c r="E72" s="1573">
        <v>7954</v>
      </c>
      <c r="F72" s="1573">
        <v>4890</v>
      </c>
      <c r="G72" s="1573">
        <v>8999</v>
      </c>
      <c r="H72" s="1573">
        <v>5552</v>
      </c>
      <c r="I72" s="1573">
        <v>6192</v>
      </c>
      <c r="J72" s="1573">
        <v>7070</v>
      </c>
      <c r="K72" s="1573">
        <v>9084</v>
      </c>
      <c r="L72" s="1573">
        <v>9105</v>
      </c>
      <c r="M72" s="1573">
        <v>2823</v>
      </c>
      <c r="N72" s="1578">
        <v>2169</v>
      </c>
      <c r="O72" s="1578">
        <v>9354</v>
      </c>
      <c r="P72" s="1551">
        <f t="shared" si="1"/>
        <v>83980</v>
      </c>
    </row>
    <row r="73" spans="1:16" ht="15.95" customHeight="1">
      <c r="A73" s="1587">
        <v>68</v>
      </c>
      <c r="B73" s="1570" t="s">
        <v>897</v>
      </c>
      <c r="C73" s="1575">
        <v>2618</v>
      </c>
      <c r="D73" s="1575">
        <v>3934</v>
      </c>
      <c r="E73" s="1573">
        <v>4592</v>
      </c>
      <c r="F73" s="1573">
        <v>2793</v>
      </c>
      <c r="G73" s="1573">
        <v>7262</v>
      </c>
      <c r="H73" s="1573">
        <v>4506</v>
      </c>
      <c r="I73" s="1573">
        <v>4973</v>
      </c>
      <c r="J73" s="1573">
        <v>3372</v>
      </c>
      <c r="K73" s="1573">
        <v>5322</v>
      </c>
      <c r="L73" s="1573">
        <v>2088</v>
      </c>
      <c r="M73" s="1549">
        <v>1225</v>
      </c>
      <c r="N73" s="1574">
        <v>0</v>
      </c>
      <c r="O73" s="1578">
        <v>4919</v>
      </c>
      <c r="P73" s="1551">
        <f t="shared" si="1"/>
        <v>47604</v>
      </c>
    </row>
    <row r="74" spans="1:16" ht="15.95" customHeight="1">
      <c r="A74" s="1587">
        <v>69</v>
      </c>
      <c r="B74" s="1570" t="s">
        <v>575</v>
      </c>
      <c r="C74" s="1576">
        <v>358</v>
      </c>
      <c r="D74" s="1576">
        <v>760</v>
      </c>
      <c r="E74" s="1577">
        <v>815</v>
      </c>
      <c r="F74" s="1577">
        <v>401</v>
      </c>
      <c r="G74" s="1573">
        <v>1120</v>
      </c>
      <c r="H74" s="1577">
        <v>733</v>
      </c>
      <c r="I74" s="1577">
        <v>800</v>
      </c>
      <c r="J74" s="1577">
        <v>975</v>
      </c>
      <c r="K74" s="1577">
        <v>1278</v>
      </c>
      <c r="L74" s="1577">
        <v>863</v>
      </c>
      <c r="M74" s="1549">
        <v>0</v>
      </c>
      <c r="N74" s="1550">
        <v>839</v>
      </c>
      <c r="O74" s="1550">
        <v>0</v>
      </c>
      <c r="P74" s="1551">
        <f t="shared" si="1"/>
        <v>8942</v>
      </c>
    </row>
    <row r="75" spans="1:16" ht="15.95" customHeight="1">
      <c r="A75" s="1587">
        <v>70</v>
      </c>
      <c r="B75" s="1570" t="s">
        <v>576</v>
      </c>
      <c r="C75" s="1575">
        <v>1596</v>
      </c>
      <c r="D75" s="1575">
        <v>2670</v>
      </c>
      <c r="E75" s="1573">
        <v>3250</v>
      </c>
      <c r="F75" s="1573">
        <v>1916</v>
      </c>
      <c r="G75" s="1573">
        <v>4720</v>
      </c>
      <c r="H75" s="1573">
        <v>2276</v>
      </c>
      <c r="I75" s="1573">
        <v>3123</v>
      </c>
      <c r="J75" s="1573">
        <v>3990</v>
      </c>
      <c r="K75" s="1573">
        <v>6049</v>
      </c>
      <c r="L75" s="1573">
        <v>3919</v>
      </c>
      <c r="M75" s="1549">
        <v>1245</v>
      </c>
      <c r="N75" s="1550">
        <v>713</v>
      </c>
      <c r="O75" s="1578">
        <v>7711</v>
      </c>
      <c r="P75" s="1551">
        <f t="shared" si="1"/>
        <v>43178</v>
      </c>
    </row>
    <row r="76" spans="1:16" ht="15.95" customHeight="1">
      <c r="A76" s="1587">
        <v>71</v>
      </c>
      <c r="B76" s="1570" t="s">
        <v>365</v>
      </c>
      <c r="C76" s="1575">
        <v>1703</v>
      </c>
      <c r="D76" s="1575">
        <v>3026</v>
      </c>
      <c r="E76" s="1573">
        <v>3417</v>
      </c>
      <c r="F76" s="1573">
        <v>2399</v>
      </c>
      <c r="G76" s="1573">
        <v>4320</v>
      </c>
      <c r="H76" s="1573">
        <v>2713</v>
      </c>
      <c r="I76" s="1573">
        <v>3062</v>
      </c>
      <c r="J76" s="1573">
        <v>2682</v>
      </c>
      <c r="K76" s="1573">
        <v>6927</v>
      </c>
      <c r="L76" s="1573">
        <v>1788</v>
      </c>
      <c r="M76" s="1573">
        <v>2374</v>
      </c>
      <c r="N76" s="1578">
        <v>846</v>
      </c>
      <c r="O76" s="1578">
        <v>2494</v>
      </c>
      <c r="P76" s="1551">
        <f t="shared" si="1"/>
        <v>37751</v>
      </c>
    </row>
    <row r="77" spans="1:16" ht="15.95" customHeight="1">
      <c r="A77" s="1587">
        <v>72</v>
      </c>
      <c r="B77" s="1570" t="s">
        <v>416</v>
      </c>
      <c r="C77" s="1576">
        <v>960</v>
      </c>
      <c r="D77" s="1575">
        <v>2219</v>
      </c>
      <c r="E77" s="1573">
        <v>3125</v>
      </c>
      <c r="F77" s="1573">
        <v>2284</v>
      </c>
      <c r="G77" s="1573">
        <v>5954</v>
      </c>
      <c r="H77" s="1573">
        <v>3953</v>
      </c>
      <c r="I77" s="1573">
        <v>4371</v>
      </c>
      <c r="J77" s="1573">
        <v>5033</v>
      </c>
      <c r="K77" s="1573">
        <v>11147</v>
      </c>
      <c r="L77" s="1573">
        <v>6365</v>
      </c>
      <c r="M77" s="1573">
        <v>3104</v>
      </c>
      <c r="N77" s="1550">
        <v>858</v>
      </c>
      <c r="O77" s="1550">
        <v>2149</v>
      </c>
      <c r="P77" s="1551">
        <f t="shared" si="1"/>
        <v>51522</v>
      </c>
    </row>
    <row r="78" spans="1:16" ht="15.95" customHeight="1">
      <c r="A78" s="1587">
        <v>73</v>
      </c>
      <c r="B78" s="1570" t="s">
        <v>417</v>
      </c>
      <c r="C78" s="1576">
        <v>488</v>
      </c>
      <c r="D78" s="1576">
        <v>1074</v>
      </c>
      <c r="E78" s="1573">
        <v>1710</v>
      </c>
      <c r="F78" s="1577">
        <v>1259</v>
      </c>
      <c r="G78" s="1573">
        <v>5122</v>
      </c>
      <c r="H78" s="1573">
        <v>3094</v>
      </c>
      <c r="I78" s="1573">
        <v>4411</v>
      </c>
      <c r="J78" s="1573">
        <v>5139</v>
      </c>
      <c r="K78" s="1573">
        <v>6069</v>
      </c>
      <c r="L78" s="1573">
        <v>5726</v>
      </c>
      <c r="M78" s="1573">
        <v>2820</v>
      </c>
      <c r="N78" s="1549">
        <v>2564</v>
      </c>
      <c r="O78" s="1550">
        <v>3120</v>
      </c>
      <c r="P78" s="1551">
        <f t="shared" si="1"/>
        <v>42596</v>
      </c>
    </row>
    <row r="79" spans="1:16" ht="15.95" customHeight="1">
      <c r="A79" s="1587">
        <v>74</v>
      </c>
      <c r="B79" s="1570" t="s">
        <v>418</v>
      </c>
      <c r="C79" s="1575">
        <v>1602</v>
      </c>
      <c r="D79" s="1575">
        <v>2519</v>
      </c>
      <c r="E79" s="1573">
        <v>2607</v>
      </c>
      <c r="F79" s="1573">
        <v>1544</v>
      </c>
      <c r="G79" s="1573">
        <v>3811</v>
      </c>
      <c r="H79" s="1573">
        <v>1994</v>
      </c>
      <c r="I79" s="1573">
        <v>2425</v>
      </c>
      <c r="J79" s="1573">
        <v>2576</v>
      </c>
      <c r="K79" s="1573">
        <v>4302</v>
      </c>
      <c r="L79" s="1573">
        <v>3068</v>
      </c>
      <c r="M79" s="1573">
        <v>1728</v>
      </c>
      <c r="N79" s="1550">
        <v>0</v>
      </c>
      <c r="O79" s="1550">
        <v>0</v>
      </c>
      <c r="P79" s="1551">
        <f t="shared" si="1"/>
        <v>28176</v>
      </c>
    </row>
    <row r="80" spans="1:16" ht="15.95" customHeight="1">
      <c r="A80" s="1587">
        <v>75</v>
      </c>
      <c r="B80" s="1570" t="s">
        <v>419</v>
      </c>
      <c r="C80" s="1576">
        <v>380</v>
      </c>
      <c r="D80" s="1576">
        <v>779</v>
      </c>
      <c r="E80" s="1577">
        <v>1073</v>
      </c>
      <c r="F80" s="1577">
        <v>594</v>
      </c>
      <c r="G80" s="1573">
        <v>1046</v>
      </c>
      <c r="H80" s="1577">
        <v>873</v>
      </c>
      <c r="I80" s="1577">
        <v>864</v>
      </c>
      <c r="J80" s="1577">
        <v>1056</v>
      </c>
      <c r="K80" s="1577">
        <v>1031</v>
      </c>
      <c r="L80" s="1577">
        <v>561</v>
      </c>
      <c r="M80" s="1549">
        <v>0</v>
      </c>
      <c r="N80" s="1549">
        <v>0</v>
      </c>
      <c r="O80" s="1550">
        <v>1355</v>
      </c>
      <c r="P80" s="1551">
        <f t="shared" si="1"/>
        <v>9612</v>
      </c>
    </row>
    <row r="81" spans="1:16" ht="15.95" customHeight="1">
      <c r="A81" s="1587">
        <v>76</v>
      </c>
      <c r="B81" s="1570" t="s">
        <v>420</v>
      </c>
      <c r="C81" s="1576">
        <v>510</v>
      </c>
      <c r="D81" s="1576">
        <v>1139</v>
      </c>
      <c r="E81" s="1573">
        <v>1594</v>
      </c>
      <c r="F81" s="1577">
        <v>848</v>
      </c>
      <c r="G81" s="1573">
        <v>2226</v>
      </c>
      <c r="H81" s="1573">
        <v>1343</v>
      </c>
      <c r="I81" s="1573">
        <v>2150</v>
      </c>
      <c r="J81" s="1573">
        <v>1035</v>
      </c>
      <c r="K81" s="1573">
        <v>3172</v>
      </c>
      <c r="L81" s="1577">
        <v>1506</v>
      </c>
      <c r="M81" s="1549">
        <v>0</v>
      </c>
      <c r="N81" s="1549">
        <v>0</v>
      </c>
      <c r="O81" s="1550">
        <v>0</v>
      </c>
      <c r="P81" s="1551">
        <f t="shared" si="1"/>
        <v>15523</v>
      </c>
    </row>
    <row r="82" spans="1:16" ht="15.95" customHeight="1">
      <c r="A82" s="1587">
        <v>77</v>
      </c>
      <c r="B82" s="1570" t="s">
        <v>421</v>
      </c>
      <c r="C82" s="1575">
        <v>2468</v>
      </c>
      <c r="D82" s="1575">
        <v>4209</v>
      </c>
      <c r="E82" s="1573">
        <v>4689</v>
      </c>
      <c r="F82" s="1573">
        <v>2982</v>
      </c>
      <c r="G82" s="1573">
        <v>6350</v>
      </c>
      <c r="H82" s="1573">
        <v>3565</v>
      </c>
      <c r="I82" s="1573">
        <v>3960</v>
      </c>
      <c r="J82" s="1573">
        <v>5058</v>
      </c>
      <c r="K82" s="1573">
        <v>5476</v>
      </c>
      <c r="L82" s="1573">
        <v>4060</v>
      </c>
      <c r="M82" s="1573">
        <v>2229</v>
      </c>
      <c r="N82" s="1574">
        <v>692</v>
      </c>
      <c r="O82" s="1578">
        <v>6656</v>
      </c>
      <c r="P82" s="1551">
        <f t="shared" si="1"/>
        <v>52394</v>
      </c>
    </row>
    <row r="83" spans="1:16" ht="15.95" customHeight="1">
      <c r="A83" s="1587">
        <v>78</v>
      </c>
      <c r="B83" s="1570" t="s">
        <v>422</v>
      </c>
      <c r="C83" s="1575">
        <v>1960</v>
      </c>
      <c r="D83" s="1575">
        <v>3283</v>
      </c>
      <c r="E83" s="1573">
        <v>3458</v>
      </c>
      <c r="F83" s="1573">
        <v>1958</v>
      </c>
      <c r="G83" s="1573">
        <v>4332</v>
      </c>
      <c r="H83" s="1573">
        <v>2542</v>
      </c>
      <c r="I83" s="1573">
        <v>3089</v>
      </c>
      <c r="J83" s="1573">
        <v>1900</v>
      </c>
      <c r="K83" s="1573">
        <v>4402</v>
      </c>
      <c r="L83" s="1573">
        <v>2376</v>
      </c>
      <c r="M83" s="1573">
        <v>1178</v>
      </c>
      <c r="N83" s="1550">
        <v>1556</v>
      </c>
      <c r="O83" s="1578">
        <v>3762</v>
      </c>
      <c r="P83" s="1551">
        <f t="shared" si="1"/>
        <v>35796</v>
      </c>
    </row>
    <row r="84" spans="1:16" ht="15.95" customHeight="1">
      <c r="A84" s="1587">
        <v>79</v>
      </c>
      <c r="B84" s="1570" t="s">
        <v>423</v>
      </c>
      <c r="C84" s="1576">
        <v>542</v>
      </c>
      <c r="D84" s="1576">
        <v>910</v>
      </c>
      <c r="E84" s="1573">
        <v>1100</v>
      </c>
      <c r="F84" s="1577">
        <v>809</v>
      </c>
      <c r="G84" s="1573">
        <v>1700</v>
      </c>
      <c r="H84" s="1573">
        <v>940</v>
      </c>
      <c r="I84" s="1573">
        <v>1446</v>
      </c>
      <c r="J84" s="1577">
        <v>583</v>
      </c>
      <c r="K84" s="1573">
        <v>2357</v>
      </c>
      <c r="L84" s="1577">
        <v>1664</v>
      </c>
      <c r="M84" s="1549">
        <v>1753</v>
      </c>
      <c r="N84" s="1549">
        <v>0</v>
      </c>
      <c r="O84" s="1550">
        <v>0</v>
      </c>
      <c r="P84" s="1551">
        <f t="shared" si="1"/>
        <v>13804</v>
      </c>
    </row>
    <row r="85" spans="1:16" ht="15.95" customHeight="1">
      <c r="A85" s="1587">
        <v>80</v>
      </c>
      <c r="B85" s="1570" t="s">
        <v>828</v>
      </c>
      <c r="C85" s="1575">
        <v>2374</v>
      </c>
      <c r="D85" s="1575">
        <v>4031</v>
      </c>
      <c r="E85" s="1573">
        <v>4338</v>
      </c>
      <c r="F85" s="1573">
        <v>2991</v>
      </c>
      <c r="G85" s="1573">
        <v>6346</v>
      </c>
      <c r="H85" s="1573">
        <v>4092</v>
      </c>
      <c r="I85" s="1573">
        <v>4430</v>
      </c>
      <c r="J85" s="1573">
        <v>2384</v>
      </c>
      <c r="K85" s="1573">
        <v>8712</v>
      </c>
      <c r="L85" s="1573">
        <v>6113</v>
      </c>
      <c r="M85" s="1573">
        <v>3512</v>
      </c>
      <c r="N85" s="1577">
        <v>0</v>
      </c>
      <c r="O85" s="1550">
        <v>957</v>
      </c>
      <c r="P85" s="1551">
        <f t="shared" si="1"/>
        <v>50280</v>
      </c>
    </row>
    <row r="86" spans="1:16" ht="15.95" customHeight="1">
      <c r="A86" s="1588">
        <v>81</v>
      </c>
      <c r="B86" s="1580" t="s">
        <v>581</v>
      </c>
      <c r="C86" s="1581">
        <v>2550</v>
      </c>
      <c r="D86" s="1581">
        <v>4678</v>
      </c>
      <c r="E86" s="1582">
        <v>5566</v>
      </c>
      <c r="F86" s="1582">
        <v>4026</v>
      </c>
      <c r="G86" s="1582">
        <v>8562</v>
      </c>
      <c r="H86" s="1582">
        <v>5166</v>
      </c>
      <c r="I86" s="1582">
        <v>5570</v>
      </c>
      <c r="J86" s="1582">
        <v>7352</v>
      </c>
      <c r="K86" s="1582">
        <v>12623</v>
      </c>
      <c r="L86" s="1582">
        <v>6508</v>
      </c>
      <c r="M86" s="1583">
        <v>2285</v>
      </c>
      <c r="N86" s="1584">
        <v>719</v>
      </c>
      <c r="O86" s="1584">
        <v>2270</v>
      </c>
      <c r="P86" s="1558">
        <f t="shared" si="1"/>
        <v>67875</v>
      </c>
    </row>
    <row r="87" spans="1:16" ht="19.5" customHeight="1" thickBot="1">
      <c r="A87" s="2038" t="s">
        <v>885</v>
      </c>
      <c r="B87" s="2039"/>
      <c r="C87" s="1585">
        <f t="shared" ref="C87:O87" si="2">SUM(C6:C86)</f>
        <v>623379</v>
      </c>
      <c r="D87" s="1585">
        <f t="shared" si="2"/>
        <v>1087461</v>
      </c>
      <c r="E87" s="1585">
        <f t="shared" si="2"/>
        <v>1254642</v>
      </c>
      <c r="F87" s="1585">
        <f t="shared" si="2"/>
        <v>845266</v>
      </c>
      <c r="G87" s="1585">
        <f t="shared" si="2"/>
        <v>1666099</v>
      </c>
      <c r="H87" s="1585">
        <f t="shared" si="2"/>
        <v>964365</v>
      </c>
      <c r="I87" s="1585">
        <f t="shared" si="2"/>
        <v>1199598</v>
      </c>
      <c r="J87" s="1585">
        <f t="shared" si="2"/>
        <v>1313435</v>
      </c>
      <c r="K87" s="1585">
        <f t="shared" si="2"/>
        <v>1780640</v>
      </c>
      <c r="L87" s="1585">
        <f t="shared" si="2"/>
        <v>1251453</v>
      </c>
      <c r="M87" s="1585">
        <f t="shared" si="2"/>
        <v>580873</v>
      </c>
      <c r="N87" s="1585">
        <f t="shared" si="2"/>
        <v>301063</v>
      </c>
      <c r="O87" s="1585">
        <f t="shared" si="2"/>
        <v>981085</v>
      </c>
      <c r="P87" s="1586">
        <f t="shared" si="1"/>
        <v>13849359</v>
      </c>
    </row>
  </sheetData>
  <mergeCells count="7">
    <mergeCell ref="A1:O1"/>
    <mergeCell ref="A87:B87"/>
    <mergeCell ref="C4:O4"/>
    <mergeCell ref="C3:O3"/>
    <mergeCell ref="A2:M2"/>
    <mergeCell ref="A3:A5"/>
    <mergeCell ref="N2:P2"/>
  </mergeCells>
  <phoneticPr fontId="7" type="noConversion"/>
  <printOptions horizontalCentered="1" verticalCentered="1"/>
  <pageMargins left="0.39370078740157483" right="0" top="0.27559055118110237" bottom="0" header="0" footer="0"/>
  <pageSetup paperSize="9" scale="58" orientation="portrait"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ayfa29">
    <tabColor indexed="33"/>
  </sheetPr>
  <dimension ref="A1:CF98"/>
  <sheetViews>
    <sheetView showGridLines="0" zoomScaleNormal="100" workbookViewId="0">
      <selection activeCell="A3" sqref="A3:A5"/>
    </sheetView>
  </sheetViews>
  <sheetFormatPr defaultRowHeight="14.25"/>
  <cols>
    <col min="1" max="1" width="18.85546875" style="4" customWidth="1"/>
    <col min="2" max="2" width="14.42578125" style="214" customWidth="1"/>
    <col min="3" max="3" width="16.5703125" style="214" customWidth="1"/>
    <col min="4" max="4" width="17.28515625" style="214" customWidth="1"/>
    <col min="5" max="5" width="14.140625" style="214" customWidth="1"/>
    <col min="6" max="6" width="15" style="214" customWidth="1"/>
    <col min="7" max="7" width="16.28515625" style="214" customWidth="1"/>
    <col min="8" max="8" width="14" style="214" customWidth="1"/>
    <col min="9" max="9" width="12.5703125" style="4" bestFit="1" customWidth="1"/>
    <col min="10" max="10" width="15.85546875" style="4" customWidth="1"/>
    <col min="11" max="11" width="14.7109375" style="4" customWidth="1"/>
    <col min="12" max="14" width="11.28515625" style="4" bestFit="1" customWidth="1"/>
    <col min="15" max="15" width="12.5703125" style="4" bestFit="1" customWidth="1"/>
    <col min="16" max="16" width="16" style="4" customWidth="1"/>
    <col min="17" max="17" width="13.85546875" style="4" customWidth="1"/>
    <col min="18" max="18" width="12" style="4" customWidth="1"/>
    <col min="19" max="20" width="12.5703125" style="4" bestFit="1" customWidth="1"/>
    <col min="21" max="21" width="16.140625" style="4" customWidth="1"/>
    <col min="22" max="22" width="16" style="4" customWidth="1"/>
    <col min="23" max="23" width="15.42578125" style="4" customWidth="1"/>
    <col min="24" max="24" width="15.7109375" style="227" customWidth="1"/>
    <col min="25" max="16384" width="9.140625" style="227"/>
  </cols>
  <sheetData>
    <row r="1" spans="1:84" ht="18" customHeight="1">
      <c r="A1" s="53" t="s">
        <v>1087</v>
      </c>
      <c r="Q1" s="4" t="s">
        <v>729</v>
      </c>
    </row>
    <row r="2" spans="1:84" ht="15" customHeight="1" thickBot="1">
      <c r="A2" s="2046" t="s">
        <v>1088</v>
      </c>
      <c r="B2" s="2046"/>
      <c r="C2" s="2046"/>
      <c r="D2" s="2046"/>
      <c r="E2" s="2046"/>
      <c r="F2" s="2046"/>
      <c r="G2" s="2046"/>
      <c r="H2" s="2046"/>
      <c r="I2" s="2046"/>
      <c r="J2" s="2046"/>
      <c r="K2" s="2046"/>
      <c r="L2" s="2046"/>
      <c r="M2" s="2046"/>
      <c r="N2" s="2046"/>
      <c r="O2" s="2046"/>
      <c r="P2" s="2046"/>
      <c r="Q2" s="2046"/>
      <c r="R2" s="2046"/>
      <c r="S2" s="2046"/>
      <c r="T2" s="2046"/>
      <c r="U2" s="2046"/>
      <c r="V2" s="2046"/>
      <c r="W2" s="2046"/>
      <c r="X2" s="842" t="s">
        <v>1175</v>
      </c>
    </row>
    <row r="3" spans="1:84" ht="39" customHeight="1">
      <c r="A3" s="2072" t="s">
        <v>424</v>
      </c>
      <c r="B3" s="2079" t="s">
        <v>1152</v>
      </c>
      <c r="C3" s="2079" t="s">
        <v>50</v>
      </c>
      <c r="D3" s="2079" t="s">
        <v>51</v>
      </c>
      <c r="E3" s="2079" t="s">
        <v>962</v>
      </c>
      <c r="F3" s="2082" t="s">
        <v>513</v>
      </c>
      <c r="G3" s="2047" t="s">
        <v>652</v>
      </c>
      <c r="H3" s="2048"/>
      <c r="I3" s="2048"/>
      <c r="J3" s="2049"/>
      <c r="K3" s="2053" t="s">
        <v>961</v>
      </c>
      <c r="L3" s="2056" t="s">
        <v>254</v>
      </c>
      <c r="M3" s="2056"/>
      <c r="N3" s="2056"/>
      <c r="O3" s="2057"/>
      <c r="P3" s="2060" t="s">
        <v>960</v>
      </c>
      <c r="Q3" s="2063" t="s">
        <v>721</v>
      </c>
      <c r="R3" s="2064"/>
      <c r="S3" s="2064"/>
      <c r="T3" s="2065"/>
      <c r="U3" s="2069" t="s">
        <v>102</v>
      </c>
      <c r="V3" s="2075" t="s">
        <v>1009</v>
      </c>
      <c r="W3" s="2075" t="s">
        <v>1012</v>
      </c>
      <c r="X3" s="2075" t="s">
        <v>1013</v>
      </c>
    </row>
    <row r="4" spans="1:84" ht="18.75" customHeight="1">
      <c r="A4" s="2073"/>
      <c r="B4" s="2080"/>
      <c r="C4" s="2080"/>
      <c r="D4" s="2080"/>
      <c r="E4" s="2080"/>
      <c r="F4" s="2083"/>
      <c r="G4" s="2050"/>
      <c r="H4" s="2051"/>
      <c r="I4" s="2051"/>
      <c r="J4" s="2052"/>
      <c r="K4" s="2054"/>
      <c r="L4" s="2058"/>
      <c r="M4" s="2058"/>
      <c r="N4" s="2058"/>
      <c r="O4" s="2059"/>
      <c r="P4" s="2061"/>
      <c r="Q4" s="2066"/>
      <c r="R4" s="2067"/>
      <c r="S4" s="2067"/>
      <c r="T4" s="2068"/>
      <c r="U4" s="2070"/>
      <c r="V4" s="2076"/>
      <c r="W4" s="2076"/>
      <c r="X4" s="2076"/>
    </row>
    <row r="5" spans="1:84" ht="64.5" customHeight="1" thickBot="1">
      <c r="A5" s="2074"/>
      <c r="B5" s="2081"/>
      <c r="C5" s="2081"/>
      <c r="D5" s="2081"/>
      <c r="E5" s="2081"/>
      <c r="F5" s="2084"/>
      <c r="G5" s="479" t="s">
        <v>1102</v>
      </c>
      <c r="H5" s="479" t="s">
        <v>540</v>
      </c>
      <c r="I5" s="479" t="s">
        <v>1103</v>
      </c>
      <c r="J5" s="480" t="s">
        <v>692</v>
      </c>
      <c r="K5" s="2055"/>
      <c r="L5" s="481" t="s">
        <v>1104</v>
      </c>
      <c r="M5" s="482" t="s">
        <v>540</v>
      </c>
      <c r="N5" s="482" t="s">
        <v>1103</v>
      </c>
      <c r="O5" s="483" t="s">
        <v>692</v>
      </c>
      <c r="P5" s="2062"/>
      <c r="Q5" s="484" t="s">
        <v>1102</v>
      </c>
      <c r="R5" s="485" t="s">
        <v>541</v>
      </c>
      <c r="S5" s="485" t="s">
        <v>1103</v>
      </c>
      <c r="T5" s="486" t="s">
        <v>692</v>
      </c>
      <c r="U5" s="2071"/>
      <c r="V5" s="2077"/>
      <c r="W5" s="2077"/>
      <c r="X5" s="2076"/>
    </row>
    <row r="6" spans="1:84" ht="14.25" customHeight="1">
      <c r="A6" s="487" t="s">
        <v>12</v>
      </c>
      <c r="B6" s="488">
        <v>2201670</v>
      </c>
      <c r="C6" s="488">
        <f t="shared" ref="C6:C37" si="0">+D6+V6</f>
        <v>2165818.8347897553</v>
      </c>
      <c r="D6" s="489">
        <f t="shared" ref="D6:D37" si="1">+J6+O6+T6</f>
        <v>1806243.8347897553</v>
      </c>
      <c r="E6" s="490">
        <f t="shared" ref="E6:E69" si="2">+D6/B6*100</f>
        <v>82.039716887169973</v>
      </c>
      <c r="F6" s="940">
        <f t="shared" ref="F6:F69" si="3">+B6-C6</f>
        <v>35851.165210244711</v>
      </c>
      <c r="G6" s="491">
        <f>+'10.4-a İL DAĞILIM'!C8</f>
        <v>361062</v>
      </c>
      <c r="H6" s="492">
        <f>+'11.4-b-İL-ESNAF'!C6+'12.4-b-İL-TARIM'!C6</f>
        <v>69169</v>
      </c>
      <c r="I6" s="492">
        <f>+'14.4-c İL'!C6</f>
        <v>73663</v>
      </c>
      <c r="J6" s="493">
        <f t="shared" ref="J6:J37" si="4">G6+H6+I6</f>
        <v>503894</v>
      </c>
      <c r="K6" s="494">
        <f t="shared" ref="K6:K37" si="5">+J6/B6*100</f>
        <v>22.886899489932642</v>
      </c>
      <c r="L6" s="492">
        <f>+'10.4-a İL DAĞILIM'!AG8</f>
        <v>198511</v>
      </c>
      <c r="M6" s="492">
        <f>+'11.4-b-İL-ESNAF'!O6+'12.4-b-İL-TARIM'!N6</f>
        <v>60767</v>
      </c>
      <c r="N6" s="492">
        <f>+'14.4-c İL'!V6</f>
        <v>47307</v>
      </c>
      <c r="O6" s="493">
        <f>SUM(L6:N6)</f>
        <v>306585</v>
      </c>
      <c r="P6" s="495">
        <f t="shared" ref="P6:P37" si="6">+O6/B6*100</f>
        <v>13.925111392715531</v>
      </c>
      <c r="Q6" s="496">
        <f>+'10.4-a İL DAĞILIM'!AJ8</f>
        <v>561247.94069521152</v>
      </c>
      <c r="R6" s="496">
        <f>+'11.4-b-İL-ESNAF'!Q6+'12.4-b-İL-TARIM'!P6</f>
        <v>262751.2059829841</v>
      </c>
      <c r="S6" s="496">
        <f>+'14.4-c İL'!Z6</f>
        <v>171765.6881115596</v>
      </c>
      <c r="T6" s="493">
        <f>+S6+R6+Q6</f>
        <v>995764.83478975529</v>
      </c>
      <c r="U6" s="495">
        <f t="shared" ref="U6:U37" si="7">+T6/B6*100</f>
        <v>45.227706004521806</v>
      </c>
      <c r="V6" s="497">
        <f>+W6+X6</f>
        <v>359575</v>
      </c>
      <c r="W6" s="607">
        <v>292838</v>
      </c>
      <c r="X6" s="798">
        <v>66737</v>
      </c>
    </row>
    <row r="7" spans="1:84" ht="14.25" customHeight="1">
      <c r="A7" s="498" t="s">
        <v>440</v>
      </c>
      <c r="B7" s="488">
        <v>610484</v>
      </c>
      <c r="C7" s="488">
        <f t="shared" si="0"/>
        <v>575060.55978475534</v>
      </c>
      <c r="D7" s="489">
        <f>+J7+O7+T7</f>
        <v>394052.55978475534</v>
      </c>
      <c r="E7" s="499">
        <f t="shared" si="2"/>
        <v>64.54756550290513</v>
      </c>
      <c r="F7" s="940">
        <f t="shared" si="3"/>
        <v>35423.440215244656</v>
      </c>
      <c r="G7" s="500">
        <f>+'10.4-a İL DAĞILIM'!C9</f>
        <v>64009</v>
      </c>
      <c r="H7" s="492">
        <f>+'11.4-b-İL-ESNAF'!C7+'12.4-b-İL-TARIM'!C7</f>
        <v>16496</v>
      </c>
      <c r="I7" s="492">
        <f>+'14.4-c İL'!C7</f>
        <v>22826</v>
      </c>
      <c r="J7" s="493">
        <f t="shared" si="4"/>
        <v>103331</v>
      </c>
      <c r="K7" s="501">
        <f t="shared" si="5"/>
        <v>16.926078324739059</v>
      </c>
      <c r="L7" s="492">
        <f>+'10.4-a İL DAĞILIM'!AG9</f>
        <v>19848</v>
      </c>
      <c r="M7" s="492">
        <f>+'11.4-b-İL-ESNAF'!O7+'12.4-b-İL-TARIM'!N7</f>
        <v>19566</v>
      </c>
      <c r="N7" s="492">
        <f>+'14.4-c İL'!V7</f>
        <v>7509</v>
      </c>
      <c r="O7" s="493">
        <f t="shared" ref="O7:O70" si="8">SUM(L7:N7)</f>
        <v>46923</v>
      </c>
      <c r="P7" s="502">
        <f t="shared" si="6"/>
        <v>7.6861965260350802</v>
      </c>
      <c r="Q7" s="492">
        <f>+'10.4-a İL DAĞILIM'!AJ9</f>
        <v>104036.95980276822</v>
      </c>
      <c r="R7" s="492">
        <f>+'11.4-b-İL-ESNAF'!Q7+'12.4-b-İL-TARIM'!P7</f>
        <v>78469.485830160585</v>
      </c>
      <c r="S7" s="492">
        <f>+'14.4-c İL'!Z7</f>
        <v>61292.114151826492</v>
      </c>
      <c r="T7" s="493">
        <f>+S7+R7+Q7</f>
        <v>243798.55978475531</v>
      </c>
      <c r="U7" s="502">
        <f t="shared" si="7"/>
        <v>39.935290652130981</v>
      </c>
      <c r="V7" s="497">
        <f>+W7+X7</f>
        <v>181008</v>
      </c>
      <c r="W7" s="607">
        <v>164936</v>
      </c>
      <c r="X7" s="790">
        <v>16072</v>
      </c>
    </row>
    <row r="8" spans="1:84" ht="14.25" customHeight="1">
      <c r="A8" s="498" t="s">
        <v>13</v>
      </c>
      <c r="B8" s="488">
        <v>714523</v>
      </c>
      <c r="C8" s="488">
        <f t="shared" si="0"/>
        <v>702697.67058008537</v>
      </c>
      <c r="D8" s="489">
        <f t="shared" si="1"/>
        <v>629859.67058008537</v>
      </c>
      <c r="E8" s="499">
        <f t="shared" si="2"/>
        <v>88.151070095726141</v>
      </c>
      <c r="F8" s="940">
        <f t="shared" si="3"/>
        <v>11825.329419914633</v>
      </c>
      <c r="G8" s="500">
        <f>+'10.4-a İL DAĞILIM'!C10</f>
        <v>106411</v>
      </c>
      <c r="H8" s="492">
        <f>+'11.4-b-İL-ESNAF'!C8+'12.4-b-İL-TARIM'!C8</f>
        <v>35447</v>
      </c>
      <c r="I8" s="492">
        <f>+'14.4-c İL'!C8</f>
        <v>27266</v>
      </c>
      <c r="J8" s="493">
        <f t="shared" si="4"/>
        <v>169124</v>
      </c>
      <c r="K8" s="501">
        <f t="shared" si="5"/>
        <v>23.669496993098893</v>
      </c>
      <c r="L8" s="492">
        <f>+'10.4-a İL DAĞILIM'!AG10</f>
        <v>51440</v>
      </c>
      <c r="M8" s="492">
        <f>+'11.4-b-İL-ESNAF'!O8+'12.4-b-İL-TARIM'!N8</f>
        <v>37805</v>
      </c>
      <c r="N8" s="492">
        <f>+'14.4-c İL'!V8</f>
        <v>19149</v>
      </c>
      <c r="O8" s="493">
        <f t="shared" si="8"/>
        <v>108394</v>
      </c>
      <c r="P8" s="502">
        <f t="shared" si="6"/>
        <v>15.170120485974559</v>
      </c>
      <c r="Q8" s="492">
        <f>+'10.4-a İL DAĞILIM'!AJ10</f>
        <v>163953.46725646377</v>
      </c>
      <c r="R8" s="492">
        <f>+'11.4-b-İL-ESNAF'!Q8+'12.4-b-İL-TARIM'!P8</f>
        <v>121906.70839585803</v>
      </c>
      <c r="S8" s="492">
        <f>+'14.4-c İL'!Z8</f>
        <v>66481.494927763502</v>
      </c>
      <c r="T8" s="493">
        <f t="shared" ref="T8:T71" si="9">+S8+R8+Q8</f>
        <v>352341.67058008531</v>
      </c>
      <c r="U8" s="502">
        <f t="shared" si="7"/>
        <v>49.311452616652687</v>
      </c>
      <c r="V8" s="497">
        <f t="shared" ref="V8:V71" si="10">+W8+X8</f>
        <v>72838</v>
      </c>
      <c r="W8" s="607">
        <v>47238</v>
      </c>
      <c r="X8" s="790">
        <v>25600</v>
      </c>
    </row>
    <row r="9" spans="1:84" ht="14.25" customHeight="1">
      <c r="A9" s="498" t="s">
        <v>441</v>
      </c>
      <c r="B9" s="488">
        <v>542255</v>
      </c>
      <c r="C9" s="488">
        <f t="shared" si="0"/>
        <v>516476.46079974237</v>
      </c>
      <c r="D9" s="489">
        <f t="shared" si="1"/>
        <v>271560.46079974237</v>
      </c>
      <c r="E9" s="499">
        <f t="shared" si="2"/>
        <v>50.079844501155804</v>
      </c>
      <c r="F9" s="940">
        <f t="shared" si="3"/>
        <v>25778.539200257626</v>
      </c>
      <c r="G9" s="500">
        <f>+'10.4-a İL DAĞILIM'!C11</f>
        <v>29688</v>
      </c>
      <c r="H9" s="492">
        <f>+'11.4-b-İL-ESNAF'!C9+'12.4-b-İL-TARIM'!C9</f>
        <v>9528</v>
      </c>
      <c r="I9" s="492">
        <f>+'14.4-c İL'!C9</f>
        <v>18294</v>
      </c>
      <c r="J9" s="493">
        <f t="shared" si="4"/>
        <v>57510</v>
      </c>
      <c r="K9" s="501">
        <f t="shared" si="5"/>
        <v>10.605711335072982</v>
      </c>
      <c r="L9" s="492">
        <f>+'10.4-a İL DAĞILIM'!AG11</f>
        <v>6985</v>
      </c>
      <c r="M9" s="492">
        <f>+'11.4-b-İL-ESNAF'!O9+'12.4-b-İL-TARIM'!N9</f>
        <v>8168</v>
      </c>
      <c r="N9" s="492">
        <f>+'14.4-c İL'!V9</f>
        <v>4012</v>
      </c>
      <c r="O9" s="493">
        <f t="shared" si="8"/>
        <v>19165</v>
      </c>
      <c r="P9" s="502">
        <f t="shared" si="6"/>
        <v>3.5343150362836675</v>
      </c>
      <c r="Q9" s="492">
        <f>+'10.4-a İL DAĞILIM'!AJ11</f>
        <v>96680.16</v>
      </c>
      <c r="R9" s="492">
        <f>+'11.4-b-İL-ESNAF'!Q9+'12.4-b-İL-TARIM'!P9</f>
        <v>57341.683015876777</v>
      </c>
      <c r="S9" s="492">
        <f>+'14.4-c İL'!Z9</f>
        <v>40863.617783865615</v>
      </c>
      <c r="T9" s="493">
        <f t="shared" si="9"/>
        <v>194885.4607997424</v>
      </c>
      <c r="U9" s="502">
        <f t="shared" si="7"/>
        <v>35.939818129799157</v>
      </c>
      <c r="V9" s="497">
        <f t="shared" si="10"/>
        <v>244916</v>
      </c>
      <c r="W9" s="607">
        <v>230960</v>
      </c>
      <c r="X9" s="790">
        <v>13956</v>
      </c>
    </row>
    <row r="10" spans="1:84" ht="14.25" customHeight="1">
      <c r="A10" s="498" t="s">
        <v>14</v>
      </c>
      <c r="B10" s="488">
        <v>326351</v>
      </c>
      <c r="C10" s="488">
        <f t="shared" si="0"/>
        <v>324467.22536013677</v>
      </c>
      <c r="D10" s="489">
        <f t="shared" si="1"/>
        <v>294552.22536013677</v>
      </c>
      <c r="E10" s="499">
        <f t="shared" si="2"/>
        <v>90.256265603640486</v>
      </c>
      <c r="F10" s="940">
        <f t="shared" si="3"/>
        <v>1883.7746398632298</v>
      </c>
      <c r="G10" s="500">
        <f>+'10.4-a İL DAĞILIM'!C12</f>
        <v>49542</v>
      </c>
      <c r="H10" s="492">
        <f>+'11.4-b-İL-ESNAF'!C10+'12.4-b-İL-TARIM'!C10</f>
        <v>13327</v>
      </c>
      <c r="I10" s="492">
        <f>+'14.4-c İL'!C10</f>
        <v>16846</v>
      </c>
      <c r="J10" s="493">
        <f t="shared" si="4"/>
        <v>79715</v>
      </c>
      <c r="K10" s="501">
        <f t="shared" si="5"/>
        <v>24.4261546616986</v>
      </c>
      <c r="L10" s="492">
        <f>+'10.4-a İL DAĞILIM'!AG12</f>
        <v>29016</v>
      </c>
      <c r="M10" s="492">
        <f>+'11.4-b-İL-ESNAF'!O10+'12.4-b-İL-TARIM'!N10</f>
        <v>24468</v>
      </c>
      <c r="N10" s="492">
        <f>+'14.4-c İL'!V10</f>
        <v>12090</v>
      </c>
      <c r="O10" s="493">
        <f t="shared" si="8"/>
        <v>65574</v>
      </c>
      <c r="P10" s="502">
        <f t="shared" si="6"/>
        <v>20.093089955293532</v>
      </c>
      <c r="Q10" s="492">
        <f>+'10.4-a İL DAĞILIM'!AJ12</f>
        <v>51524.69</v>
      </c>
      <c r="R10" s="492">
        <f>+'11.4-b-İL-ESNAF'!Q10+'12.4-b-İL-TARIM'!P10</f>
        <v>53154.045625505081</v>
      </c>
      <c r="S10" s="492">
        <f>+'14.4-c İL'!Z10</f>
        <v>44584.489734631701</v>
      </c>
      <c r="T10" s="493">
        <f t="shared" si="9"/>
        <v>149263.22536013677</v>
      </c>
      <c r="U10" s="502">
        <f t="shared" si="7"/>
        <v>45.737020986648353</v>
      </c>
      <c r="V10" s="497">
        <f t="shared" si="10"/>
        <v>29915</v>
      </c>
      <c r="W10" s="607">
        <v>22260</v>
      </c>
      <c r="X10" s="790">
        <v>7655</v>
      </c>
    </row>
    <row r="11" spans="1:84" s="739" customFormat="1" ht="14.25" customHeight="1">
      <c r="A11" s="781" t="s">
        <v>15</v>
      </c>
      <c r="B11" s="782">
        <v>5346518</v>
      </c>
      <c r="C11" s="782">
        <f t="shared" si="0"/>
        <v>5303609.0287628239</v>
      </c>
      <c r="D11" s="783">
        <f t="shared" si="1"/>
        <v>4985267.0287628239</v>
      </c>
      <c r="E11" s="784">
        <f t="shared" si="2"/>
        <v>93.243247825272888</v>
      </c>
      <c r="F11" s="940">
        <f t="shared" si="3"/>
        <v>42908.971237176098</v>
      </c>
      <c r="G11" s="785">
        <f>+'10.4-a İL DAĞILIM'!C13</f>
        <v>1390262</v>
      </c>
      <c r="H11" s="786">
        <f>+'11.4-b-İL-ESNAF'!C11+'12.4-b-İL-TARIM'!C11</f>
        <v>154167</v>
      </c>
      <c r="I11" s="786">
        <f>+'14.4-c İL'!C11</f>
        <v>388254</v>
      </c>
      <c r="J11" s="787">
        <f t="shared" si="4"/>
        <v>1932683</v>
      </c>
      <c r="K11" s="788">
        <f t="shared" si="5"/>
        <v>36.148442780890292</v>
      </c>
      <c r="L11" s="786">
        <f>+'10.4-a İL DAĞILIM'!AG13</f>
        <v>482148</v>
      </c>
      <c r="M11" s="786">
        <f>+'11.4-b-İL-ESNAF'!O11+'12.4-b-İL-TARIM'!N11</f>
        <v>138496</v>
      </c>
      <c r="N11" s="786">
        <f>+'14.4-c İL'!V11</f>
        <v>311187</v>
      </c>
      <c r="O11" s="787">
        <f t="shared" si="8"/>
        <v>931831</v>
      </c>
      <c r="P11" s="789">
        <f t="shared" si="6"/>
        <v>17.428745213239718</v>
      </c>
      <c r="Q11" s="786">
        <f>+'10.4-a İL DAĞILIM'!AJ13</f>
        <v>1218928.5</v>
      </c>
      <c r="R11" s="786">
        <f>+'11.4-b-İL-ESNAF'!Q11+'12.4-b-İL-TARIM'!P11</f>
        <v>363550.66494753968</v>
      </c>
      <c r="S11" s="786">
        <f>+'14.4-c İL'!Z11</f>
        <v>538273.86381528433</v>
      </c>
      <c r="T11" s="787">
        <f t="shared" si="9"/>
        <v>2120753.0287628239</v>
      </c>
      <c r="U11" s="789">
        <f t="shared" si="7"/>
        <v>39.666059831142888</v>
      </c>
      <c r="V11" s="790">
        <f t="shared" si="10"/>
        <v>318342</v>
      </c>
      <c r="W11" s="791">
        <v>183697</v>
      </c>
      <c r="X11" s="790">
        <v>134645</v>
      </c>
    </row>
    <row r="12" spans="1:84" ht="14.25" customHeight="1">
      <c r="A12" s="498" t="s">
        <v>16</v>
      </c>
      <c r="B12" s="488">
        <v>2328555</v>
      </c>
      <c r="C12" s="488">
        <f t="shared" si="0"/>
        <v>2295656.9795849277</v>
      </c>
      <c r="D12" s="489">
        <f t="shared" si="1"/>
        <v>2103798.9795849277</v>
      </c>
      <c r="E12" s="499">
        <f t="shared" si="2"/>
        <v>90.347832865658219</v>
      </c>
      <c r="F12" s="940">
        <f t="shared" si="3"/>
        <v>32898.020415072329</v>
      </c>
      <c r="G12" s="500">
        <f>+'10.4-a İL DAĞILIM'!C14</f>
        <v>536323</v>
      </c>
      <c r="H12" s="492">
        <f>+'11.4-b-İL-ESNAF'!C12+'12.4-b-İL-TARIM'!C12</f>
        <v>130435</v>
      </c>
      <c r="I12" s="492">
        <f>+'14.4-c İL'!C12</f>
        <v>72921</v>
      </c>
      <c r="J12" s="493">
        <f t="shared" si="4"/>
        <v>739679</v>
      </c>
      <c r="K12" s="501">
        <f t="shared" si="5"/>
        <v>31.765579941208173</v>
      </c>
      <c r="L12" s="492">
        <f>+'10.4-a İL DAĞILIM'!AG14</f>
        <v>169160</v>
      </c>
      <c r="M12" s="492">
        <f>+'11.4-b-İL-ESNAF'!O12+'12.4-b-İL-TARIM'!N12</f>
        <v>78576</v>
      </c>
      <c r="N12" s="492">
        <f>+'14.4-c İL'!V12</f>
        <v>68441</v>
      </c>
      <c r="O12" s="493">
        <f t="shared" si="8"/>
        <v>316177</v>
      </c>
      <c r="P12" s="502">
        <f t="shared" si="6"/>
        <v>13.57824917169661</v>
      </c>
      <c r="Q12" s="492">
        <f>+'10.4-a İL DAĞILIM'!AJ14</f>
        <v>598649.16000000015</v>
      </c>
      <c r="R12" s="492">
        <f>+'11.4-b-İL-ESNAF'!Q12+'12.4-b-İL-TARIM'!P12</f>
        <v>287291.2244626499</v>
      </c>
      <c r="S12" s="492">
        <f>+'14.4-c İL'!Z12</f>
        <v>162002.59512227768</v>
      </c>
      <c r="T12" s="493">
        <f t="shared" si="9"/>
        <v>1047942.9795849277</v>
      </c>
      <c r="U12" s="502">
        <f t="shared" si="7"/>
        <v>45.004003752753427</v>
      </c>
      <c r="V12" s="497">
        <f t="shared" si="10"/>
        <v>191858</v>
      </c>
      <c r="W12" s="607">
        <v>103659</v>
      </c>
      <c r="X12" s="790">
        <v>88199</v>
      </c>
    </row>
    <row r="13" spans="1:84" s="739" customFormat="1" ht="14.25" customHeight="1">
      <c r="A13" s="781" t="s">
        <v>453</v>
      </c>
      <c r="B13" s="782">
        <v>168068</v>
      </c>
      <c r="C13" s="782">
        <f t="shared" si="0"/>
        <v>157671.54344774591</v>
      </c>
      <c r="D13" s="783">
        <f t="shared" si="1"/>
        <v>139639.54344774591</v>
      </c>
      <c r="E13" s="784">
        <f t="shared" si="2"/>
        <v>83.085146159736482</v>
      </c>
      <c r="F13" s="940">
        <f t="shared" si="3"/>
        <v>10396.456552254094</v>
      </c>
      <c r="G13" s="785">
        <f>+'10.4-a İL DAĞILIM'!C15</f>
        <v>28201</v>
      </c>
      <c r="H13" s="786">
        <f>+'11.4-b-İL-ESNAF'!C13+'12.4-b-İL-TARIM'!C13</f>
        <v>5754</v>
      </c>
      <c r="I13" s="786">
        <f>+'14.4-c İL'!C13</f>
        <v>9418</v>
      </c>
      <c r="J13" s="787">
        <f t="shared" si="4"/>
        <v>43373</v>
      </c>
      <c r="K13" s="788">
        <f t="shared" si="5"/>
        <v>25.806816288645074</v>
      </c>
      <c r="L13" s="786">
        <f>+'10.4-a İL DAĞILIM'!AG15</f>
        <v>22423</v>
      </c>
      <c r="M13" s="786">
        <f>+'11.4-b-İL-ESNAF'!O13+'12.4-b-İL-TARIM'!N13</f>
        <v>7017</v>
      </c>
      <c r="N13" s="786">
        <f>+'14.4-c İL'!V13</f>
        <v>6037</v>
      </c>
      <c r="O13" s="787">
        <f t="shared" si="8"/>
        <v>35477</v>
      </c>
      <c r="P13" s="789">
        <f t="shared" si="6"/>
        <v>21.108717899897663</v>
      </c>
      <c r="Q13" s="786">
        <f>+'10.4-a İL DAĞILIM'!AJ15</f>
        <v>32062.75</v>
      </c>
      <c r="R13" s="786">
        <f>+'11.4-b-İL-ESNAF'!Q13+'12.4-b-İL-TARIM'!P13</f>
        <v>13103.890371410738</v>
      </c>
      <c r="S13" s="786">
        <f>+'14.4-c İL'!Z13</f>
        <v>15622.903076335151</v>
      </c>
      <c r="T13" s="787">
        <f t="shared" si="9"/>
        <v>60789.543447745891</v>
      </c>
      <c r="U13" s="789">
        <f t="shared" si="7"/>
        <v>36.169611971193738</v>
      </c>
      <c r="V13" s="790">
        <f t="shared" si="10"/>
        <v>18032</v>
      </c>
      <c r="W13" s="791">
        <v>14060</v>
      </c>
      <c r="X13" s="790">
        <v>3972</v>
      </c>
    </row>
    <row r="14" spans="1:84" ht="14.25" customHeight="1">
      <c r="A14" s="498" t="s">
        <v>552</v>
      </c>
      <c r="B14" s="488">
        <v>1068260</v>
      </c>
      <c r="C14" s="488">
        <f t="shared" si="0"/>
        <v>1065287.8906577067</v>
      </c>
      <c r="D14" s="489">
        <f t="shared" si="1"/>
        <v>950893.89065770677</v>
      </c>
      <c r="E14" s="499">
        <f t="shared" si="2"/>
        <v>89.013338574664104</v>
      </c>
      <c r="F14" s="940">
        <f t="shared" si="3"/>
        <v>2972.1093422933482</v>
      </c>
      <c r="G14" s="500">
        <f>+'10.4-a İL DAĞILIM'!C16</f>
        <v>180649</v>
      </c>
      <c r="H14" s="492">
        <f>+'11.4-b-İL-ESNAF'!C14+'12.4-b-İL-TARIM'!C14</f>
        <v>57631</v>
      </c>
      <c r="I14" s="492">
        <f>+'14.4-c İL'!C14</f>
        <v>37665</v>
      </c>
      <c r="J14" s="493">
        <f t="shared" si="4"/>
        <v>275945</v>
      </c>
      <c r="K14" s="501">
        <f t="shared" si="5"/>
        <v>25.831258307902573</v>
      </c>
      <c r="L14" s="492">
        <f>+'10.4-a İL DAĞILIM'!AG16</f>
        <v>108794</v>
      </c>
      <c r="M14" s="492">
        <f>+'11.4-b-İL-ESNAF'!O14+'12.4-b-İL-TARIM'!N14</f>
        <v>58026</v>
      </c>
      <c r="N14" s="492">
        <f>+'14.4-c İL'!V14</f>
        <v>38264</v>
      </c>
      <c r="O14" s="493">
        <f t="shared" si="8"/>
        <v>205084</v>
      </c>
      <c r="P14" s="502">
        <f t="shared" si="6"/>
        <v>19.197948065077792</v>
      </c>
      <c r="Q14" s="492">
        <f>+'10.4-a İL DAĞILIM'!AJ16</f>
        <v>208022.19</v>
      </c>
      <c r="R14" s="492">
        <f>+'11.4-b-İL-ESNAF'!Q14+'12.4-b-İL-TARIM'!P14</f>
        <v>177147.41820071606</v>
      </c>
      <c r="S14" s="492">
        <f>+'14.4-c İL'!Z14</f>
        <v>84695.282456990681</v>
      </c>
      <c r="T14" s="493">
        <f t="shared" si="9"/>
        <v>469864.89065770677</v>
      </c>
      <c r="U14" s="502">
        <f t="shared" si="7"/>
        <v>43.984132201683742</v>
      </c>
      <c r="V14" s="497">
        <f t="shared" si="10"/>
        <v>114394</v>
      </c>
      <c r="W14" s="607">
        <v>75872</v>
      </c>
      <c r="X14" s="790">
        <v>38522</v>
      </c>
    </row>
    <row r="15" spans="1:84" s="503" customFormat="1" ht="14.25" customHeight="1">
      <c r="A15" s="498" t="s">
        <v>553</v>
      </c>
      <c r="B15" s="488">
        <v>1196176</v>
      </c>
      <c r="C15" s="488">
        <f t="shared" si="0"/>
        <v>1189595.2362752357</v>
      </c>
      <c r="D15" s="489">
        <f t="shared" si="1"/>
        <v>1095321.2362752357</v>
      </c>
      <c r="E15" s="499">
        <f t="shared" si="2"/>
        <v>91.56856819357985</v>
      </c>
      <c r="F15" s="940">
        <f t="shared" si="3"/>
        <v>6580.7637247643434</v>
      </c>
      <c r="G15" s="500">
        <f>+'10.4-a İL DAĞILIM'!C17</f>
        <v>196603</v>
      </c>
      <c r="H15" s="492">
        <f>+'11.4-b-İL-ESNAF'!C15+'12.4-b-İL-TARIM'!C15</f>
        <v>60038</v>
      </c>
      <c r="I15" s="492">
        <f>+'14.4-c İL'!C15</f>
        <v>46821</v>
      </c>
      <c r="J15" s="493">
        <f t="shared" si="4"/>
        <v>303462</v>
      </c>
      <c r="K15" s="501">
        <f t="shared" si="5"/>
        <v>25.36934364173834</v>
      </c>
      <c r="L15" s="492">
        <f>+'10.4-a İL DAĞILIM'!AG17</f>
        <v>144928</v>
      </c>
      <c r="M15" s="492">
        <f>+'11.4-b-İL-ESNAF'!O15+'12.4-b-İL-TARIM'!N15</f>
        <v>68503</v>
      </c>
      <c r="N15" s="492">
        <f>+'14.4-c İL'!V15</f>
        <v>54313</v>
      </c>
      <c r="O15" s="493">
        <f t="shared" si="8"/>
        <v>267744</v>
      </c>
      <c r="P15" s="502">
        <f t="shared" si="6"/>
        <v>22.383328205882748</v>
      </c>
      <c r="Q15" s="492">
        <f>+'10.4-a İL DAĞILIM'!AJ17</f>
        <v>224968.14000000013</v>
      </c>
      <c r="R15" s="492">
        <f>+'11.4-b-İL-ESNAF'!Q15+'12.4-b-İL-TARIM'!P15</f>
        <v>183603.13771694893</v>
      </c>
      <c r="S15" s="492">
        <f>+'14.4-c İL'!Z15</f>
        <v>115543.95855828671</v>
      </c>
      <c r="T15" s="493">
        <f t="shared" si="9"/>
        <v>524115.23627523577</v>
      </c>
      <c r="U15" s="502">
        <f t="shared" si="7"/>
        <v>43.81589634595877</v>
      </c>
      <c r="V15" s="497">
        <f t="shared" si="10"/>
        <v>94274</v>
      </c>
      <c r="W15" s="607">
        <v>64106</v>
      </c>
      <c r="X15" s="790">
        <v>30168</v>
      </c>
      <c r="Y15" s="227"/>
      <c r="Z15" s="227"/>
      <c r="AA15" s="227"/>
      <c r="AB15" s="227"/>
      <c r="AC15" s="227"/>
      <c r="AD15" s="227"/>
      <c r="AE15" s="227"/>
      <c r="AF15" s="227"/>
      <c r="AG15" s="227"/>
      <c r="AH15" s="227"/>
      <c r="AI15" s="227"/>
      <c r="AJ15" s="227"/>
      <c r="AK15" s="227"/>
      <c r="AL15" s="227"/>
      <c r="AM15" s="227"/>
      <c r="AN15" s="227"/>
      <c r="AO15" s="227"/>
      <c r="AP15" s="227"/>
      <c r="AQ15" s="227"/>
      <c r="AR15" s="227"/>
      <c r="AS15" s="227"/>
      <c r="AT15" s="227"/>
      <c r="AU15" s="227"/>
      <c r="AV15" s="227"/>
      <c r="AW15" s="227"/>
      <c r="AX15" s="227"/>
      <c r="AY15" s="227"/>
      <c r="AZ15" s="227"/>
      <c r="BA15" s="227"/>
      <c r="BB15" s="227"/>
      <c r="BC15" s="227"/>
      <c r="BD15" s="227"/>
      <c r="BE15" s="227"/>
      <c r="BF15" s="227"/>
      <c r="BG15" s="227"/>
      <c r="BH15" s="227"/>
      <c r="BI15" s="227"/>
      <c r="BJ15" s="227"/>
      <c r="BK15" s="227"/>
      <c r="BL15" s="227"/>
      <c r="BM15" s="227"/>
      <c r="BN15" s="227"/>
      <c r="BO15" s="227"/>
      <c r="BP15" s="227"/>
      <c r="BQ15" s="227"/>
      <c r="BR15" s="227"/>
      <c r="BS15" s="227"/>
      <c r="BT15" s="227"/>
      <c r="BU15" s="227"/>
      <c r="BV15" s="227"/>
      <c r="BW15" s="227"/>
      <c r="BX15" s="227"/>
      <c r="BY15" s="227"/>
      <c r="BZ15" s="227"/>
      <c r="CA15" s="227"/>
      <c r="CB15" s="227"/>
      <c r="CC15" s="227"/>
      <c r="CD15" s="227"/>
      <c r="CE15" s="227"/>
      <c r="CF15" s="227"/>
    </row>
    <row r="16" spans="1:84" ht="14.25" customHeight="1">
      <c r="A16" s="498" t="s">
        <v>454</v>
      </c>
      <c r="B16" s="488">
        <v>218297</v>
      </c>
      <c r="C16" s="488">
        <f t="shared" si="0"/>
        <v>214254.82399331534</v>
      </c>
      <c r="D16" s="489">
        <f t="shared" si="1"/>
        <v>199715.82399331534</v>
      </c>
      <c r="E16" s="499">
        <f t="shared" si="2"/>
        <v>91.488121226272156</v>
      </c>
      <c r="F16" s="940">
        <f t="shared" si="3"/>
        <v>4042.1760066846618</v>
      </c>
      <c r="G16" s="500">
        <f>+'10.4-a İL DAĞILIM'!C18</f>
        <v>48213</v>
      </c>
      <c r="H16" s="492">
        <f>+'11.4-b-İL-ESNAF'!C16+'12.4-b-İL-TARIM'!C16</f>
        <v>6305</v>
      </c>
      <c r="I16" s="492">
        <f>+'14.4-c İL'!C16</f>
        <v>8864</v>
      </c>
      <c r="J16" s="493">
        <f t="shared" si="4"/>
        <v>63382</v>
      </c>
      <c r="K16" s="501">
        <f t="shared" si="5"/>
        <v>29.034755402044006</v>
      </c>
      <c r="L16" s="492">
        <f>+'10.4-a İL DAĞILIM'!AG18</f>
        <v>26409</v>
      </c>
      <c r="M16" s="492">
        <f>+'11.4-b-İL-ESNAF'!O16+'12.4-b-İL-TARIM'!N16</f>
        <v>9202</v>
      </c>
      <c r="N16" s="492">
        <f>+'14.4-c İL'!V16</f>
        <v>5922</v>
      </c>
      <c r="O16" s="493">
        <f t="shared" si="8"/>
        <v>41533</v>
      </c>
      <c r="P16" s="502">
        <f t="shared" si="6"/>
        <v>19.025914236109521</v>
      </c>
      <c r="Q16" s="492">
        <f>+'10.4-a İL DAĞILIM'!AJ18</f>
        <v>61169.399999999965</v>
      </c>
      <c r="R16" s="492">
        <f>+'11.4-b-İL-ESNAF'!Q16+'12.4-b-İL-TARIM'!P16</f>
        <v>18757.377039130191</v>
      </c>
      <c r="S16" s="492">
        <f>+'14.4-c İL'!Z16</f>
        <v>14874.046954185163</v>
      </c>
      <c r="T16" s="493">
        <f t="shared" si="9"/>
        <v>94800.823993315324</v>
      </c>
      <c r="U16" s="502">
        <f t="shared" si="7"/>
        <v>43.427451588118629</v>
      </c>
      <c r="V16" s="497">
        <f t="shared" si="10"/>
        <v>14539</v>
      </c>
      <c r="W16" s="607">
        <v>9153</v>
      </c>
      <c r="X16" s="790">
        <v>5386</v>
      </c>
    </row>
    <row r="17" spans="1:24" ht="14.25" customHeight="1">
      <c r="A17" s="498" t="s">
        <v>455</v>
      </c>
      <c r="B17" s="488">
        <v>269560</v>
      </c>
      <c r="C17" s="488">
        <f t="shared" si="0"/>
        <v>256582.62210870313</v>
      </c>
      <c r="D17" s="489">
        <f t="shared" si="1"/>
        <v>174601.62210870313</v>
      </c>
      <c r="E17" s="499">
        <f t="shared" si="2"/>
        <v>64.772823159483281</v>
      </c>
      <c r="F17" s="940">
        <f t="shared" si="3"/>
        <v>12977.37789129687</v>
      </c>
      <c r="G17" s="500">
        <f>+'10.4-a İL DAĞILIM'!C19</f>
        <v>33074</v>
      </c>
      <c r="H17" s="492">
        <f>+'11.4-b-İL-ESNAF'!C17+'12.4-b-İL-TARIM'!C17</f>
        <v>4251</v>
      </c>
      <c r="I17" s="492">
        <f>+'14.4-c İL'!C17</f>
        <v>14884</v>
      </c>
      <c r="J17" s="493">
        <f t="shared" si="4"/>
        <v>52209</v>
      </c>
      <c r="K17" s="501">
        <f t="shared" si="5"/>
        <v>19.368229707671762</v>
      </c>
      <c r="L17" s="492">
        <f>+'10.4-a İL DAĞILIM'!AG19</f>
        <v>6782</v>
      </c>
      <c r="M17" s="492">
        <f>+'11.4-b-İL-ESNAF'!O17+'12.4-b-İL-TARIM'!N17</f>
        <v>4977</v>
      </c>
      <c r="N17" s="492">
        <f>+'14.4-c İL'!V17</f>
        <v>4547</v>
      </c>
      <c r="O17" s="493">
        <f t="shared" si="8"/>
        <v>16306</v>
      </c>
      <c r="P17" s="502">
        <f t="shared" si="6"/>
        <v>6.0491170796854137</v>
      </c>
      <c r="Q17" s="492">
        <f>+'10.4-a İL DAĞILIM'!AJ19</f>
        <v>40256.570000000007</v>
      </c>
      <c r="R17" s="492">
        <f>+'11.4-b-İL-ESNAF'!Q17+'12.4-b-İL-TARIM'!P17</f>
        <v>26635.987295965442</v>
      </c>
      <c r="S17" s="492">
        <f>+'14.4-c İL'!Z17</f>
        <v>39194.06481273767</v>
      </c>
      <c r="T17" s="493">
        <f t="shared" si="9"/>
        <v>106086.62210870312</v>
      </c>
      <c r="U17" s="502">
        <f t="shared" si="7"/>
        <v>39.355476372126105</v>
      </c>
      <c r="V17" s="497">
        <f t="shared" si="10"/>
        <v>81981</v>
      </c>
      <c r="W17" s="607">
        <v>74741</v>
      </c>
      <c r="X17" s="790">
        <v>7240</v>
      </c>
    </row>
    <row r="18" spans="1:24" ht="14.25" customHeight="1">
      <c r="A18" s="498" t="s">
        <v>678</v>
      </c>
      <c r="B18" s="488">
        <v>341225</v>
      </c>
      <c r="C18" s="488">
        <f t="shared" si="0"/>
        <v>314514.48645056598</v>
      </c>
      <c r="D18" s="489">
        <f t="shared" si="1"/>
        <v>197650.48645056598</v>
      </c>
      <c r="E18" s="499">
        <f t="shared" si="2"/>
        <v>57.92379997085969</v>
      </c>
      <c r="F18" s="940">
        <f t="shared" si="3"/>
        <v>26710.513549434021</v>
      </c>
      <c r="G18" s="500">
        <f>+'10.4-a İL DAĞILIM'!C20</f>
        <v>27193</v>
      </c>
      <c r="H18" s="492">
        <f>+'11.4-b-İL-ESNAF'!C18+'12.4-b-İL-TARIM'!C18</f>
        <v>7884</v>
      </c>
      <c r="I18" s="492">
        <f>+'14.4-c İL'!C18</f>
        <v>15140</v>
      </c>
      <c r="J18" s="493">
        <f t="shared" si="4"/>
        <v>50217</v>
      </c>
      <c r="K18" s="501">
        <f t="shared" si="5"/>
        <v>14.716682540845483</v>
      </c>
      <c r="L18" s="492">
        <f>+'10.4-a İL DAĞILIM'!AG20</f>
        <v>6137</v>
      </c>
      <c r="M18" s="492">
        <f>+'11.4-b-İL-ESNAF'!O18+'12.4-b-İL-TARIM'!N18</f>
        <v>7536</v>
      </c>
      <c r="N18" s="492">
        <f>+'14.4-c İL'!V18</f>
        <v>5240</v>
      </c>
      <c r="O18" s="493">
        <f t="shared" si="8"/>
        <v>18913</v>
      </c>
      <c r="P18" s="502">
        <f t="shared" si="6"/>
        <v>5.5426771192028719</v>
      </c>
      <c r="Q18" s="492">
        <f>+'10.4-a İL DAĞILIM'!AJ20</f>
        <v>49005.279999999999</v>
      </c>
      <c r="R18" s="492">
        <f>+'11.4-b-İL-ESNAF'!Q18+'12.4-b-İL-TARIM'!P18</f>
        <v>39325.377284315822</v>
      </c>
      <c r="S18" s="492">
        <f>+'14.4-c İL'!Z18</f>
        <v>40189.829166250158</v>
      </c>
      <c r="T18" s="493">
        <f t="shared" si="9"/>
        <v>128520.48645056598</v>
      </c>
      <c r="U18" s="502">
        <f t="shared" si="7"/>
        <v>37.664440310811337</v>
      </c>
      <c r="V18" s="497">
        <f t="shared" si="10"/>
        <v>116864</v>
      </c>
      <c r="W18" s="607">
        <v>108853</v>
      </c>
      <c r="X18" s="790">
        <v>8011</v>
      </c>
    </row>
    <row r="19" spans="1:24" ht="14.25" customHeight="1">
      <c r="A19" s="498" t="s">
        <v>679</v>
      </c>
      <c r="B19" s="488">
        <v>299896</v>
      </c>
      <c r="C19" s="488">
        <f t="shared" si="0"/>
        <v>296426.2234711232</v>
      </c>
      <c r="D19" s="489">
        <f t="shared" si="1"/>
        <v>279221.2234711232</v>
      </c>
      <c r="E19" s="499">
        <f t="shared" si="2"/>
        <v>93.106017909916503</v>
      </c>
      <c r="F19" s="940">
        <f t="shared" si="3"/>
        <v>3469.7765288767987</v>
      </c>
      <c r="G19" s="500">
        <f>+'10.4-a İL DAĞILIM'!C21</f>
        <v>62387</v>
      </c>
      <c r="H19" s="492">
        <f>+'11.4-b-İL-ESNAF'!C19+'12.4-b-İL-TARIM'!C19</f>
        <v>10756</v>
      </c>
      <c r="I19" s="492">
        <f>+'14.4-c İL'!C19</f>
        <v>15234</v>
      </c>
      <c r="J19" s="493">
        <f t="shared" si="4"/>
        <v>88377</v>
      </c>
      <c r="K19" s="501">
        <f t="shared" si="5"/>
        <v>29.469215994878223</v>
      </c>
      <c r="L19" s="492">
        <f>+'10.4-a İL DAĞILIM'!AG21</f>
        <v>31183</v>
      </c>
      <c r="M19" s="492">
        <f>+'11.4-b-İL-ESNAF'!O19+'12.4-b-İL-TARIM'!N19</f>
        <v>13120</v>
      </c>
      <c r="N19" s="492">
        <f>+'14.4-c İL'!V19</f>
        <v>10824</v>
      </c>
      <c r="O19" s="493">
        <f t="shared" si="8"/>
        <v>55127</v>
      </c>
      <c r="P19" s="502">
        <f t="shared" si="6"/>
        <v>18.382039106890389</v>
      </c>
      <c r="Q19" s="492">
        <f>+'10.4-a İL DAĞILIM'!AJ21</f>
        <v>77812.899999999994</v>
      </c>
      <c r="R19" s="492">
        <f>+'11.4-b-İL-ESNAF'!Q19+'12.4-b-İL-TARIM'!P19</f>
        <v>32216.974962876138</v>
      </c>
      <c r="S19" s="492">
        <f>+'14.4-c İL'!Z19</f>
        <v>25687.348508247058</v>
      </c>
      <c r="T19" s="493">
        <f t="shared" si="9"/>
        <v>135717.2234711232</v>
      </c>
      <c r="U19" s="502">
        <f t="shared" si="7"/>
        <v>45.254762808147895</v>
      </c>
      <c r="V19" s="497">
        <f t="shared" si="10"/>
        <v>17205</v>
      </c>
      <c r="W19" s="607">
        <v>9768</v>
      </c>
      <c r="X19" s="790">
        <v>7437</v>
      </c>
    </row>
    <row r="20" spans="1:24" ht="14.25" customHeight="1">
      <c r="A20" s="498" t="s">
        <v>680</v>
      </c>
      <c r="B20" s="488">
        <v>261401</v>
      </c>
      <c r="C20" s="488">
        <f t="shared" si="0"/>
        <v>257619.03933723376</v>
      </c>
      <c r="D20" s="489">
        <f t="shared" si="1"/>
        <v>235807.03933723376</v>
      </c>
      <c r="E20" s="499">
        <f t="shared" si="2"/>
        <v>90.208927791872924</v>
      </c>
      <c r="F20" s="940">
        <f t="shared" si="3"/>
        <v>3781.9606627662433</v>
      </c>
      <c r="G20" s="500">
        <f>+'10.4-a İL DAĞILIM'!C22</f>
        <v>42189</v>
      </c>
      <c r="H20" s="492">
        <f>+'11.4-b-İL-ESNAF'!C20+'12.4-b-İL-TARIM'!C20</f>
        <v>16084</v>
      </c>
      <c r="I20" s="492">
        <f>+'14.4-c İL'!C20</f>
        <v>12477</v>
      </c>
      <c r="J20" s="493">
        <f t="shared" si="4"/>
        <v>70750</v>
      </c>
      <c r="K20" s="501">
        <f t="shared" si="5"/>
        <v>27.065695999632748</v>
      </c>
      <c r="L20" s="492">
        <f>+'10.4-a İL DAĞILIM'!AG22</f>
        <v>25253</v>
      </c>
      <c r="M20" s="492">
        <f>+'11.4-b-İL-ESNAF'!O20+'12.4-b-İL-TARIM'!N20</f>
        <v>20582</v>
      </c>
      <c r="N20" s="492">
        <f>+'14.4-c İL'!V20</f>
        <v>9460</v>
      </c>
      <c r="O20" s="493">
        <f t="shared" si="8"/>
        <v>55295</v>
      </c>
      <c r="P20" s="502">
        <f t="shared" si="6"/>
        <v>21.153323820490357</v>
      </c>
      <c r="Q20" s="492">
        <f>+'10.4-a İL DAĞILIM'!AJ22</f>
        <v>38735.910000000003</v>
      </c>
      <c r="R20" s="492">
        <f>+'11.4-b-İL-ESNAF'!Q20+'12.4-b-İL-TARIM'!P20</f>
        <v>42090.56709546483</v>
      </c>
      <c r="S20" s="492">
        <f>+'14.4-c İL'!Z20</f>
        <v>28935.562241768937</v>
      </c>
      <c r="T20" s="493">
        <f t="shared" si="9"/>
        <v>109762.03933723377</v>
      </c>
      <c r="U20" s="502">
        <f t="shared" si="7"/>
        <v>41.98990797174983</v>
      </c>
      <c r="V20" s="497">
        <f t="shared" si="10"/>
        <v>21812</v>
      </c>
      <c r="W20" s="607">
        <v>13421</v>
      </c>
      <c r="X20" s="790">
        <v>8391</v>
      </c>
    </row>
    <row r="21" spans="1:24" s="739" customFormat="1" ht="14.25" customHeight="1">
      <c r="A21" s="781" t="s">
        <v>681</v>
      </c>
      <c r="B21" s="782">
        <v>2901396</v>
      </c>
      <c r="C21" s="782">
        <f t="shared" si="0"/>
        <v>2882437.1151966103</v>
      </c>
      <c r="D21" s="783">
        <f t="shared" si="1"/>
        <v>2697017.1151966103</v>
      </c>
      <c r="E21" s="784">
        <f t="shared" si="2"/>
        <v>92.955843159520811</v>
      </c>
      <c r="F21" s="940">
        <f t="shared" si="3"/>
        <v>18958.884803389665</v>
      </c>
      <c r="G21" s="785">
        <f>+'10.4-a İL DAĞILIM'!C23</f>
        <v>739923</v>
      </c>
      <c r="H21" s="786">
        <f>+'11.4-b-İL-ESNAF'!C21+'12.4-b-İL-TARIM'!C21</f>
        <v>104634</v>
      </c>
      <c r="I21" s="786">
        <f>+'14.4-c İL'!C21</f>
        <v>78353</v>
      </c>
      <c r="J21" s="787">
        <f t="shared" si="4"/>
        <v>922910</v>
      </c>
      <c r="K21" s="788">
        <f t="shared" si="5"/>
        <v>31.809170482071391</v>
      </c>
      <c r="L21" s="786">
        <f>+'10.4-a İL DAĞILIM'!AG23</f>
        <v>343447</v>
      </c>
      <c r="M21" s="786">
        <f>+'11.4-b-İL-ESNAF'!O21+'12.4-b-İL-TARIM'!N21</f>
        <v>90535</v>
      </c>
      <c r="N21" s="786">
        <f>+'14.4-c İL'!V21</f>
        <v>65635</v>
      </c>
      <c r="O21" s="787">
        <f t="shared" si="8"/>
        <v>499617</v>
      </c>
      <c r="P21" s="789">
        <f t="shared" si="6"/>
        <v>17.219883118333382</v>
      </c>
      <c r="Q21" s="786">
        <f>+'10.4-a İL DAĞILIM'!AJ23</f>
        <v>781503.60199999996</v>
      </c>
      <c r="R21" s="786">
        <f>+'11.4-b-İL-ESNAF'!Q21+'12.4-b-İL-TARIM'!P21</f>
        <v>301777.10740108707</v>
      </c>
      <c r="S21" s="786">
        <f>+'14.4-c İL'!Z21</f>
        <v>191209.4057955232</v>
      </c>
      <c r="T21" s="787">
        <f t="shared" si="9"/>
        <v>1274490.1151966103</v>
      </c>
      <c r="U21" s="789">
        <f t="shared" si="7"/>
        <v>43.926789559116038</v>
      </c>
      <c r="V21" s="790">
        <f t="shared" si="10"/>
        <v>185420</v>
      </c>
      <c r="W21" s="791">
        <v>105496</v>
      </c>
      <c r="X21" s="790">
        <v>79924</v>
      </c>
    </row>
    <row r="22" spans="1:24" ht="14.25" customHeight="1">
      <c r="A22" s="498" t="s">
        <v>742</v>
      </c>
      <c r="B22" s="488">
        <v>519793</v>
      </c>
      <c r="C22" s="488">
        <f t="shared" si="0"/>
        <v>511946.49610766745</v>
      </c>
      <c r="D22" s="489">
        <f t="shared" si="1"/>
        <v>472807.49610766745</v>
      </c>
      <c r="E22" s="499">
        <f t="shared" si="2"/>
        <v>90.960727848906672</v>
      </c>
      <c r="F22" s="940">
        <f t="shared" si="3"/>
        <v>7846.5038923325483</v>
      </c>
      <c r="G22" s="500">
        <f>+'10.4-a İL DAĞILIM'!C24</f>
        <v>96075</v>
      </c>
      <c r="H22" s="492">
        <f>+'11.4-b-İL-ESNAF'!C22+'12.4-b-İL-TARIM'!C22</f>
        <v>27902</v>
      </c>
      <c r="I22" s="492">
        <f>+'14.4-c İL'!C22</f>
        <v>23604</v>
      </c>
      <c r="J22" s="493">
        <f t="shared" si="4"/>
        <v>147581</v>
      </c>
      <c r="K22" s="501">
        <f t="shared" si="5"/>
        <v>28.392263843491545</v>
      </c>
      <c r="L22" s="492">
        <f>+'10.4-a İL DAĞILIM'!AG24</f>
        <v>56398</v>
      </c>
      <c r="M22" s="492">
        <f>+'11.4-b-İL-ESNAF'!O22+'12.4-b-İL-TARIM'!N22</f>
        <v>36873</v>
      </c>
      <c r="N22" s="492">
        <f>+'14.4-c İL'!V22</f>
        <v>22101</v>
      </c>
      <c r="O22" s="493">
        <f t="shared" si="8"/>
        <v>115372</v>
      </c>
      <c r="P22" s="502">
        <f t="shared" si="6"/>
        <v>22.195758696250238</v>
      </c>
      <c r="Q22" s="492">
        <f>+'10.4-a İL DAĞILIM'!AJ24</f>
        <v>92562.312673838984</v>
      </c>
      <c r="R22" s="492">
        <f>+'11.4-b-İL-ESNAF'!Q22+'12.4-b-İL-TARIM'!P22</f>
        <v>65805.748369275127</v>
      </c>
      <c r="S22" s="492">
        <f>+'14.4-c İL'!Z22</f>
        <v>51486.43506455337</v>
      </c>
      <c r="T22" s="493">
        <f t="shared" si="9"/>
        <v>209854.49610766748</v>
      </c>
      <c r="U22" s="502">
        <f t="shared" si="7"/>
        <v>40.3727053091649</v>
      </c>
      <c r="V22" s="497">
        <f t="shared" si="10"/>
        <v>39139</v>
      </c>
      <c r="W22" s="607">
        <v>25010</v>
      </c>
      <c r="X22" s="790">
        <v>14129</v>
      </c>
    </row>
    <row r="23" spans="1:24" ht="14.25" customHeight="1">
      <c r="A23" s="498" t="s">
        <v>554</v>
      </c>
      <c r="B23" s="488">
        <v>183880</v>
      </c>
      <c r="C23" s="488">
        <f t="shared" si="0"/>
        <v>172664.63790201413</v>
      </c>
      <c r="D23" s="489">
        <f t="shared" si="1"/>
        <v>157868.63790201413</v>
      </c>
      <c r="E23" s="499">
        <f t="shared" si="2"/>
        <v>85.854164619324635</v>
      </c>
      <c r="F23" s="940">
        <f t="shared" si="3"/>
        <v>11215.362097985868</v>
      </c>
      <c r="G23" s="500">
        <f>+'10.4-a İL DAĞILIM'!C25</f>
        <v>29396</v>
      </c>
      <c r="H23" s="492">
        <f>+'11.4-b-İL-ESNAF'!C23+'12.4-b-İL-TARIM'!C23</f>
        <v>6896</v>
      </c>
      <c r="I23" s="492">
        <f>+'14.4-c İL'!C23</f>
        <v>9734</v>
      </c>
      <c r="J23" s="493">
        <f t="shared" si="4"/>
        <v>46026</v>
      </c>
      <c r="K23" s="501">
        <f t="shared" si="5"/>
        <v>25.030454644333261</v>
      </c>
      <c r="L23" s="492">
        <f>+'10.4-a İL DAĞILIM'!AG25</f>
        <v>13237</v>
      </c>
      <c r="M23" s="492">
        <f>+'11.4-b-İL-ESNAF'!O23+'12.4-b-İL-TARIM'!N23</f>
        <v>11712</v>
      </c>
      <c r="N23" s="492">
        <f>+'14.4-c İL'!V23</f>
        <v>8303</v>
      </c>
      <c r="O23" s="493">
        <f t="shared" si="8"/>
        <v>33252</v>
      </c>
      <c r="P23" s="502">
        <f t="shared" si="6"/>
        <v>18.083532738742658</v>
      </c>
      <c r="Q23" s="492">
        <f>+'10.4-a İL DAĞILIM'!AJ25</f>
        <v>37213.929999999993</v>
      </c>
      <c r="R23" s="492">
        <f>+'11.4-b-İL-ESNAF'!Q23+'12.4-b-İL-TARIM'!P23</f>
        <v>22222.073278974622</v>
      </c>
      <c r="S23" s="492">
        <f>+'14.4-c İL'!Z23</f>
        <v>19154.634623039528</v>
      </c>
      <c r="T23" s="493">
        <f t="shared" si="9"/>
        <v>78590.637902014147</v>
      </c>
      <c r="U23" s="502">
        <f t="shared" si="7"/>
        <v>42.740177236248719</v>
      </c>
      <c r="V23" s="497">
        <f t="shared" si="10"/>
        <v>14796</v>
      </c>
      <c r="W23" s="607">
        <v>10344</v>
      </c>
      <c r="X23" s="790">
        <v>4452</v>
      </c>
    </row>
    <row r="24" spans="1:24" ht="14.25" customHeight="1">
      <c r="A24" s="498" t="s">
        <v>818</v>
      </c>
      <c r="B24" s="488">
        <v>527863</v>
      </c>
      <c r="C24" s="488">
        <f t="shared" si="0"/>
        <v>512036.59299092356</v>
      </c>
      <c r="D24" s="489">
        <f t="shared" si="1"/>
        <v>455276.59299092356</v>
      </c>
      <c r="E24" s="499">
        <f t="shared" si="2"/>
        <v>86.24900646397333</v>
      </c>
      <c r="F24" s="940">
        <f t="shared" si="3"/>
        <v>15826.407009076444</v>
      </c>
      <c r="G24" s="500">
        <f>+'10.4-a İL DAĞILIM'!C26</f>
        <v>77539</v>
      </c>
      <c r="H24" s="492">
        <f>+'11.4-b-İL-ESNAF'!C24+'12.4-b-İL-TARIM'!C24</f>
        <v>19765</v>
      </c>
      <c r="I24" s="492">
        <f>+'14.4-c İL'!C24</f>
        <v>19726</v>
      </c>
      <c r="J24" s="493">
        <f t="shared" si="4"/>
        <v>117030</v>
      </c>
      <c r="K24" s="501">
        <f t="shared" si="5"/>
        <v>22.170525306755732</v>
      </c>
      <c r="L24" s="492">
        <f>+'10.4-a İL DAĞILIM'!AG26</f>
        <v>54418</v>
      </c>
      <c r="M24" s="492">
        <f>+'11.4-b-İL-ESNAF'!O24+'12.4-b-İL-TARIM'!N24</f>
        <v>24819</v>
      </c>
      <c r="N24" s="492">
        <f>+'14.4-c İL'!V24</f>
        <v>13870</v>
      </c>
      <c r="O24" s="493">
        <f t="shared" si="8"/>
        <v>93107</v>
      </c>
      <c r="P24" s="502">
        <f t="shared" si="6"/>
        <v>17.638478165736185</v>
      </c>
      <c r="Q24" s="492">
        <f>+'10.4-a İL DAĞILIM'!AJ26</f>
        <v>137404.22000000003</v>
      </c>
      <c r="R24" s="492">
        <f>+'11.4-b-İL-ESNAF'!Q24+'12.4-b-İL-TARIM'!P24</f>
        <v>56738.555794002044</v>
      </c>
      <c r="S24" s="492">
        <f>+'14.4-c İL'!Z24</f>
        <v>50996.81719692146</v>
      </c>
      <c r="T24" s="493">
        <f t="shared" si="9"/>
        <v>245139.59299092353</v>
      </c>
      <c r="U24" s="502">
        <f t="shared" si="7"/>
        <v>46.440002991481407</v>
      </c>
      <c r="V24" s="497">
        <f t="shared" si="10"/>
        <v>56760</v>
      </c>
      <c r="W24" s="607">
        <v>43340</v>
      </c>
      <c r="X24" s="790">
        <v>13420</v>
      </c>
    </row>
    <row r="25" spans="1:24" ht="14.25" customHeight="1">
      <c r="A25" s="498" t="s">
        <v>819</v>
      </c>
      <c r="B25" s="488">
        <v>1005687</v>
      </c>
      <c r="C25" s="488">
        <f t="shared" si="0"/>
        <v>993854.10319171054</v>
      </c>
      <c r="D25" s="489">
        <f t="shared" si="1"/>
        <v>928816.10319171054</v>
      </c>
      <c r="E25" s="499">
        <f t="shared" si="2"/>
        <v>92.356379588451532</v>
      </c>
      <c r="F25" s="940">
        <f t="shared" si="3"/>
        <v>11832.896808289457</v>
      </c>
      <c r="G25" s="500">
        <f>+'10.4-a İL DAĞILIM'!C27</f>
        <v>219609</v>
      </c>
      <c r="H25" s="492">
        <f>+'11.4-b-İL-ESNAF'!C25+'12.4-b-İL-TARIM'!C25</f>
        <v>50389</v>
      </c>
      <c r="I25" s="492">
        <f>+'14.4-c İL'!C25</f>
        <v>35126</v>
      </c>
      <c r="J25" s="493">
        <f t="shared" si="4"/>
        <v>305124</v>
      </c>
      <c r="K25" s="501">
        <f t="shared" si="5"/>
        <v>30.339857231922057</v>
      </c>
      <c r="L25" s="492">
        <f>+'10.4-a İL DAĞILIM'!AG27</f>
        <v>109994</v>
      </c>
      <c r="M25" s="492">
        <f>+'11.4-b-İL-ESNAF'!O25+'12.4-b-İL-TARIM'!N25</f>
        <v>58899</v>
      </c>
      <c r="N25" s="492">
        <f>+'14.4-c İL'!V25</f>
        <v>28022</v>
      </c>
      <c r="O25" s="493">
        <f t="shared" si="8"/>
        <v>196915</v>
      </c>
      <c r="P25" s="502">
        <f t="shared" si="6"/>
        <v>19.580147700029929</v>
      </c>
      <c r="Q25" s="492">
        <f>+'10.4-a İL DAĞILIM'!AJ27</f>
        <v>215124.4800000001</v>
      </c>
      <c r="R25" s="492">
        <f>+'11.4-b-İL-ESNAF'!Q25+'12.4-b-İL-TARIM'!P25</f>
        <v>151368.34872974042</v>
      </c>
      <c r="S25" s="492">
        <f>+'14.4-c İL'!Z25</f>
        <v>60284.274461970082</v>
      </c>
      <c r="T25" s="493">
        <f t="shared" si="9"/>
        <v>426777.1031917106</v>
      </c>
      <c r="U25" s="502">
        <f t="shared" si="7"/>
        <v>42.436374656499545</v>
      </c>
      <c r="V25" s="497">
        <f t="shared" si="10"/>
        <v>65038</v>
      </c>
      <c r="W25" s="607">
        <v>41811</v>
      </c>
      <c r="X25" s="790">
        <v>23227</v>
      </c>
    </row>
    <row r="26" spans="1:24" ht="14.25" customHeight="1">
      <c r="A26" s="498" t="s">
        <v>791</v>
      </c>
      <c r="B26" s="488">
        <v>1673119</v>
      </c>
      <c r="C26" s="488">
        <f t="shared" si="0"/>
        <v>1643669.1576871229</v>
      </c>
      <c r="D26" s="489">
        <f t="shared" si="1"/>
        <v>1085291.1576871229</v>
      </c>
      <c r="E26" s="499">
        <f t="shared" si="2"/>
        <v>64.866345889749795</v>
      </c>
      <c r="F26" s="940">
        <f t="shared" si="3"/>
        <v>29449.842312877066</v>
      </c>
      <c r="G26" s="500">
        <f>+'10.4-a İL DAĞILIM'!C28</f>
        <v>169256</v>
      </c>
      <c r="H26" s="492">
        <f>+'11.4-b-İL-ESNAF'!C26+'12.4-b-İL-TARIM'!C26</f>
        <v>27322</v>
      </c>
      <c r="I26" s="492">
        <f>+'14.4-c İL'!C26</f>
        <v>64688</v>
      </c>
      <c r="J26" s="493">
        <f t="shared" si="4"/>
        <v>261266</v>
      </c>
      <c r="K26" s="501">
        <f t="shared" si="5"/>
        <v>15.615506129569983</v>
      </c>
      <c r="L26" s="492">
        <f>+'10.4-a İL DAĞILIM'!AG28</f>
        <v>54553</v>
      </c>
      <c r="M26" s="492">
        <f>+'11.4-b-İL-ESNAF'!O26+'12.4-b-İL-TARIM'!N26</f>
        <v>21895</v>
      </c>
      <c r="N26" s="492">
        <f>+'14.4-c İL'!V26</f>
        <v>19048</v>
      </c>
      <c r="O26" s="493">
        <f t="shared" si="8"/>
        <v>95496</v>
      </c>
      <c r="P26" s="502">
        <f t="shared" si="6"/>
        <v>5.7076633520986855</v>
      </c>
      <c r="Q26" s="492">
        <f>+'10.4-a İL DAĞILIM'!AJ28</f>
        <v>387909.94999999995</v>
      </c>
      <c r="R26" s="492">
        <f>+'11.4-b-İL-ESNAF'!Q26+'12.4-b-İL-TARIM'!P26</f>
        <v>183074.22082897942</v>
      </c>
      <c r="S26" s="492">
        <f>+'14.4-c İL'!Z26</f>
        <v>157544.98685814341</v>
      </c>
      <c r="T26" s="493">
        <f t="shared" si="9"/>
        <v>728529.15768712282</v>
      </c>
      <c r="U26" s="502">
        <f t="shared" si="7"/>
        <v>43.543176408081123</v>
      </c>
      <c r="V26" s="497">
        <f t="shared" si="10"/>
        <v>558378</v>
      </c>
      <c r="W26" s="607">
        <v>517215</v>
      </c>
      <c r="X26" s="790">
        <v>41163</v>
      </c>
    </row>
    <row r="27" spans="1:24" ht="14.25" customHeight="1">
      <c r="A27" s="498" t="s">
        <v>820</v>
      </c>
      <c r="B27" s="488">
        <v>401701</v>
      </c>
      <c r="C27" s="488">
        <f t="shared" si="0"/>
        <v>398656.10452989012</v>
      </c>
      <c r="D27" s="489">
        <f t="shared" si="1"/>
        <v>356771.10452989012</v>
      </c>
      <c r="E27" s="499">
        <f t="shared" si="2"/>
        <v>88.815089962407384</v>
      </c>
      <c r="F27" s="940">
        <f t="shared" si="3"/>
        <v>3044.8954701098846</v>
      </c>
      <c r="G27" s="500">
        <f>+'10.4-a İL DAĞILIM'!C29</f>
        <v>63745</v>
      </c>
      <c r="H27" s="492">
        <f>+'11.4-b-İL-ESNAF'!C27+'12.4-b-İL-TARIM'!C27</f>
        <v>20731</v>
      </c>
      <c r="I27" s="492">
        <f>+'14.4-c İL'!C27</f>
        <v>19252</v>
      </c>
      <c r="J27" s="493">
        <f t="shared" si="4"/>
        <v>103728</v>
      </c>
      <c r="K27" s="501">
        <f t="shared" si="5"/>
        <v>25.822191132210275</v>
      </c>
      <c r="L27" s="492">
        <f>+'10.4-a İL DAĞILIM'!AG29</f>
        <v>37547</v>
      </c>
      <c r="M27" s="492">
        <f>+'11.4-b-İL-ESNAF'!O27+'12.4-b-İL-TARIM'!N27</f>
        <v>35572</v>
      </c>
      <c r="N27" s="492">
        <f>+'14.4-c İL'!V27</f>
        <v>15313</v>
      </c>
      <c r="O27" s="493">
        <f t="shared" si="8"/>
        <v>88432</v>
      </c>
      <c r="P27" s="502">
        <f t="shared" si="6"/>
        <v>22.014383832751225</v>
      </c>
      <c r="Q27" s="492">
        <f>+'10.4-a İL DAĞILIM'!AJ29</f>
        <v>56164.850000000006</v>
      </c>
      <c r="R27" s="492">
        <f>+'11.4-b-İL-ESNAF'!Q27+'12.4-b-İL-TARIM'!P27</f>
        <v>73106.183255896423</v>
      </c>
      <c r="S27" s="492">
        <f>+'14.4-c İL'!Z27</f>
        <v>35340.071273993686</v>
      </c>
      <c r="T27" s="493">
        <f t="shared" si="9"/>
        <v>164611.10452989012</v>
      </c>
      <c r="U27" s="502">
        <f t="shared" si="7"/>
        <v>40.978514997445892</v>
      </c>
      <c r="V27" s="497">
        <f t="shared" si="10"/>
        <v>41885</v>
      </c>
      <c r="W27" s="607">
        <v>30804</v>
      </c>
      <c r="X27" s="790">
        <v>11081</v>
      </c>
    </row>
    <row r="28" spans="1:24" ht="14.25" customHeight="1">
      <c r="A28" s="498" t="s">
        <v>792</v>
      </c>
      <c r="B28" s="488">
        <v>578789</v>
      </c>
      <c r="C28" s="488">
        <f t="shared" si="0"/>
        <v>559241.57780094049</v>
      </c>
      <c r="D28" s="489">
        <f t="shared" si="1"/>
        <v>471020.57780094055</v>
      </c>
      <c r="E28" s="499">
        <f t="shared" si="2"/>
        <v>81.380361029829615</v>
      </c>
      <c r="F28" s="940">
        <f t="shared" si="3"/>
        <v>19547.422199059511</v>
      </c>
      <c r="G28" s="500">
        <f>+'10.4-a İL DAĞILIM'!C30</f>
        <v>78153</v>
      </c>
      <c r="H28" s="492">
        <f>+'11.4-b-İL-ESNAF'!C28+'12.4-b-İL-TARIM'!C28</f>
        <v>16340</v>
      </c>
      <c r="I28" s="492">
        <f>+'14.4-c İL'!C28</f>
        <v>28955</v>
      </c>
      <c r="J28" s="493">
        <f t="shared" si="4"/>
        <v>123448</v>
      </c>
      <c r="K28" s="501">
        <f t="shared" si="5"/>
        <v>21.328670724564567</v>
      </c>
      <c r="L28" s="492">
        <f>+'10.4-a İL DAĞILIM'!AG30</f>
        <v>50402</v>
      </c>
      <c r="M28" s="492">
        <f>+'11.4-b-İL-ESNAF'!O28+'12.4-b-İL-TARIM'!N28</f>
        <v>12346</v>
      </c>
      <c r="N28" s="492">
        <f>+'14.4-c İL'!V28</f>
        <v>16527</v>
      </c>
      <c r="O28" s="493">
        <f t="shared" si="8"/>
        <v>79275</v>
      </c>
      <c r="P28" s="502">
        <f t="shared" si="6"/>
        <v>13.6967012158144</v>
      </c>
      <c r="Q28" s="492">
        <f>+'10.4-a İL DAĞILIM'!AJ30</f>
        <v>131932.29999999999</v>
      </c>
      <c r="R28" s="492">
        <f>+'11.4-b-İL-ESNAF'!Q28+'12.4-b-İL-TARIM'!P28</f>
        <v>60720.398318069332</v>
      </c>
      <c r="S28" s="492">
        <f>+'14.4-c İL'!Z28</f>
        <v>75644.879482871213</v>
      </c>
      <c r="T28" s="493">
        <f t="shared" si="9"/>
        <v>268297.57780094055</v>
      </c>
      <c r="U28" s="502">
        <f t="shared" si="7"/>
        <v>46.354989089450655</v>
      </c>
      <c r="V28" s="497">
        <f t="shared" si="10"/>
        <v>88221</v>
      </c>
      <c r="W28" s="607">
        <v>72835</v>
      </c>
      <c r="X28" s="790">
        <v>15386</v>
      </c>
    </row>
    <row r="29" spans="1:24" ht="14.25" customHeight="1">
      <c r="A29" s="498" t="s">
        <v>730</v>
      </c>
      <c r="B29" s="488">
        <v>226032</v>
      </c>
      <c r="C29" s="488">
        <f t="shared" si="0"/>
        <v>213333.62141031952</v>
      </c>
      <c r="D29" s="489">
        <f t="shared" si="1"/>
        <v>186702.62141031952</v>
      </c>
      <c r="E29" s="499">
        <f t="shared" si="2"/>
        <v>82.600083798010687</v>
      </c>
      <c r="F29" s="940">
        <f t="shared" si="3"/>
        <v>12698.378589680477</v>
      </c>
      <c r="G29" s="500">
        <f>+'10.4-a İL DAĞILIM'!C31</f>
        <v>34295</v>
      </c>
      <c r="H29" s="492">
        <f>+'11.4-b-İL-ESNAF'!C29+'12.4-b-İL-TARIM'!C29</f>
        <v>9053</v>
      </c>
      <c r="I29" s="492">
        <f>+'14.4-c İL'!C29</f>
        <v>13664</v>
      </c>
      <c r="J29" s="493">
        <f t="shared" si="4"/>
        <v>57012</v>
      </c>
      <c r="K29" s="501">
        <f t="shared" si="5"/>
        <v>25.222977277553621</v>
      </c>
      <c r="L29" s="492">
        <f>+'10.4-a İL DAĞILIM'!AG31</f>
        <v>17578</v>
      </c>
      <c r="M29" s="492">
        <f>+'11.4-b-İL-ESNAF'!O29+'12.4-b-İL-TARIM'!N29</f>
        <v>10434</v>
      </c>
      <c r="N29" s="492">
        <f>+'14.4-c İL'!V29</f>
        <v>5594</v>
      </c>
      <c r="O29" s="493">
        <f t="shared" si="8"/>
        <v>33606</v>
      </c>
      <c r="P29" s="502">
        <f t="shared" si="6"/>
        <v>14.867806328307495</v>
      </c>
      <c r="Q29" s="492">
        <f>+'10.4-a İL DAĞILIM'!AJ31</f>
        <v>40088.421767145992</v>
      </c>
      <c r="R29" s="492">
        <f>+'11.4-b-İL-ESNAF'!Q29+'12.4-b-İL-TARIM'!P29</f>
        <v>34100.03722995361</v>
      </c>
      <c r="S29" s="492">
        <f>+'14.4-c İL'!Z29</f>
        <v>21896.162413219936</v>
      </c>
      <c r="T29" s="493">
        <f t="shared" si="9"/>
        <v>96084.621410319538</v>
      </c>
      <c r="U29" s="502">
        <f t="shared" si="7"/>
        <v>42.509300192149581</v>
      </c>
      <c r="V29" s="497">
        <f t="shared" si="10"/>
        <v>26631</v>
      </c>
      <c r="W29" s="607">
        <v>20264</v>
      </c>
      <c r="X29" s="790">
        <v>6367</v>
      </c>
    </row>
    <row r="30" spans="1:24" ht="14.25" customHeight="1">
      <c r="A30" s="498" t="s">
        <v>731</v>
      </c>
      <c r="B30" s="488">
        <v>762021</v>
      </c>
      <c r="C30" s="488">
        <f t="shared" si="0"/>
        <v>744371.89803867333</v>
      </c>
      <c r="D30" s="489">
        <f t="shared" si="1"/>
        <v>562935.89803867333</v>
      </c>
      <c r="E30" s="499">
        <f t="shared" si="2"/>
        <v>73.874066205350417</v>
      </c>
      <c r="F30" s="940">
        <f t="shared" si="3"/>
        <v>17649.101961326669</v>
      </c>
      <c r="G30" s="500">
        <f>+'10.4-a İL DAĞILIM'!C32</f>
        <v>91934</v>
      </c>
      <c r="H30" s="492">
        <f>+'11.4-b-İL-ESNAF'!C30+'12.4-b-İL-TARIM'!C30</f>
        <v>20385</v>
      </c>
      <c r="I30" s="492">
        <f>+'14.4-c İL'!C30</f>
        <v>37603</v>
      </c>
      <c r="J30" s="493">
        <f t="shared" si="4"/>
        <v>149922</v>
      </c>
      <c r="K30" s="501">
        <f t="shared" si="5"/>
        <v>19.674260945564491</v>
      </c>
      <c r="L30" s="492">
        <f>+'10.4-a İL DAĞILIM'!AG32</f>
        <v>40376</v>
      </c>
      <c r="M30" s="492">
        <f>+'11.4-b-İL-ESNAF'!O30+'12.4-b-İL-TARIM'!N30</f>
        <v>21596</v>
      </c>
      <c r="N30" s="492">
        <f>+'14.4-c İL'!V30</f>
        <v>14946</v>
      </c>
      <c r="O30" s="493">
        <f t="shared" si="8"/>
        <v>76918</v>
      </c>
      <c r="P30" s="502">
        <f t="shared" si="6"/>
        <v>10.093947542128104</v>
      </c>
      <c r="Q30" s="492">
        <f>+'10.4-a İL DAĞILIM'!AJ32</f>
        <v>188106.65000000002</v>
      </c>
      <c r="R30" s="492">
        <f>+'11.4-b-İL-ESNAF'!Q30+'12.4-b-İL-TARIM'!P30</f>
        <v>60304.956011317736</v>
      </c>
      <c r="S30" s="492">
        <f>+'14.4-c İL'!Z30</f>
        <v>87684.29202735555</v>
      </c>
      <c r="T30" s="493">
        <f t="shared" si="9"/>
        <v>336095.89803867333</v>
      </c>
      <c r="U30" s="502">
        <f t="shared" si="7"/>
        <v>44.105857717657827</v>
      </c>
      <c r="V30" s="497">
        <f t="shared" si="10"/>
        <v>181436</v>
      </c>
      <c r="W30" s="607">
        <v>165872</v>
      </c>
      <c r="X30" s="790">
        <v>15564</v>
      </c>
    </row>
    <row r="31" spans="1:24" ht="14.25" customHeight="1">
      <c r="A31" s="498" t="s">
        <v>732</v>
      </c>
      <c r="B31" s="488">
        <v>844842</v>
      </c>
      <c r="C31" s="488">
        <f t="shared" si="0"/>
        <v>838403.19345295359</v>
      </c>
      <c r="D31" s="489">
        <f t="shared" si="1"/>
        <v>789555.19345295359</v>
      </c>
      <c r="E31" s="499">
        <f t="shared" si="2"/>
        <v>93.455959037660719</v>
      </c>
      <c r="F31" s="940">
        <f t="shared" si="3"/>
        <v>6438.8065470464062</v>
      </c>
      <c r="G31" s="500">
        <f>+'10.4-a İL DAĞILIM'!C33</f>
        <v>188182</v>
      </c>
      <c r="H31" s="492">
        <f>+'11.4-b-İL-ESNAF'!C31+'12.4-b-İL-TARIM'!C31</f>
        <v>26012</v>
      </c>
      <c r="I31" s="492">
        <f>+'14.4-c İL'!C31</f>
        <v>40847</v>
      </c>
      <c r="J31" s="493">
        <f t="shared" si="4"/>
        <v>255041</v>
      </c>
      <c r="K31" s="501">
        <f t="shared" si="5"/>
        <v>30.18801148617138</v>
      </c>
      <c r="L31" s="492">
        <f>+'10.4-a İL DAĞILIM'!AG33</f>
        <v>104962</v>
      </c>
      <c r="M31" s="492">
        <f>+'11.4-b-İL-ESNAF'!O31+'12.4-b-İL-TARIM'!N31</f>
        <v>33920</v>
      </c>
      <c r="N31" s="492">
        <f>+'14.4-c İL'!V31</f>
        <v>35964</v>
      </c>
      <c r="O31" s="493">
        <f t="shared" si="8"/>
        <v>174846</v>
      </c>
      <c r="P31" s="502">
        <f t="shared" si="6"/>
        <v>20.695704048804391</v>
      </c>
      <c r="Q31" s="492">
        <f>+'10.4-a İL DAĞILIM'!AJ33</f>
        <v>225487.57</v>
      </c>
      <c r="R31" s="492">
        <f>+'11.4-b-İL-ESNAF'!Q31+'12.4-b-İL-TARIM'!P31</f>
        <v>61552.264586821322</v>
      </c>
      <c r="S31" s="492">
        <f>+'14.4-c İL'!Z31</f>
        <v>72628.358866132272</v>
      </c>
      <c r="T31" s="493">
        <f t="shared" si="9"/>
        <v>359668.19345295359</v>
      </c>
      <c r="U31" s="502">
        <f t="shared" si="7"/>
        <v>42.572243502684955</v>
      </c>
      <c r="V31" s="497">
        <f t="shared" si="10"/>
        <v>48848</v>
      </c>
      <c r="W31" s="607">
        <v>28295</v>
      </c>
      <c r="X31" s="790">
        <v>20553</v>
      </c>
    </row>
    <row r="32" spans="1:24" ht="14.25" customHeight="1">
      <c r="A32" s="498" t="s">
        <v>733</v>
      </c>
      <c r="B32" s="488">
        <v>1974244</v>
      </c>
      <c r="C32" s="488">
        <f t="shared" si="0"/>
        <v>1937861.5219500205</v>
      </c>
      <c r="D32" s="489">
        <f t="shared" si="1"/>
        <v>1592535.5219500205</v>
      </c>
      <c r="E32" s="499">
        <f t="shared" si="2"/>
        <v>80.665587533760799</v>
      </c>
      <c r="F32" s="940">
        <f t="shared" si="3"/>
        <v>36382.478049979545</v>
      </c>
      <c r="G32" s="500">
        <f>+'10.4-a İL DAĞILIM'!C34</f>
        <v>311043</v>
      </c>
      <c r="H32" s="492">
        <f>+'11.4-b-İL-ESNAF'!C32+'12.4-b-İL-TARIM'!C32</f>
        <v>61205</v>
      </c>
      <c r="I32" s="492">
        <f>+'14.4-c İL'!C32</f>
        <v>53671</v>
      </c>
      <c r="J32" s="493">
        <f t="shared" si="4"/>
        <v>425919</v>
      </c>
      <c r="K32" s="501">
        <f t="shared" si="5"/>
        <v>21.57377710151329</v>
      </c>
      <c r="L32" s="492">
        <f>+'10.4-a İL DAĞILIM'!AG34</f>
        <v>87487</v>
      </c>
      <c r="M32" s="492">
        <f>+'11.4-b-İL-ESNAF'!O32+'12.4-b-İL-TARIM'!N32</f>
        <v>46250</v>
      </c>
      <c r="N32" s="492">
        <f>+'14.4-c İL'!V32</f>
        <v>20984</v>
      </c>
      <c r="O32" s="493">
        <f t="shared" si="8"/>
        <v>154721</v>
      </c>
      <c r="P32" s="502">
        <f t="shared" si="6"/>
        <v>7.8369745583625932</v>
      </c>
      <c r="Q32" s="492">
        <f>+'10.4-a İL DAĞILIM'!AJ34</f>
        <v>601471.61246354051</v>
      </c>
      <c r="R32" s="492">
        <f>+'11.4-b-İL-ESNAF'!Q32+'12.4-b-İL-TARIM'!P32</f>
        <v>277768.59872135264</v>
      </c>
      <c r="S32" s="492">
        <f>+'14.4-c İL'!Z32</f>
        <v>132655.31076512724</v>
      </c>
      <c r="T32" s="493">
        <f t="shared" si="9"/>
        <v>1011895.5219500205</v>
      </c>
      <c r="U32" s="502">
        <f t="shared" si="7"/>
        <v>51.254835873884907</v>
      </c>
      <c r="V32" s="497">
        <f t="shared" si="10"/>
        <v>345326</v>
      </c>
      <c r="W32" s="607">
        <v>271844</v>
      </c>
      <c r="X32" s="790">
        <v>73482</v>
      </c>
    </row>
    <row r="33" spans="1:24" ht="14.25" customHeight="1">
      <c r="A33" s="498" t="s">
        <v>734</v>
      </c>
      <c r="B33" s="488">
        <v>444467</v>
      </c>
      <c r="C33" s="488">
        <f t="shared" si="0"/>
        <v>442463.65640880069</v>
      </c>
      <c r="D33" s="489">
        <f t="shared" si="1"/>
        <v>390621.65640880069</v>
      </c>
      <c r="E33" s="499">
        <f t="shared" si="2"/>
        <v>87.885412507295413</v>
      </c>
      <c r="F33" s="940">
        <f t="shared" si="3"/>
        <v>2003.3435911993147</v>
      </c>
      <c r="G33" s="500">
        <f>+'10.4-a İL DAĞILIM'!C35</f>
        <v>66376</v>
      </c>
      <c r="H33" s="492">
        <f>+'11.4-b-İL-ESNAF'!C33+'12.4-b-İL-TARIM'!C33</f>
        <v>17087</v>
      </c>
      <c r="I33" s="492">
        <f>+'14.4-c İL'!C33</f>
        <v>17813</v>
      </c>
      <c r="J33" s="493">
        <f t="shared" si="4"/>
        <v>101276</v>
      </c>
      <c r="K33" s="501">
        <f t="shared" si="5"/>
        <v>22.785943613361624</v>
      </c>
      <c r="L33" s="492">
        <f>+'10.4-a İL DAĞILIM'!AG35</f>
        <v>52896</v>
      </c>
      <c r="M33" s="492">
        <f>+'11.4-b-İL-ESNAF'!O33+'12.4-b-İL-TARIM'!N33</f>
        <v>23155</v>
      </c>
      <c r="N33" s="492">
        <f>+'14.4-c İL'!V33</f>
        <v>13933</v>
      </c>
      <c r="O33" s="493">
        <f t="shared" si="8"/>
        <v>89984</v>
      </c>
      <c r="P33" s="502">
        <f t="shared" si="6"/>
        <v>20.245372547343223</v>
      </c>
      <c r="Q33" s="492">
        <f>+'10.4-a İL DAĞILIM'!AJ35</f>
        <v>104003.31000000003</v>
      </c>
      <c r="R33" s="492">
        <f>+'11.4-b-İL-ESNAF'!Q33+'12.4-b-İL-TARIM'!P33</f>
        <v>50252.762578000329</v>
      </c>
      <c r="S33" s="492">
        <f>+'14.4-c İL'!Z33</f>
        <v>45105.583830800329</v>
      </c>
      <c r="T33" s="493">
        <f t="shared" si="9"/>
        <v>199361.65640880069</v>
      </c>
      <c r="U33" s="502">
        <f t="shared" si="7"/>
        <v>44.854096346590566</v>
      </c>
      <c r="V33" s="497">
        <f t="shared" si="10"/>
        <v>51842</v>
      </c>
      <c r="W33" s="607">
        <v>38120</v>
      </c>
      <c r="X33" s="790">
        <v>13722</v>
      </c>
    </row>
    <row r="34" spans="1:24" ht="14.25" customHeight="1">
      <c r="A34" s="781" t="s">
        <v>735</v>
      </c>
      <c r="B34" s="488">
        <v>172034</v>
      </c>
      <c r="C34" s="488">
        <f t="shared" si="0"/>
        <v>146167.56085565244</v>
      </c>
      <c r="D34" s="489">
        <f t="shared" si="1"/>
        <v>122618.56085565245</v>
      </c>
      <c r="E34" s="499">
        <f t="shared" si="2"/>
        <v>71.275771565883744</v>
      </c>
      <c r="F34" s="940">
        <f t="shared" si="3"/>
        <v>25866.439144347562</v>
      </c>
      <c r="G34" s="500">
        <f>+'10.4-a İL DAĞILIM'!C36</f>
        <v>17390</v>
      </c>
      <c r="H34" s="492">
        <f>+'11.4-b-İL-ESNAF'!C34+'12.4-b-İL-TARIM'!C34</f>
        <v>4959</v>
      </c>
      <c r="I34" s="492">
        <f>+'14.4-c İL'!C34</f>
        <v>7168</v>
      </c>
      <c r="J34" s="493">
        <f t="shared" si="4"/>
        <v>29517</v>
      </c>
      <c r="K34" s="501">
        <f t="shared" si="5"/>
        <v>17.157654882174452</v>
      </c>
      <c r="L34" s="492">
        <f>+'10.4-a İL DAĞILIM'!AG36</f>
        <v>10197</v>
      </c>
      <c r="M34" s="492">
        <f>+'11.4-b-İL-ESNAF'!O34+'12.4-b-İL-TARIM'!N34</f>
        <v>6488</v>
      </c>
      <c r="N34" s="492">
        <f>+'14.4-c İL'!V34</f>
        <v>3089</v>
      </c>
      <c r="O34" s="493">
        <f t="shared" si="8"/>
        <v>19774</v>
      </c>
      <c r="P34" s="502">
        <f t="shared" si="6"/>
        <v>11.494239510794378</v>
      </c>
      <c r="Q34" s="492">
        <f>+'10.4-a İL DAĞILIM'!AJ36</f>
        <v>39608.720000000001</v>
      </c>
      <c r="R34" s="492">
        <f>+'11.4-b-İL-ESNAF'!Q34+'12.4-b-İL-TARIM'!P34</f>
        <v>15658.184753599115</v>
      </c>
      <c r="S34" s="492">
        <f>+'14.4-c İL'!Z34</f>
        <v>18060.656102053341</v>
      </c>
      <c r="T34" s="493">
        <f t="shared" si="9"/>
        <v>73327.560855652453</v>
      </c>
      <c r="U34" s="502">
        <f t="shared" si="7"/>
        <v>42.623877172914924</v>
      </c>
      <c r="V34" s="497">
        <f t="shared" si="10"/>
        <v>23549</v>
      </c>
      <c r="W34" s="607">
        <v>13872</v>
      </c>
      <c r="X34" s="790">
        <v>9677</v>
      </c>
    </row>
    <row r="35" spans="1:24" ht="14.25" customHeight="1">
      <c r="A35" s="498" t="s">
        <v>736</v>
      </c>
      <c r="B35" s="488">
        <v>267813</v>
      </c>
      <c r="C35" s="488">
        <f t="shared" si="0"/>
        <v>266098.35417413741</v>
      </c>
      <c r="D35" s="489">
        <f t="shared" si="1"/>
        <v>158039.35417413741</v>
      </c>
      <c r="E35" s="499">
        <f t="shared" si="2"/>
        <v>59.011083918307705</v>
      </c>
      <c r="F35" s="940">
        <f t="shared" si="3"/>
        <v>1714.6458258625935</v>
      </c>
      <c r="G35" s="500">
        <f>+'10.4-a İL DAĞILIM'!C37</f>
        <v>21011</v>
      </c>
      <c r="H35" s="492">
        <f>+'11.4-b-İL-ESNAF'!C35+'12.4-b-İL-TARIM'!C35</f>
        <v>5539</v>
      </c>
      <c r="I35" s="492">
        <f>+'14.4-c İL'!C35</f>
        <v>24094</v>
      </c>
      <c r="J35" s="493">
        <f t="shared" si="4"/>
        <v>50644</v>
      </c>
      <c r="K35" s="501">
        <f t="shared" si="5"/>
        <v>18.910209735897809</v>
      </c>
      <c r="L35" s="492">
        <f>+'10.4-a İL DAĞILIM'!AG37</f>
        <v>2291</v>
      </c>
      <c r="M35" s="492">
        <f>+'11.4-b-İL-ESNAF'!O35+'12.4-b-İL-TARIM'!N35</f>
        <v>2056</v>
      </c>
      <c r="N35" s="492">
        <f>+'14.4-c İL'!V35</f>
        <v>6363</v>
      </c>
      <c r="O35" s="493">
        <f t="shared" si="8"/>
        <v>10710</v>
      </c>
      <c r="P35" s="502">
        <f t="shared" si="6"/>
        <v>3.9990590449306045</v>
      </c>
      <c r="Q35" s="492">
        <f>+'10.4-a İL DAĞILIM'!AJ37</f>
        <v>3754.145853269536</v>
      </c>
      <c r="R35" s="492">
        <f>+'11.4-b-İL-ESNAF'!Q35+'12.4-b-İL-TARIM'!P35</f>
        <v>25996.71900675607</v>
      </c>
      <c r="S35" s="492">
        <f>+'14.4-c İL'!Z35</f>
        <v>66934.489314111794</v>
      </c>
      <c r="T35" s="493">
        <f t="shared" si="9"/>
        <v>96685.354174137407</v>
      </c>
      <c r="U35" s="502">
        <f t="shared" si="7"/>
        <v>36.101815137479285</v>
      </c>
      <c r="V35" s="497">
        <f t="shared" si="10"/>
        <v>108059</v>
      </c>
      <c r="W35" s="607">
        <v>101968</v>
      </c>
      <c r="X35" s="790">
        <v>6091</v>
      </c>
    </row>
    <row r="36" spans="1:24" ht="14.25" customHeight="1">
      <c r="A36" s="498" t="s">
        <v>737</v>
      </c>
      <c r="B36" s="488">
        <v>1555165</v>
      </c>
      <c r="C36" s="488">
        <f t="shared" si="0"/>
        <v>1506215.8917622557</v>
      </c>
      <c r="D36" s="489">
        <f t="shared" si="1"/>
        <v>1219804.8917622557</v>
      </c>
      <c r="E36" s="499">
        <f t="shared" si="2"/>
        <v>78.4357217248495</v>
      </c>
      <c r="F36" s="940">
        <f t="shared" si="3"/>
        <v>48949.108237744309</v>
      </c>
      <c r="G36" s="500">
        <f>+'10.4-a İL DAĞILIM'!C38</f>
        <v>198479</v>
      </c>
      <c r="H36" s="492">
        <f>+'11.4-b-İL-ESNAF'!C36+'12.4-b-İL-TARIM'!C36</f>
        <v>57965</v>
      </c>
      <c r="I36" s="492">
        <f>+'14.4-c İL'!C36</f>
        <v>49510</v>
      </c>
      <c r="J36" s="493">
        <f t="shared" si="4"/>
        <v>305954</v>
      </c>
      <c r="K36" s="501">
        <f t="shared" si="5"/>
        <v>19.673410859940908</v>
      </c>
      <c r="L36" s="492">
        <f>+'10.4-a İL DAĞILIM'!AG38</f>
        <v>95829</v>
      </c>
      <c r="M36" s="492">
        <f>+'11.4-b-İL-ESNAF'!O36+'12.4-b-İL-TARIM'!N36</f>
        <v>52354</v>
      </c>
      <c r="N36" s="492">
        <f>+'14.4-c İL'!V36</f>
        <v>24537</v>
      </c>
      <c r="O36" s="493">
        <f t="shared" si="8"/>
        <v>172720</v>
      </c>
      <c r="P36" s="502">
        <f t="shared" si="6"/>
        <v>11.106217025203113</v>
      </c>
      <c r="Q36" s="492">
        <f>+'10.4-a İL DAĞILIM'!AJ38</f>
        <v>349992.39777060342</v>
      </c>
      <c r="R36" s="492">
        <f>+'11.4-b-İL-ESNAF'!Q36+'12.4-b-İL-TARIM'!P36</f>
        <v>275378.4847791082</v>
      </c>
      <c r="S36" s="492">
        <f>+'14.4-c İL'!Z36</f>
        <v>115760.00921254422</v>
      </c>
      <c r="T36" s="493">
        <f t="shared" si="9"/>
        <v>741130.89176225581</v>
      </c>
      <c r="U36" s="502">
        <f t="shared" si="7"/>
        <v>47.656093839705491</v>
      </c>
      <c r="V36" s="497">
        <f t="shared" si="10"/>
        <v>286411</v>
      </c>
      <c r="W36" s="607">
        <v>242022</v>
      </c>
      <c r="X36" s="790">
        <v>44389</v>
      </c>
    </row>
    <row r="37" spans="1:24" s="414" customFormat="1" ht="14.25" customHeight="1">
      <c r="A37" s="504" t="s">
        <v>738</v>
      </c>
      <c r="B37" s="488">
        <v>427324</v>
      </c>
      <c r="C37" s="505">
        <f t="shared" si="0"/>
        <v>416972.68378479459</v>
      </c>
      <c r="D37" s="506">
        <f t="shared" si="1"/>
        <v>381772.68378479459</v>
      </c>
      <c r="E37" s="507">
        <f t="shared" si="2"/>
        <v>89.340332811823018</v>
      </c>
      <c r="F37" s="940">
        <f t="shared" si="3"/>
        <v>10351.316215205414</v>
      </c>
      <c r="G37" s="500">
        <f>+'10.4-a İL DAĞILIM'!C39</f>
        <v>72857</v>
      </c>
      <c r="H37" s="508">
        <f>+'11.4-b-İL-ESNAF'!C37+'12.4-b-İL-TARIM'!C37</f>
        <v>17445</v>
      </c>
      <c r="I37" s="492">
        <f>+'14.4-c İL'!C37</f>
        <v>25292</v>
      </c>
      <c r="J37" s="509">
        <f t="shared" si="4"/>
        <v>115594</v>
      </c>
      <c r="K37" s="510">
        <f t="shared" si="5"/>
        <v>27.050668813359419</v>
      </c>
      <c r="L37" s="492">
        <f>+'10.4-a İL DAĞILIM'!AG39</f>
        <v>39466</v>
      </c>
      <c r="M37" s="508">
        <f>+'11.4-b-İL-ESNAF'!O37+'12.4-b-İL-TARIM'!N37</f>
        <v>19710</v>
      </c>
      <c r="N37" s="492">
        <f>+'14.4-c İL'!V37</f>
        <v>19225</v>
      </c>
      <c r="O37" s="509">
        <f t="shared" si="8"/>
        <v>78401</v>
      </c>
      <c r="P37" s="511">
        <f t="shared" si="6"/>
        <v>18.346968576536774</v>
      </c>
      <c r="Q37" s="492">
        <f>+'10.4-a İL DAĞILIM'!AJ39</f>
        <v>86735.26999999999</v>
      </c>
      <c r="R37" s="508">
        <f>+'11.4-b-İL-ESNAF'!Q37+'12.4-b-İL-TARIM'!P37</f>
        <v>39768.440551610714</v>
      </c>
      <c r="S37" s="492">
        <f>+'14.4-c İL'!Z37</f>
        <v>61273.973233183875</v>
      </c>
      <c r="T37" s="509">
        <f t="shared" si="9"/>
        <v>187777.68378479459</v>
      </c>
      <c r="U37" s="511">
        <f t="shared" si="7"/>
        <v>43.942695421926828</v>
      </c>
      <c r="V37" s="497">
        <f t="shared" si="10"/>
        <v>35200</v>
      </c>
      <c r="W37" s="608">
        <v>22326</v>
      </c>
      <c r="X37" s="790">
        <v>12874</v>
      </c>
    </row>
    <row r="38" spans="1:24" ht="14.25" customHeight="1">
      <c r="A38" s="498" t="s">
        <v>739</v>
      </c>
      <c r="B38" s="488">
        <v>1773852</v>
      </c>
      <c r="C38" s="488">
        <f t="shared" ref="C38:C69" si="11">+D38+V38</f>
        <v>1753711.9734995046</v>
      </c>
      <c r="D38" s="489">
        <f t="shared" ref="D38:D69" si="12">+J38+O38+T38</f>
        <v>1488993.9734995046</v>
      </c>
      <c r="E38" s="499">
        <f t="shared" si="2"/>
        <v>83.941274328382789</v>
      </c>
      <c r="F38" s="940">
        <f t="shared" si="3"/>
        <v>20140.026500495384</v>
      </c>
      <c r="G38" s="500">
        <f>+'10.4-a İL DAĞILIM'!C40</f>
        <v>289444</v>
      </c>
      <c r="H38" s="492">
        <f>+'11.4-b-İL-ESNAF'!C38+'12.4-b-İL-TARIM'!C38</f>
        <v>76705</v>
      </c>
      <c r="I38" s="492">
        <f>+'14.4-c İL'!C38</f>
        <v>62834</v>
      </c>
      <c r="J38" s="493">
        <f t="shared" ref="J38:J69" si="13">G38+H38+I38</f>
        <v>428983</v>
      </c>
      <c r="K38" s="501">
        <f t="shared" ref="K38:K69" si="14">+J38/B38*100</f>
        <v>24.183697399783071</v>
      </c>
      <c r="L38" s="492">
        <f>+'10.4-a İL DAĞILIM'!AG40</f>
        <v>139645</v>
      </c>
      <c r="M38" s="492">
        <f>+'11.4-b-İL-ESNAF'!O38+'12.4-b-İL-TARIM'!N38</f>
        <v>51403</v>
      </c>
      <c r="N38" s="492">
        <f>+'14.4-c İL'!V38</f>
        <v>48533</v>
      </c>
      <c r="O38" s="493">
        <f t="shared" si="8"/>
        <v>239581</v>
      </c>
      <c r="P38" s="502">
        <f t="shared" ref="P38:P69" si="15">+O38/B38*100</f>
        <v>13.506256440785364</v>
      </c>
      <c r="Q38" s="492">
        <f>+'10.4-a İL DAĞILIM'!AJ40</f>
        <v>368257.51</v>
      </c>
      <c r="R38" s="492">
        <f>+'11.4-b-İL-ESNAF'!Q38+'12.4-b-İL-TARIM'!P38</f>
        <v>305079.86619057576</v>
      </c>
      <c r="S38" s="492">
        <f>+'14.4-c İL'!Z38</f>
        <v>147092.5973089289</v>
      </c>
      <c r="T38" s="493">
        <f t="shared" si="9"/>
        <v>820429.97349950462</v>
      </c>
      <c r="U38" s="502">
        <f t="shared" ref="U38:U69" si="16">+T38/B38*100</f>
        <v>46.251320487814354</v>
      </c>
      <c r="V38" s="497">
        <f t="shared" si="10"/>
        <v>264718</v>
      </c>
      <c r="W38" s="607">
        <v>211074</v>
      </c>
      <c r="X38" s="790">
        <v>53644</v>
      </c>
    </row>
    <row r="39" spans="1:24" ht="15" customHeight="1">
      <c r="A39" s="498" t="s">
        <v>149</v>
      </c>
      <c r="B39" s="488">
        <v>14804116</v>
      </c>
      <c r="C39" s="488">
        <f t="shared" si="11"/>
        <v>14681340.91784575</v>
      </c>
      <c r="D39" s="489">
        <f t="shared" si="12"/>
        <v>13615237.91784575</v>
      </c>
      <c r="E39" s="499">
        <f t="shared" si="2"/>
        <v>91.969273395626942</v>
      </c>
      <c r="F39" s="940">
        <f t="shared" si="3"/>
        <v>122775.08215424977</v>
      </c>
      <c r="G39" s="500">
        <f>+'10.4-a İL DAĞILIM'!C41</f>
        <v>4372639</v>
      </c>
      <c r="H39" s="492">
        <f>+'11.4-b-İL-ESNAF'!C39+'12.4-b-İL-TARIM'!C39</f>
        <v>523641</v>
      </c>
      <c r="I39" s="492">
        <f>+'14.4-c İL'!C39</f>
        <v>340930</v>
      </c>
      <c r="J39" s="493">
        <f t="shared" si="13"/>
        <v>5237210</v>
      </c>
      <c r="K39" s="501">
        <f t="shared" si="14"/>
        <v>35.376715502634539</v>
      </c>
      <c r="L39" s="492">
        <f>+'10.4-a İL DAĞILIM'!AG41</f>
        <v>1813438</v>
      </c>
      <c r="M39" s="492">
        <f>+'11.4-b-İL-ESNAF'!O39+'12.4-b-İL-TARIM'!N39</f>
        <v>286947</v>
      </c>
      <c r="N39" s="492">
        <f>+'14.4-c İL'!V39</f>
        <v>315126</v>
      </c>
      <c r="O39" s="493">
        <f t="shared" si="8"/>
        <v>2415511</v>
      </c>
      <c r="P39" s="502">
        <f t="shared" si="15"/>
        <v>16.31648252418449</v>
      </c>
      <c r="Q39" s="492">
        <f>+'10.4-a İL DAĞILIM'!AJ41</f>
        <v>3694044.2819999997</v>
      </c>
      <c r="R39" s="492">
        <f>+'11.4-b-İL-ESNAF'!Q39+'12.4-b-İL-TARIM'!P39</f>
        <v>1504294.203219953</v>
      </c>
      <c r="S39" s="492">
        <f>+'14.4-c İL'!Z39</f>
        <v>764178.43262579804</v>
      </c>
      <c r="T39" s="493">
        <f t="shared" si="9"/>
        <v>5962516.9178457502</v>
      </c>
      <c r="U39" s="502">
        <f t="shared" si="16"/>
        <v>40.276075368807909</v>
      </c>
      <c r="V39" s="790">
        <f t="shared" si="10"/>
        <v>1066103</v>
      </c>
      <c r="W39" s="791">
        <v>482119</v>
      </c>
      <c r="X39" s="790">
        <v>583984</v>
      </c>
    </row>
    <row r="40" spans="1:24" s="739" customFormat="1" ht="16.5" customHeight="1">
      <c r="A40" s="781" t="s">
        <v>150</v>
      </c>
      <c r="B40" s="782">
        <v>4223545</v>
      </c>
      <c r="C40" s="782">
        <f t="shared" si="11"/>
        <v>4211962.0828113165</v>
      </c>
      <c r="D40" s="783">
        <f t="shared" si="12"/>
        <v>3878712.082811316</v>
      </c>
      <c r="E40" s="784">
        <f t="shared" si="2"/>
        <v>91.835462456569445</v>
      </c>
      <c r="F40" s="940">
        <f t="shared" si="3"/>
        <v>11582.917188683525</v>
      </c>
      <c r="G40" s="785">
        <f>+'10.4-a İL DAĞILIM'!C42</f>
        <v>971209</v>
      </c>
      <c r="H40" s="786">
        <f>+'11.4-b-İL-ESNAF'!C40+'12.4-b-İL-TARIM'!C40</f>
        <v>151574</v>
      </c>
      <c r="I40" s="786">
        <f>+'14.4-c İL'!C40</f>
        <v>159740</v>
      </c>
      <c r="J40" s="787">
        <f t="shared" si="13"/>
        <v>1282523</v>
      </c>
      <c r="K40" s="788">
        <f t="shared" si="14"/>
        <v>30.366031378853549</v>
      </c>
      <c r="L40" s="786">
        <f>+'10.4-a İL DAĞILIM'!AG42</f>
        <v>571007</v>
      </c>
      <c r="M40" s="786">
        <f>+'11.4-b-İL-ESNAF'!O40+'12.4-b-İL-TARIM'!N40</f>
        <v>141066</v>
      </c>
      <c r="N40" s="786">
        <f>+'14.4-c İL'!V40</f>
        <v>183296</v>
      </c>
      <c r="O40" s="787">
        <f t="shared" si="8"/>
        <v>895369</v>
      </c>
      <c r="P40" s="789">
        <f t="shared" si="15"/>
        <v>21.199466325089471</v>
      </c>
      <c r="Q40" s="786">
        <f>+'10.4-a İL DAĞILIM'!AJ42</f>
        <v>949107.10999999987</v>
      </c>
      <c r="R40" s="786">
        <f>+'11.4-b-İL-ESNAF'!Q40+'12.4-b-İL-TARIM'!P40</f>
        <v>358022.88908988377</v>
      </c>
      <c r="S40" s="786">
        <f>+'14.4-c İL'!Z40</f>
        <v>393690.08372143237</v>
      </c>
      <c r="T40" s="787">
        <f t="shared" si="9"/>
        <v>1700820.082811316</v>
      </c>
      <c r="U40" s="789">
        <f t="shared" si="16"/>
        <v>40.269964752626429</v>
      </c>
      <c r="V40" s="790">
        <f t="shared" si="10"/>
        <v>333250</v>
      </c>
      <c r="W40" s="791">
        <v>180560</v>
      </c>
      <c r="X40" s="790">
        <v>152690</v>
      </c>
    </row>
    <row r="41" spans="1:24" ht="14.25" customHeight="1">
      <c r="A41" s="498" t="s">
        <v>151</v>
      </c>
      <c r="B41" s="488">
        <v>289786</v>
      </c>
      <c r="C41" s="488">
        <f t="shared" si="11"/>
        <v>271510.53947589226</v>
      </c>
      <c r="D41" s="489">
        <f t="shared" si="12"/>
        <v>179793.53947589226</v>
      </c>
      <c r="E41" s="499">
        <f t="shared" si="2"/>
        <v>62.04355609860113</v>
      </c>
      <c r="F41" s="940">
        <f t="shared" si="3"/>
        <v>18275.460524107737</v>
      </c>
      <c r="G41" s="500">
        <f>+'10.4-a İL DAĞILIM'!C43</f>
        <v>27280</v>
      </c>
      <c r="H41" s="492">
        <f>+'11.4-b-İL-ESNAF'!C41+'12.4-b-İL-TARIM'!C41</f>
        <v>9289</v>
      </c>
      <c r="I41" s="492">
        <f>+'14.4-c İL'!C41</f>
        <v>13333</v>
      </c>
      <c r="J41" s="493">
        <f t="shared" si="13"/>
        <v>49902</v>
      </c>
      <c r="K41" s="501">
        <f t="shared" si="14"/>
        <v>17.220293595963916</v>
      </c>
      <c r="L41" s="492">
        <f>+'10.4-a İL DAĞILIM'!AG43</f>
        <v>9333</v>
      </c>
      <c r="M41" s="492">
        <f>+'11.4-b-İL-ESNAF'!O41+'12.4-b-İL-TARIM'!N41</f>
        <v>8924</v>
      </c>
      <c r="N41" s="492">
        <f>+'14.4-c İL'!V41</f>
        <v>3607</v>
      </c>
      <c r="O41" s="493">
        <f t="shared" si="8"/>
        <v>21864</v>
      </c>
      <c r="P41" s="502">
        <f t="shared" si="15"/>
        <v>7.5448779444141536</v>
      </c>
      <c r="Q41" s="492">
        <f>+'10.4-a İL DAĞILIM'!AJ43</f>
        <v>45988.223479115521</v>
      </c>
      <c r="R41" s="492">
        <f>+'11.4-b-İL-ESNAF'!Q41+'12.4-b-İL-TARIM'!P41</f>
        <v>36644.472895297826</v>
      </c>
      <c r="S41" s="492">
        <f>+'14.4-c İL'!Z41</f>
        <v>25394.843101478924</v>
      </c>
      <c r="T41" s="493">
        <f t="shared" si="9"/>
        <v>108027.53947589226</v>
      </c>
      <c r="U41" s="502">
        <f t="shared" si="16"/>
        <v>37.278384558223053</v>
      </c>
      <c r="V41" s="497">
        <f t="shared" si="10"/>
        <v>91717</v>
      </c>
      <c r="W41" s="607">
        <v>78244</v>
      </c>
      <c r="X41" s="790">
        <v>13473</v>
      </c>
    </row>
    <row r="42" spans="1:24" ht="14.25" customHeight="1">
      <c r="A42" s="498" t="s">
        <v>637</v>
      </c>
      <c r="B42" s="488">
        <v>376945</v>
      </c>
      <c r="C42" s="488">
        <f t="shared" si="11"/>
        <v>360314.25576929573</v>
      </c>
      <c r="D42" s="489">
        <f t="shared" si="12"/>
        <v>327127.25576929573</v>
      </c>
      <c r="E42" s="499">
        <f t="shared" si="2"/>
        <v>86.7838161454047</v>
      </c>
      <c r="F42" s="940">
        <f t="shared" si="3"/>
        <v>16630.744230704266</v>
      </c>
      <c r="G42" s="500">
        <f>+'10.4-a İL DAĞILIM'!C44</f>
        <v>53488</v>
      </c>
      <c r="H42" s="492">
        <f>+'11.4-b-İL-ESNAF'!C42+'12.4-b-İL-TARIM'!C42</f>
        <v>18896</v>
      </c>
      <c r="I42" s="492">
        <f>+'14.4-c İL'!C42</f>
        <v>19271</v>
      </c>
      <c r="J42" s="493">
        <f t="shared" si="13"/>
        <v>91655</v>
      </c>
      <c r="K42" s="501">
        <f t="shared" si="14"/>
        <v>24.315218400562415</v>
      </c>
      <c r="L42" s="492">
        <f>+'10.4-a İL DAĞILIM'!AG44</f>
        <v>38413</v>
      </c>
      <c r="M42" s="492">
        <f>+'11.4-b-İL-ESNAF'!O42+'12.4-b-İL-TARIM'!N42</f>
        <v>19776</v>
      </c>
      <c r="N42" s="492">
        <f>+'14.4-c İL'!V42</f>
        <v>13906</v>
      </c>
      <c r="O42" s="493">
        <f t="shared" si="8"/>
        <v>72095</v>
      </c>
      <c r="P42" s="502">
        <f t="shared" si="15"/>
        <v>19.126132459642655</v>
      </c>
      <c r="Q42" s="492">
        <f>+'10.4-a İL DAĞILIM'!AJ44</f>
        <v>67244.950000000012</v>
      </c>
      <c r="R42" s="492">
        <f>+'11.4-b-İL-ESNAF'!Q42+'12.4-b-İL-TARIM'!P42</f>
        <v>50371.120610241611</v>
      </c>
      <c r="S42" s="492">
        <f>+'14.4-c İL'!Z42</f>
        <v>45761.185159054148</v>
      </c>
      <c r="T42" s="493">
        <f t="shared" si="9"/>
        <v>163377.25576929576</v>
      </c>
      <c r="U42" s="502">
        <f t="shared" si="16"/>
        <v>43.34246528519963</v>
      </c>
      <c r="V42" s="497">
        <f t="shared" si="10"/>
        <v>33187</v>
      </c>
      <c r="W42" s="607">
        <v>24792</v>
      </c>
      <c r="X42" s="790">
        <v>8395</v>
      </c>
    </row>
    <row r="43" spans="1:24" s="739" customFormat="1" ht="14.25" customHeight="1">
      <c r="A43" s="781" t="s">
        <v>638</v>
      </c>
      <c r="B43" s="488">
        <v>1358980</v>
      </c>
      <c r="C43" s="782">
        <f t="shared" si="11"/>
        <v>1352841.4264769293</v>
      </c>
      <c r="D43" s="783">
        <f t="shared" si="12"/>
        <v>1236562.4264769293</v>
      </c>
      <c r="E43" s="784">
        <f t="shared" si="2"/>
        <v>90.991951793030751</v>
      </c>
      <c r="F43" s="940">
        <f t="shared" si="3"/>
        <v>6138.5735230706632</v>
      </c>
      <c r="G43" s="785">
        <f>+'10.4-a İL DAĞILIM'!C45</f>
        <v>243745</v>
      </c>
      <c r="H43" s="786">
        <f>+'11.4-b-İL-ESNAF'!C43+'12.4-b-İL-TARIM'!C43</f>
        <v>45182</v>
      </c>
      <c r="I43" s="786">
        <f>+'14.4-c İL'!C43</f>
        <v>49991</v>
      </c>
      <c r="J43" s="787">
        <f t="shared" si="13"/>
        <v>338918</v>
      </c>
      <c r="K43" s="788">
        <f t="shared" si="14"/>
        <v>24.939145535622306</v>
      </c>
      <c r="L43" s="786">
        <f>+'10.4-a İL DAĞILIM'!AG45</f>
        <v>127066</v>
      </c>
      <c r="M43" s="786">
        <f>+'11.4-b-İL-ESNAF'!O43+'12.4-b-İL-TARIM'!N43</f>
        <v>41291</v>
      </c>
      <c r="N43" s="492">
        <f>+'14.4-c İL'!V43</f>
        <v>28502</v>
      </c>
      <c r="O43" s="787">
        <f t="shared" si="8"/>
        <v>196859</v>
      </c>
      <c r="P43" s="789">
        <f t="shared" si="15"/>
        <v>14.485790813698509</v>
      </c>
      <c r="Q43" s="786">
        <f>+'10.4-a İL DAĞILIM'!AJ45</f>
        <v>412027.78805570013</v>
      </c>
      <c r="R43" s="786">
        <f>+'11.4-b-İL-ESNAF'!Q43+'12.4-b-İL-TARIM'!P43</f>
        <v>164169.13526078235</v>
      </c>
      <c r="S43" s="492">
        <f>+'14.4-c İL'!Z43</f>
        <v>124588.50316044697</v>
      </c>
      <c r="T43" s="787">
        <f t="shared" si="9"/>
        <v>700785.42647692945</v>
      </c>
      <c r="U43" s="789">
        <f t="shared" si="16"/>
        <v>51.567015443709948</v>
      </c>
      <c r="V43" s="497">
        <f t="shared" si="10"/>
        <v>116279</v>
      </c>
      <c r="W43" s="791">
        <v>75371</v>
      </c>
      <c r="X43" s="790">
        <v>40908</v>
      </c>
    </row>
    <row r="44" spans="1:24" ht="14.25" customHeight="1">
      <c r="A44" s="498" t="s">
        <v>793</v>
      </c>
      <c r="B44" s="488">
        <v>351684</v>
      </c>
      <c r="C44" s="488">
        <f t="shared" si="11"/>
        <v>349268.36751300155</v>
      </c>
      <c r="D44" s="489">
        <f t="shared" si="12"/>
        <v>321783.36751300155</v>
      </c>
      <c r="E44" s="499">
        <f t="shared" si="2"/>
        <v>91.497869539985203</v>
      </c>
      <c r="F44" s="940">
        <f t="shared" si="3"/>
        <v>2415.6324869984528</v>
      </c>
      <c r="G44" s="500">
        <f>+'10.4-a İL DAĞILIM'!C46</f>
        <v>71959</v>
      </c>
      <c r="H44" s="492">
        <f>+'11.4-b-İL-ESNAF'!C44+'12.4-b-İL-TARIM'!C44</f>
        <v>14710</v>
      </c>
      <c r="I44" s="492">
        <f>+'14.4-c İL'!C44</f>
        <v>13253</v>
      </c>
      <c r="J44" s="493">
        <f t="shared" si="13"/>
        <v>99922</v>
      </c>
      <c r="K44" s="501">
        <f t="shared" si="14"/>
        <v>28.41243843905324</v>
      </c>
      <c r="L44" s="492">
        <f>+'10.4-a İL DAĞILIM'!AG46</f>
        <v>41100</v>
      </c>
      <c r="M44" s="492">
        <f>+'11.4-b-İL-ESNAF'!O44+'12.4-b-İL-TARIM'!N44</f>
        <v>22681</v>
      </c>
      <c r="N44" s="492">
        <f>+'14.4-c İL'!V44</f>
        <v>13081</v>
      </c>
      <c r="O44" s="493">
        <f t="shared" si="8"/>
        <v>76862</v>
      </c>
      <c r="P44" s="502">
        <f t="shared" si="15"/>
        <v>21.855415657237749</v>
      </c>
      <c r="Q44" s="492">
        <f>+'10.4-a İL DAĞILIM'!AJ46</f>
        <v>67036.810000000027</v>
      </c>
      <c r="R44" s="492">
        <f>+'11.4-b-İL-ESNAF'!Q44+'12.4-b-İL-TARIM'!P44</f>
        <v>50436.95473573231</v>
      </c>
      <c r="S44" s="492">
        <f>+'14.4-c İL'!Z44</f>
        <v>27525.60277726924</v>
      </c>
      <c r="T44" s="493">
        <f t="shared" si="9"/>
        <v>144999.36751300158</v>
      </c>
      <c r="U44" s="502">
        <f t="shared" si="16"/>
        <v>41.230015443694221</v>
      </c>
      <c r="V44" s="497">
        <f t="shared" si="10"/>
        <v>27485</v>
      </c>
      <c r="W44" s="607">
        <v>18570</v>
      </c>
      <c r="X44" s="790">
        <v>8915</v>
      </c>
    </row>
    <row r="45" spans="1:24" s="739" customFormat="1" ht="14.25" customHeight="1">
      <c r="A45" s="781" t="s">
        <v>794</v>
      </c>
      <c r="B45" s="782">
        <v>229975</v>
      </c>
      <c r="C45" s="782">
        <f t="shared" si="11"/>
        <v>217394.50898737353</v>
      </c>
      <c r="D45" s="783">
        <f t="shared" si="12"/>
        <v>191178.50898737353</v>
      </c>
      <c r="E45" s="784">
        <f t="shared" si="2"/>
        <v>83.130126747417549</v>
      </c>
      <c r="F45" s="940">
        <f t="shared" si="3"/>
        <v>12580.491012626473</v>
      </c>
      <c r="G45" s="785">
        <f>+'10.4-a İL DAĞILIM'!C47</f>
        <v>30842</v>
      </c>
      <c r="H45" s="786">
        <f>+'11.4-b-İL-ESNAF'!C45+'12.4-b-İL-TARIM'!C45</f>
        <v>9459</v>
      </c>
      <c r="I45" s="786">
        <f>+'14.4-c İL'!C45</f>
        <v>11694</v>
      </c>
      <c r="J45" s="787">
        <f t="shared" si="13"/>
        <v>51995</v>
      </c>
      <c r="K45" s="788">
        <f t="shared" si="14"/>
        <v>22.608979236873573</v>
      </c>
      <c r="L45" s="786">
        <f>+'10.4-a İL DAĞILIM'!AG47</f>
        <v>19966</v>
      </c>
      <c r="M45" s="786">
        <f>+'11.4-b-İL-ESNAF'!O45+'12.4-b-İL-TARIM'!N45</f>
        <v>14053</v>
      </c>
      <c r="N45" s="786">
        <f>+'14.4-c İL'!V45</f>
        <v>6797</v>
      </c>
      <c r="O45" s="787">
        <f t="shared" si="8"/>
        <v>40816</v>
      </c>
      <c r="P45" s="789">
        <f t="shared" si="15"/>
        <v>17.748016088705292</v>
      </c>
      <c r="Q45" s="786">
        <f>+'10.4-a İL DAĞILIM'!AJ47</f>
        <v>40171.449146352112</v>
      </c>
      <c r="R45" s="786">
        <f>+'11.4-b-İL-ESNAF'!Q45+'12.4-b-İL-TARIM'!P45</f>
        <v>29599.34148853747</v>
      </c>
      <c r="S45" s="786">
        <f>+'14.4-c İL'!Z45</f>
        <v>28596.718352483949</v>
      </c>
      <c r="T45" s="787">
        <f t="shared" si="9"/>
        <v>98367.508987373527</v>
      </c>
      <c r="U45" s="789">
        <f t="shared" si="16"/>
        <v>42.773131421838691</v>
      </c>
      <c r="V45" s="790">
        <f t="shared" si="10"/>
        <v>26216</v>
      </c>
      <c r="W45" s="791">
        <v>18896</v>
      </c>
      <c r="X45" s="790">
        <v>7320</v>
      </c>
    </row>
    <row r="46" spans="1:24" s="739" customFormat="1" ht="14.25" customHeight="1">
      <c r="A46" s="781" t="s">
        <v>639</v>
      </c>
      <c r="B46" s="782">
        <v>1830772</v>
      </c>
      <c r="C46" s="782">
        <f t="shared" si="11"/>
        <v>1806091.721257214</v>
      </c>
      <c r="D46" s="783">
        <f t="shared" si="12"/>
        <v>1707262.721257214</v>
      </c>
      <c r="E46" s="784">
        <f t="shared" si="2"/>
        <v>93.253705063067045</v>
      </c>
      <c r="F46" s="940">
        <f t="shared" si="3"/>
        <v>24680.278742786031</v>
      </c>
      <c r="G46" s="785">
        <f>+'10.4-a İL DAĞILIM'!C55</f>
        <v>523290</v>
      </c>
      <c r="H46" s="786">
        <f>+'11.4-b-İL-ESNAF'!C51+'12.4-b-İL-TARIM'!C46</f>
        <v>40607</v>
      </c>
      <c r="I46" s="786">
        <f>+'14.4-c İL'!C46</f>
        <v>58083</v>
      </c>
      <c r="J46" s="787">
        <f t="shared" si="13"/>
        <v>621980</v>
      </c>
      <c r="K46" s="788">
        <f t="shared" si="14"/>
        <v>33.973646090283225</v>
      </c>
      <c r="L46" s="786">
        <f>+'10.4-a İL DAĞILIM'!AG55</f>
        <v>195822</v>
      </c>
      <c r="M46" s="786">
        <f>+'11.4-b-İL-ESNAF'!O51+'12.4-b-İL-TARIM'!N46</f>
        <v>29909</v>
      </c>
      <c r="N46" s="786">
        <f>+'14.4-c İL'!V46</f>
        <v>36815</v>
      </c>
      <c r="O46" s="787">
        <f t="shared" si="8"/>
        <v>262546</v>
      </c>
      <c r="P46" s="789">
        <f t="shared" si="15"/>
        <v>14.340726207304897</v>
      </c>
      <c r="Q46" s="786">
        <f>+'10.4-a İL DAĞILIM'!AJ55</f>
        <v>619531.20614872407</v>
      </c>
      <c r="R46" s="786">
        <f>+'11.4-b-İL-ESNAF'!Q51+'12.4-b-İL-TARIM'!P46</f>
        <v>92605.396567349468</v>
      </c>
      <c r="S46" s="786">
        <f>+'14.4-c İL'!Z46</f>
        <v>110600.11854114034</v>
      </c>
      <c r="T46" s="787">
        <f t="shared" si="9"/>
        <v>822736.72125721385</v>
      </c>
      <c r="U46" s="789">
        <f t="shared" si="16"/>
        <v>44.93933276547893</v>
      </c>
      <c r="V46" s="790">
        <f t="shared" si="10"/>
        <v>98829</v>
      </c>
      <c r="W46" s="791">
        <v>50960</v>
      </c>
      <c r="X46" s="790">
        <v>47869</v>
      </c>
    </row>
    <row r="47" spans="1:24" ht="14.25" customHeight="1">
      <c r="A47" s="498" t="s">
        <v>152</v>
      </c>
      <c r="B47" s="488">
        <v>2161303</v>
      </c>
      <c r="C47" s="488">
        <f t="shared" si="11"/>
        <v>2113854.0733406343</v>
      </c>
      <c r="D47" s="489">
        <f t="shared" si="12"/>
        <v>1902113.0733406343</v>
      </c>
      <c r="E47" s="499">
        <f t="shared" si="2"/>
        <v>88.007700601934786</v>
      </c>
      <c r="F47" s="940">
        <f t="shared" si="3"/>
        <v>47448.92665936565</v>
      </c>
      <c r="G47" s="500">
        <f>+'10.4-a İL DAĞILIM'!C56</f>
        <v>347596</v>
      </c>
      <c r="H47" s="492">
        <f>+'11.4-b-İL-ESNAF'!C52+'12.4-b-İL-TARIM'!C47</f>
        <v>104618</v>
      </c>
      <c r="I47" s="492">
        <f>+'14.4-c İL'!C47</f>
        <v>76376</v>
      </c>
      <c r="J47" s="493">
        <f t="shared" si="13"/>
        <v>528590</v>
      </c>
      <c r="K47" s="501">
        <f t="shared" si="14"/>
        <v>24.457005796965998</v>
      </c>
      <c r="L47" s="492">
        <f>+'10.4-a İL DAĞILIM'!AG56</f>
        <v>141751</v>
      </c>
      <c r="M47" s="492">
        <f>+'11.4-b-İL-ESNAF'!O52+'12.4-b-İL-TARIM'!N47</f>
        <v>100708</v>
      </c>
      <c r="N47" s="492">
        <f>+'14.4-c İL'!V47</f>
        <v>47039</v>
      </c>
      <c r="O47" s="493">
        <f t="shared" si="8"/>
        <v>289498</v>
      </c>
      <c r="P47" s="502">
        <f t="shared" si="15"/>
        <v>13.39460501373477</v>
      </c>
      <c r="Q47" s="492">
        <f>+'10.4-a İL DAĞILIM'!AJ56</f>
        <v>486583.32999999996</v>
      </c>
      <c r="R47" s="492">
        <f>+'11.4-b-İL-ESNAF'!Q52+'12.4-b-İL-TARIM'!P47</f>
        <v>399032.40044434095</v>
      </c>
      <c r="S47" s="492">
        <f>+'14.4-c İL'!Z47</f>
        <v>198409.34289629327</v>
      </c>
      <c r="T47" s="493">
        <f t="shared" si="9"/>
        <v>1084025.0733406343</v>
      </c>
      <c r="U47" s="502">
        <f t="shared" si="16"/>
        <v>50.156089791234002</v>
      </c>
      <c r="V47" s="497">
        <f t="shared" si="10"/>
        <v>211741</v>
      </c>
      <c r="W47" s="607">
        <v>137684</v>
      </c>
      <c r="X47" s="790">
        <v>74057</v>
      </c>
    </row>
    <row r="48" spans="1:24" ht="14.25" customHeight="1">
      <c r="A48" s="504" t="s">
        <v>153</v>
      </c>
      <c r="B48" s="488">
        <v>573642</v>
      </c>
      <c r="C48" s="488">
        <f t="shared" si="11"/>
        <v>557247.32870608568</v>
      </c>
      <c r="D48" s="489">
        <f t="shared" si="12"/>
        <v>519490.32870608568</v>
      </c>
      <c r="E48" s="499">
        <f t="shared" si="2"/>
        <v>90.560023273415425</v>
      </c>
      <c r="F48" s="940">
        <f t="shared" si="3"/>
        <v>16394.671293914318</v>
      </c>
      <c r="G48" s="500">
        <f>+'10.4-a İL DAĞILIM'!C57</f>
        <v>96929</v>
      </c>
      <c r="H48" s="492">
        <f>+'11.4-b-İL-ESNAF'!C53+'12.4-b-İL-TARIM'!C48</f>
        <v>19845</v>
      </c>
      <c r="I48" s="492">
        <f>+'14.4-c İL'!C48</f>
        <v>22132</v>
      </c>
      <c r="J48" s="493">
        <f t="shared" si="13"/>
        <v>138906</v>
      </c>
      <c r="K48" s="501">
        <f t="shared" si="14"/>
        <v>24.214754149800747</v>
      </c>
      <c r="L48" s="492">
        <f>+'10.4-a İL DAĞILIM'!AG57</f>
        <v>81474</v>
      </c>
      <c r="M48" s="492">
        <f>+'11.4-b-İL-ESNAF'!O53+'12.4-b-İL-TARIM'!N48</f>
        <v>19196</v>
      </c>
      <c r="N48" s="492">
        <f>+'14.4-c İL'!V48</f>
        <v>13481</v>
      </c>
      <c r="O48" s="493">
        <f t="shared" si="8"/>
        <v>114151</v>
      </c>
      <c r="P48" s="502">
        <f t="shared" si="15"/>
        <v>19.899344887577968</v>
      </c>
      <c r="Q48" s="492">
        <f>+'10.4-a İL DAĞILIM'!AJ57</f>
        <v>155557.79999999999</v>
      </c>
      <c r="R48" s="492">
        <f>+'11.4-b-İL-ESNAF'!Q53+'12.4-b-İL-TARIM'!P48</f>
        <v>60585.795971728257</v>
      </c>
      <c r="S48" s="492">
        <f>+'14.4-c İL'!Z48</f>
        <v>50289.732734357414</v>
      </c>
      <c r="T48" s="493">
        <f t="shared" si="9"/>
        <v>266433.32870608568</v>
      </c>
      <c r="U48" s="502">
        <f t="shared" si="16"/>
        <v>46.445924236036703</v>
      </c>
      <c r="V48" s="497">
        <f t="shared" si="10"/>
        <v>37757</v>
      </c>
      <c r="W48" s="607">
        <v>25847</v>
      </c>
      <c r="X48" s="790">
        <v>11910</v>
      </c>
    </row>
    <row r="49" spans="1:24" ht="14.25" customHeight="1">
      <c r="A49" s="498" t="s">
        <v>154</v>
      </c>
      <c r="B49" s="488">
        <v>781305</v>
      </c>
      <c r="C49" s="488">
        <f t="shared" si="11"/>
        <v>743992.67639029655</v>
      </c>
      <c r="D49" s="489">
        <f t="shared" si="12"/>
        <v>640739.67639029655</v>
      </c>
      <c r="E49" s="499">
        <f t="shared" si="2"/>
        <v>82.008905151035322</v>
      </c>
      <c r="F49" s="940">
        <f t="shared" si="3"/>
        <v>37312.323609703453</v>
      </c>
      <c r="G49" s="500">
        <f>+'10.4-a İL DAĞILIM'!C58</f>
        <v>118523</v>
      </c>
      <c r="H49" s="492">
        <f>+'11.4-b-İL-ESNAF'!C54+'12.4-b-İL-TARIM'!C49</f>
        <v>28383</v>
      </c>
      <c r="I49" s="492">
        <f>+'14.4-c İL'!C49</f>
        <v>38228</v>
      </c>
      <c r="J49" s="493">
        <f t="shared" si="13"/>
        <v>185134</v>
      </c>
      <c r="K49" s="501">
        <f t="shared" si="14"/>
        <v>23.695483837937807</v>
      </c>
      <c r="L49" s="492">
        <f>+'10.4-a İL DAĞILIM'!AG58</f>
        <v>58754</v>
      </c>
      <c r="M49" s="492">
        <f>+'11.4-b-İL-ESNAF'!O54+'12.4-b-İL-TARIM'!N49</f>
        <v>22015</v>
      </c>
      <c r="N49" s="492">
        <f>+'14.4-c İL'!V49</f>
        <v>20522</v>
      </c>
      <c r="O49" s="493">
        <f t="shared" si="8"/>
        <v>101291</v>
      </c>
      <c r="P49" s="502">
        <f t="shared" si="15"/>
        <v>12.964335310794119</v>
      </c>
      <c r="Q49" s="492">
        <f>+'10.4-a İL DAĞILIM'!AJ58</f>
        <v>178686.72856722196</v>
      </c>
      <c r="R49" s="492">
        <f>+'11.4-b-İL-ESNAF'!Q54+'12.4-b-İL-TARIM'!P49</f>
        <v>82446.913209777675</v>
      </c>
      <c r="S49" s="492">
        <f>+'14.4-c İL'!Z49</f>
        <v>93181.034613296972</v>
      </c>
      <c r="T49" s="493">
        <f t="shared" si="9"/>
        <v>354314.6763902966</v>
      </c>
      <c r="U49" s="502">
        <f t="shared" si="16"/>
        <v>45.349086002303402</v>
      </c>
      <c r="V49" s="497">
        <f t="shared" si="10"/>
        <v>103253</v>
      </c>
      <c r="W49" s="607">
        <v>85708</v>
      </c>
      <c r="X49" s="790">
        <v>17545</v>
      </c>
    </row>
    <row r="50" spans="1:24" ht="14.25" customHeight="1">
      <c r="A50" s="498" t="s">
        <v>848</v>
      </c>
      <c r="B50" s="488">
        <v>1396945</v>
      </c>
      <c r="C50" s="488">
        <f t="shared" si="11"/>
        <v>1371121.4394594873</v>
      </c>
      <c r="D50" s="489">
        <f t="shared" si="12"/>
        <v>1234393.4394594873</v>
      </c>
      <c r="E50" s="499">
        <f t="shared" si="2"/>
        <v>88.363782357894365</v>
      </c>
      <c r="F50" s="940">
        <f t="shared" si="3"/>
        <v>25823.56054051267</v>
      </c>
      <c r="G50" s="500">
        <f>+'10.4-a İL DAĞILIM'!C59</f>
        <v>273270</v>
      </c>
      <c r="H50" s="492">
        <f>+'11.4-b-İL-ESNAF'!C55+'12.4-b-İL-TARIM'!C50</f>
        <v>72607</v>
      </c>
      <c r="I50" s="492">
        <f>+'14.4-c İL'!C50</f>
        <v>44038</v>
      </c>
      <c r="J50" s="493">
        <f t="shared" si="13"/>
        <v>389915</v>
      </c>
      <c r="K50" s="501">
        <f t="shared" si="14"/>
        <v>27.911979354949551</v>
      </c>
      <c r="L50" s="492">
        <f>+'10.4-a İL DAĞILIM'!AG59</f>
        <v>116267</v>
      </c>
      <c r="M50" s="492">
        <f>+'11.4-b-İL-ESNAF'!O55+'12.4-b-İL-TARIM'!N50</f>
        <v>85950</v>
      </c>
      <c r="N50" s="492">
        <f>+'14.4-c İL'!V50</f>
        <v>32712</v>
      </c>
      <c r="O50" s="493">
        <f t="shared" si="8"/>
        <v>234929</v>
      </c>
      <c r="P50" s="502">
        <f t="shared" si="15"/>
        <v>16.817340697020999</v>
      </c>
      <c r="Q50" s="492">
        <f>+'10.4-a İL DAĞILIM'!AJ59</f>
        <v>313095.44678509026</v>
      </c>
      <c r="R50" s="492">
        <f>+'11.4-b-İL-ESNAF'!Q55+'12.4-b-İL-TARIM'!P50</f>
        <v>198505.09888925945</v>
      </c>
      <c r="S50" s="492">
        <f>+'14.4-c İL'!Z50</f>
        <v>97948.893785137712</v>
      </c>
      <c r="T50" s="493">
        <f t="shared" si="9"/>
        <v>609549.43945948745</v>
      </c>
      <c r="U50" s="502">
        <f t="shared" si="16"/>
        <v>43.634462305923819</v>
      </c>
      <c r="V50" s="497">
        <f t="shared" si="10"/>
        <v>136728</v>
      </c>
      <c r="W50" s="607">
        <v>97625</v>
      </c>
      <c r="X50" s="790">
        <v>39103</v>
      </c>
    </row>
    <row r="51" spans="1:24" ht="14.25" customHeight="1">
      <c r="A51" s="498" t="s">
        <v>517</v>
      </c>
      <c r="B51" s="488">
        <v>1112634</v>
      </c>
      <c r="C51" s="488">
        <f t="shared" si="11"/>
        <v>1075963.2186813392</v>
      </c>
      <c r="D51" s="489">
        <f t="shared" si="12"/>
        <v>913221.21868133917</v>
      </c>
      <c r="E51" s="499">
        <f t="shared" si="2"/>
        <v>82.077414377175174</v>
      </c>
      <c r="F51" s="940">
        <f t="shared" si="3"/>
        <v>36670.781318660825</v>
      </c>
      <c r="G51" s="500">
        <f>+'10.4-a İL DAĞILIM'!C60</f>
        <v>163996</v>
      </c>
      <c r="H51" s="492">
        <f>+'11.4-b-İL-ESNAF'!C56+'12.4-b-İL-TARIM'!C51</f>
        <v>33429</v>
      </c>
      <c r="I51" s="492">
        <f>+'14.4-c İL'!C51</f>
        <v>35756</v>
      </c>
      <c r="J51" s="493">
        <f t="shared" si="13"/>
        <v>233181</v>
      </c>
      <c r="K51" s="501">
        <f t="shared" si="14"/>
        <v>20.957565560642582</v>
      </c>
      <c r="L51" s="492">
        <f>+'10.4-a İL DAĞILIM'!AG60</f>
        <v>53448</v>
      </c>
      <c r="M51" s="492">
        <f>+'11.4-b-İL-ESNAF'!O56+'12.4-b-İL-TARIM'!N51</f>
        <v>26793</v>
      </c>
      <c r="N51" s="492">
        <f>+'14.4-c İL'!V51</f>
        <v>16913</v>
      </c>
      <c r="O51" s="493">
        <f t="shared" si="8"/>
        <v>97154</v>
      </c>
      <c r="P51" s="502">
        <f t="shared" si="15"/>
        <v>8.7318920687305983</v>
      </c>
      <c r="Q51" s="492">
        <f>+'10.4-a İL DAĞILIM'!AJ60</f>
        <v>347170.69361555309</v>
      </c>
      <c r="R51" s="492">
        <f>+'11.4-b-İL-ESNAF'!Q56+'12.4-b-İL-TARIM'!P51</f>
        <v>141528.9832134592</v>
      </c>
      <c r="S51" s="492">
        <f>+'14.4-c İL'!Z51</f>
        <v>94186.541852326889</v>
      </c>
      <c r="T51" s="493">
        <f t="shared" si="9"/>
        <v>582886.21868133917</v>
      </c>
      <c r="U51" s="502">
        <f t="shared" si="16"/>
        <v>52.387956747801987</v>
      </c>
      <c r="V51" s="497">
        <f t="shared" si="10"/>
        <v>162742</v>
      </c>
      <c r="W51" s="607">
        <v>132723</v>
      </c>
      <c r="X51" s="790">
        <v>30019</v>
      </c>
    </row>
    <row r="52" spans="1:24" ht="14.25" customHeight="1">
      <c r="A52" s="498" t="s">
        <v>532</v>
      </c>
      <c r="B52" s="488">
        <v>796237</v>
      </c>
      <c r="C52" s="488">
        <f t="shared" si="11"/>
        <v>775871.84169675398</v>
      </c>
      <c r="D52" s="489">
        <f t="shared" si="12"/>
        <v>503042.84169675398</v>
      </c>
      <c r="E52" s="499">
        <f t="shared" si="2"/>
        <v>63.17752650237982</v>
      </c>
      <c r="F52" s="940">
        <f t="shared" si="3"/>
        <v>20365.158303246018</v>
      </c>
      <c r="G52" s="500">
        <f>+'10.4-a İL DAĞILIM'!C61</f>
        <v>78412</v>
      </c>
      <c r="H52" s="492">
        <f>+'11.4-b-İL-ESNAF'!C57+'12.4-b-İL-TARIM'!C52</f>
        <v>17998</v>
      </c>
      <c r="I52" s="492">
        <f>+'14.4-c İL'!C52</f>
        <v>28424</v>
      </c>
      <c r="J52" s="493">
        <f t="shared" si="13"/>
        <v>124834</v>
      </c>
      <c r="K52" s="501">
        <f t="shared" si="14"/>
        <v>15.677995370725048</v>
      </c>
      <c r="L52" s="492">
        <f>+'10.4-a İL DAĞILIM'!AG61</f>
        <v>16286</v>
      </c>
      <c r="M52" s="492">
        <f>+'11.4-b-İL-ESNAF'!O57+'12.4-b-İL-TARIM'!N52</f>
        <v>13374</v>
      </c>
      <c r="N52" s="492">
        <f>+'14.4-c İL'!V52</f>
        <v>7415</v>
      </c>
      <c r="O52" s="493">
        <f t="shared" si="8"/>
        <v>37075</v>
      </c>
      <c r="P52" s="502">
        <f t="shared" si="15"/>
        <v>4.6562769627635996</v>
      </c>
      <c r="Q52" s="492">
        <f>+'10.4-a İL DAĞILIM'!AJ61</f>
        <v>157157.29999999996</v>
      </c>
      <c r="R52" s="492">
        <f>+'11.4-b-İL-ESNAF'!Q57+'12.4-b-İL-TARIM'!P52</f>
        <v>109307.59480709236</v>
      </c>
      <c r="S52" s="492">
        <f>+'14.4-c İL'!Z52</f>
        <v>74668.946889661704</v>
      </c>
      <c r="T52" s="493">
        <f t="shared" si="9"/>
        <v>341133.84169675398</v>
      </c>
      <c r="U52" s="502">
        <f t="shared" si="16"/>
        <v>42.843254168891171</v>
      </c>
      <c r="V52" s="497">
        <f t="shared" si="10"/>
        <v>272829</v>
      </c>
      <c r="W52" s="607">
        <v>240730</v>
      </c>
      <c r="X52" s="790">
        <v>32099</v>
      </c>
    </row>
    <row r="53" spans="1:24" s="739" customFormat="1" ht="14.25" customHeight="1">
      <c r="A53" s="781" t="s">
        <v>547</v>
      </c>
      <c r="B53" s="488">
        <v>923773</v>
      </c>
      <c r="C53" s="782">
        <f t="shared" si="11"/>
        <v>908153.10894693143</v>
      </c>
      <c r="D53" s="783">
        <f t="shared" si="12"/>
        <v>835197.10894693143</v>
      </c>
      <c r="E53" s="784">
        <f t="shared" si="2"/>
        <v>90.411508990512985</v>
      </c>
      <c r="F53" s="940">
        <f t="shared" si="3"/>
        <v>15619.891053068568</v>
      </c>
      <c r="G53" s="785">
        <f>+'10.4-a İL DAĞILIM'!C62</f>
        <v>211402</v>
      </c>
      <c r="H53" s="492">
        <f>+'11.4-b-İL-ESNAF'!C58+'12.4-b-İL-TARIM'!C53</f>
        <v>45660</v>
      </c>
      <c r="I53" s="786">
        <f>+'14.4-c İL'!C53</f>
        <v>36495</v>
      </c>
      <c r="J53" s="787">
        <f t="shared" si="13"/>
        <v>293557</v>
      </c>
      <c r="K53" s="788">
        <f t="shared" si="14"/>
        <v>31.778045039203356</v>
      </c>
      <c r="L53" s="786">
        <f>+'10.4-a İL DAĞILIM'!AG62</f>
        <v>90596</v>
      </c>
      <c r="M53" s="786">
        <f>+'11.4-b-İL-ESNAF'!O58+'12.4-b-İL-TARIM'!N53</f>
        <v>46988</v>
      </c>
      <c r="N53" s="492">
        <f>+'14.4-c İL'!V53</f>
        <v>32554</v>
      </c>
      <c r="O53" s="787">
        <f t="shared" si="8"/>
        <v>170138</v>
      </c>
      <c r="P53" s="789">
        <f t="shared" si="15"/>
        <v>18.417728164819714</v>
      </c>
      <c r="Q53" s="786">
        <f>+'10.4-a İL DAĞILIM'!AJ62</f>
        <v>199355.71999999997</v>
      </c>
      <c r="R53" s="786">
        <f>+'11.4-b-İL-ESNAF'!Q58+'12.4-b-İL-TARIM'!P53</f>
        <v>102123.9549303766</v>
      </c>
      <c r="S53" s="492">
        <f>+'14.4-c İL'!Z53</f>
        <v>70022.434016554878</v>
      </c>
      <c r="T53" s="787">
        <f t="shared" si="9"/>
        <v>371502.10894693143</v>
      </c>
      <c r="U53" s="789">
        <f t="shared" si="16"/>
        <v>40.215735786489908</v>
      </c>
      <c r="V53" s="497">
        <f t="shared" si="10"/>
        <v>72956</v>
      </c>
      <c r="W53" s="791">
        <v>41064</v>
      </c>
      <c r="X53" s="790">
        <v>31892</v>
      </c>
    </row>
    <row r="54" spans="1:24" ht="14.25" customHeight="1">
      <c r="A54" s="498" t="s">
        <v>548</v>
      </c>
      <c r="B54" s="488">
        <v>406501</v>
      </c>
      <c r="C54" s="488">
        <f t="shared" si="11"/>
        <v>386308.6401842878</v>
      </c>
      <c r="D54" s="489">
        <f t="shared" si="12"/>
        <v>208875.6401842878</v>
      </c>
      <c r="E54" s="499">
        <f t="shared" si="2"/>
        <v>51.383794919148485</v>
      </c>
      <c r="F54" s="940">
        <f t="shared" si="3"/>
        <v>20192.359815712203</v>
      </c>
      <c r="G54" s="500">
        <f>+'10.4-a İL DAĞILIM'!C63</f>
        <v>29958</v>
      </c>
      <c r="H54" s="492">
        <f>+'11.4-b-İL-ESNAF'!C59+'12.4-b-İL-TARIM'!C54</f>
        <v>6691</v>
      </c>
      <c r="I54" s="492">
        <f>+'14.4-c İL'!C54</f>
        <v>14916</v>
      </c>
      <c r="J54" s="493">
        <f t="shared" si="13"/>
        <v>51565</v>
      </c>
      <c r="K54" s="501">
        <f t="shared" si="14"/>
        <v>12.685085645545769</v>
      </c>
      <c r="L54" s="492">
        <f>+'10.4-a İL DAĞILIM'!AG63</f>
        <v>5744</v>
      </c>
      <c r="M54" s="492">
        <f>+'11.4-b-İL-ESNAF'!O59+'12.4-b-İL-TARIM'!N54</f>
        <v>8378</v>
      </c>
      <c r="N54" s="492">
        <f>+'14.4-c İL'!V54</f>
        <v>3591</v>
      </c>
      <c r="O54" s="493">
        <f t="shared" si="8"/>
        <v>17713</v>
      </c>
      <c r="P54" s="502">
        <f t="shared" si="15"/>
        <v>4.3574308550286469</v>
      </c>
      <c r="Q54" s="492">
        <f>+'10.4-a İL DAĞILIM'!AJ63</f>
        <v>67514.656741167986</v>
      </c>
      <c r="R54" s="492">
        <f>+'11.4-b-İL-ESNAF'!Q59+'12.4-b-İL-TARIM'!P54</f>
        <v>37633.240339688491</v>
      </c>
      <c r="S54" s="492">
        <f>+'14.4-c İL'!Z54</f>
        <v>34449.743103431341</v>
      </c>
      <c r="T54" s="493">
        <f t="shared" si="9"/>
        <v>139597.6401842878</v>
      </c>
      <c r="U54" s="502">
        <f t="shared" si="16"/>
        <v>34.34127841857407</v>
      </c>
      <c r="V54" s="497">
        <f t="shared" si="10"/>
        <v>177433</v>
      </c>
      <c r="W54" s="607">
        <v>160531</v>
      </c>
      <c r="X54" s="790">
        <v>16902</v>
      </c>
    </row>
    <row r="55" spans="1:24" ht="14.25" customHeight="1">
      <c r="A55" s="498" t="s">
        <v>549</v>
      </c>
      <c r="B55" s="488">
        <v>290895</v>
      </c>
      <c r="C55" s="488">
        <f t="shared" si="11"/>
        <v>280128.19485994452</v>
      </c>
      <c r="D55" s="489">
        <f t="shared" si="12"/>
        <v>247768.19485994455</v>
      </c>
      <c r="E55" s="499">
        <f t="shared" si="2"/>
        <v>85.174442620170353</v>
      </c>
      <c r="F55" s="940">
        <f t="shared" si="3"/>
        <v>10766.805140055483</v>
      </c>
      <c r="G55" s="500">
        <f>+'10.4-a İL DAĞILIM'!C64</f>
        <v>45060</v>
      </c>
      <c r="H55" s="492">
        <f>+'11.4-b-İL-ESNAF'!C60+'12.4-b-İL-TARIM'!C55</f>
        <v>17442</v>
      </c>
      <c r="I55" s="492">
        <f>+'14.4-c İL'!C55</f>
        <v>12098</v>
      </c>
      <c r="J55" s="493">
        <f t="shared" si="13"/>
        <v>74600</v>
      </c>
      <c r="K55" s="501">
        <f t="shared" si="14"/>
        <v>25.644992179308684</v>
      </c>
      <c r="L55" s="492">
        <f>+'10.4-a İL DAĞILIM'!AG64</f>
        <v>22698</v>
      </c>
      <c r="M55" s="492">
        <f>+'11.4-b-İL-ESNAF'!O60+'12.4-b-İL-TARIM'!N55</f>
        <v>20080</v>
      </c>
      <c r="N55" s="492">
        <f>+'14.4-c İL'!V55</f>
        <v>7666</v>
      </c>
      <c r="O55" s="493">
        <f t="shared" si="8"/>
        <v>50444</v>
      </c>
      <c r="P55" s="502">
        <f t="shared" si="15"/>
        <v>17.340964952989911</v>
      </c>
      <c r="Q55" s="492">
        <f>+'10.4-a İL DAĞILIM'!AJ64</f>
        <v>46491.661344849563</v>
      </c>
      <c r="R55" s="492">
        <f>+'11.4-b-İL-ESNAF'!Q60+'12.4-b-İL-TARIM'!P55</f>
        <v>46900.2112871258</v>
      </c>
      <c r="S55" s="492">
        <f>+'14.4-c İL'!Z55</f>
        <v>29332.322227969184</v>
      </c>
      <c r="T55" s="493">
        <f t="shared" si="9"/>
        <v>122724.19485994455</v>
      </c>
      <c r="U55" s="502">
        <f t="shared" si="16"/>
        <v>42.188485487871759</v>
      </c>
      <c r="V55" s="497">
        <f t="shared" si="10"/>
        <v>32360</v>
      </c>
      <c r="W55" s="607">
        <v>22787</v>
      </c>
      <c r="X55" s="790">
        <v>9573</v>
      </c>
    </row>
    <row r="56" spans="1:24" ht="14.25" customHeight="1">
      <c r="A56" s="498" t="s">
        <v>550</v>
      </c>
      <c r="B56" s="488">
        <v>351468</v>
      </c>
      <c r="C56" s="488">
        <f t="shared" si="11"/>
        <v>337284.1588607466</v>
      </c>
      <c r="D56" s="489">
        <f t="shared" si="12"/>
        <v>287992.1588607466</v>
      </c>
      <c r="E56" s="499">
        <f t="shared" si="2"/>
        <v>81.939795048410275</v>
      </c>
      <c r="F56" s="940">
        <f t="shared" si="3"/>
        <v>14183.841139253404</v>
      </c>
      <c r="G56" s="500">
        <f>+'10.4-a İL DAĞILIM'!C65</f>
        <v>44822</v>
      </c>
      <c r="H56" s="492">
        <f>+'11.4-b-İL-ESNAF'!C61+'12.4-b-İL-TARIM'!C56</f>
        <v>21767</v>
      </c>
      <c r="I56" s="492">
        <f>+'14.4-c İL'!C56</f>
        <v>13929</v>
      </c>
      <c r="J56" s="493">
        <f t="shared" si="13"/>
        <v>80518</v>
      </c>
      <c r="K56" s="501">
        <f t="shared" si="14"/>
        <v>22.909055731958528</v>
      </c>
      <c r="L56" s="492">
        <f>+'10.4-a İL DAĞILIM'!AG65</f>
        <v>19993</v>
      </c>
      <c r="M56" s="492">
        <f>+'11.4-b-İL-ESNAF'!O61+'12.4-b-İL-TARIM'!N56</f>
        <v>15769</v>
      </c>
      <c r="N56" s="492">
        <f>+'14.4-c İL'!V56</f>
        <v>9027</v>
      </c>
      <c r="O56" s="493">
        <f t="shared" si="8"/>
        <v>44789</v>
      </c>
      <c r="P56" s="502">
        <f t="shared" si="15"/>
        <v>12.743407650198597</v>
      </c>
      <c r="Q56" s="492">
        <f>+'10.4-a İL DAĞILIM'!AJ65</f>
        <v>62765.809044086855</v>
      </c>
      <c r="R56" s="492">
        <f>+'11.4-b-İL-ESNAF'!Q61+'12.4-b-İL-TARIM'!P56</f>
        <v>68529.606785855649</v>
      </c>
      <c r="S56" s="492">
        <f>+'14.4-c İL'!Z56</f>
        <v>31389.743030804108</v>
      </c>
      <c r="T56" s="493">
        <f t="shared" si="9"/>
        <v>162685.1588607466</v>
      </c>
      <c r="U56" s="502">
        <f t="shared" si="16"/>
        <v>46.287331666253145</v>
      </c>
      <c r="V56" s="497">
        <f t="shared" si="10"/>
        <v>49292</v>
      </c>
      <c r="W56" s="607">
        <v>39123</v>
      </c>
      <c r="X56" s="790">
        <v>10169</v>
      </c>
    </row>
    <row r="57" spans="1:24" ht="14.25" customHeight="1">
      <c r="A57" s="498" t="s">
        <v>206</v>
      </c>
      <c r="B57" s="488">
        <v>750588</v>
      </c>
      <c r="C57" s="488">
        <f t="shared" si="11"/>
        <v>706384.13462007383</v>
      </c>
      <c r="D57" s="489">
        <f t="shared" si="12"/>
        <v>618667.13462007383</v>
      </c>
      <c r="E57" s="499">
        <f t="shared" si="2"/>
        <v>82.424330607480243</v>
      </c>
      <c r="F57" s="940">
        <f t="shared" si="3"/>
        <v>44203.865379926166</v>
      </c>
      <c r="G57" s="500">
        <f>+'10.4-a İL DAĞILIM'!C66</f>
        <v>102934</v>
      </c>
      <c r="H57" s="492">
        <f>+'11.4-b-İL-ESNAF'!C62+'12.4-b-İL-TARIM'!C57</f>
        <v>26207</v>
      </c>
      <c r="I57" s="492">
        <f>+'14.4-c İL'!C57</f>
        <v>25240</v>
      </c>
      <c r="J57" s="493">
        <f t="shared" si="13"/>
        <v>154381</v>
      </c>
      <c r="K57" s="501">
        <f t="shared" si="14"/>
        <v>20.568008015049536</v>
      </c>
      <c r="L57" s="492">
        <f>+'10.4-a İL DAĞILIM'!AG66</f>
        <v>63939</v>
      </c>
      <c r="M57" s="492">
        <f>+'11.4-b-İL-ESNAF'!O62+'12.4-b-İL-TARIM'!N57</f>
        <v>34005</v>
      </c>
      <c r="N57" s="492">
        <f>+'14.4-c İL'!V57</f>
        <v>17977</v>
      </c>
      <c r="O57" s="493">
        <f t="shared" si="8"/>
        <v>115921</v>
      </c>
      <c r="P57" s="502">
        <f t="shared" si="15"/>
        <v>15.444025217562766</v>
      </c>
      <c r="Q57" s="492">
        <f>+'10.4-a İL DAĞILIM'!AJ66</f>
        <v>188956.97233653325</v>
      </c>
      <c r="R57" s="492">
        <f>+'11.4-b-İL-ESNAF'!Q62+'12.4-b-İL-TARIM'!P57</f>
        <v>98044.158745705543</v>
      </c>
      <c r="S57" s="492">
        <f>+'14.4-c İL'!Z57</f>
        <v>61364.003537835059</v>
      </c>
      <c r="T57" s="493">
        <f t="shared" si="9"/>
        <v>348365.13462007383</v>
      </c>
      <c r="U57" s="502">
        <f t="shared" si="16"/>
        <v>46.412297374867947</v>
      </c>
      <c r="V57" s="497">
        <f t="shared" si="10"/>
        <v>87717</v>
      </c>
      <c r="W57" s="607">
        <v>67268</v>
      </c>
      <c r="X57" s="790">
        <v>20449</v>
      </c>
    </row>
    <row r="58" spans="1:24" s="739" customFormat="1" ht="14.25" customHeight="1">
      <c r="A58" s="781" t="s">
        <v>207</v>
      </c>
      <c r="B58" s="782">
        <v>331048</v>
      </c>
      <c r="C58" s="782">
        <f t="shared" si="11"/>
        <v>326412.79993692023</v>
      </c>
      <c r="D58" s="783">
        <f t="shared" si="12"/>
        <v>295705.79993692023</v>
      </c>
      <c r="E58" s="784">
        <f t="shared" si="2"/>
        <v>89.324146328302916</v>
      </c>
      <c r="F58" s="940">
        <f t="shared" si="3"/>
        <v>4635.2000630797702</v>
      </c>
      <c r="G58" s="785">
        <f>+'10.4-a İL DAĞILIM'!C67</f>
        <v>62872</v>
      </c>
      <c r="H58" s="786">
        <f>+'11.4-b-İL-ESNAF'!C63+'12.4-b-İL-TARIM'!C58</f>
        <v>15913</v>
      </c>
      <c r="I58" s="786">
        <f>+'14.4-c İL'!C58</f>
        <v>14942</v>
      </c>
      <c r="J58" s="787">
        <f t="shared" si="13"/>
        <v>93727</v>
      </c>
      <c r="K58" s="788">
        <f t="shared" si="14"/>
        <v>28.31220850148619</v>
      </c>
      <c r="L58" s="786">
        <f>+'10.4-a İL DAĞILIM'!AG67</f>
        <v>46970</v>
      </c>
      <c r="M58" s="786">
        <f>+'11.4-b-İL-ESNAF'!O63+'12.4-b-İL-TARIM'!N58</f>
        <v>14060</v>
      </c>
      <c r="N58" s="786">
        <f>+'14.4-c İL'!V58</f>
        <v>6665</v>
      </c>
      <c r="O58" s="787">
        <f t="shared" si="8"/>
        <v>67695</v>
      </c>
      <c r="P58" s="789">
        <f t="shared" si="15"/>
        <v>20.448696261569317</v>
      </c>
      <c r="Q58" s="786">
        <f>+'10.4-a İL DAĞILIM'!AJ67</f>
        <v>77380.824984950537</v>
      </c>
      <c r="R58" s="786">
        <f>+'11.4-b-İL-ESNAF'!Q63+'12.4-b-İL-TARIM'!P58</f>
        <v>35176.882870859321</v>
      </c>
      <c r="S58" s="786">
        <f>+'14.4-c İL'!Z58</f>
        <v>21726.092081110372</v>
      </c>
      <c r="T58" s="787">
        <f t="shared" si="9"/>
        <v>134283.79993692023</v>
      </c>
      <c r="U58" s="789">
        <f t="shared" si="16"/>
        <v>40.563241565247402</v>
      </c>
      <c r="V58" s="790">
        <f t="shared" si="10"/>
        <v>30707</v>
      </c>
      <c r="W58" s="791">
        <v>21241</v>
      </c>
      <c r="X58" s="790">
        <v>9466</v>
      </c>
    </row>
    <row r="59" spans="1:24" ht="14.25" customHeight="1">
      <c r="A59" s="498" t="s">
        <v>208</v>
      </c>
      <c r="B59" s="488">
        <v>976948</v>
      </c>
      <c r="C59" s="488">
        <f t="shared" si="11"/>
        <v>966110.88528163312</v>
      </c>
      <c r="D59" s="489">
        <f t="shared" si="12"/>
        <v>883088.88528163312</v>
      </c>
      <c r="E59" s="499">
        <f t="shared" si="2"/>
        <v>90.392619185630465</v>
      </c>
      <c r="F59" s="940">
        <f t="shared" si="3"/>
        <v>10837.11471836688</v>
      </c>
      <c r="G59" s="500">
        <f>+'10.4-a İL DAĞILIM'!C68</f>
        <v>208132</v>
      </c>
      <c r="H59" s="492">
        <f>+'11.4-b-İL-ESNAF'!C64+'12.4-b-İL-TARIM'!C59</f>
        <v>36170</v>
      </c>
      <c r="I59" s="492">
        <f>+'14.4-c İL'!C59</f>
        <v>29921</v>
      </c>
      <c r="J59" s="493">
        <f t="shared" si="13"/>
        <v>274223</v>
      </c>
      <c r="K59" s="501">
        <f t="shared" si="14"/>
        <v>28.069354766067384</v>
      </c>
      <c r="L59" s="492">
        <f>+'10.4-a İL DAĞILIM'!AG68</f>
        <v>93304</v>
      </c>
      <c r="M59" s="492">
        <f>+'11.4-b-İL-ESNAF'!O64+'12.4-b-İL-TARIM'!N59</f>
        <v>44357</v>
      </c>
      <c r="N59" s="492">
        <f>+'14.4-c İL'!V59</f>
        <v>19756</v>
      </c>
      <c r="O59" s="493">
        <f t="shared" si="8"/>
        <v>157417</v>
      </c>
      <c r="P59" s="502">
        <f t="shared" si="15"/>
        <v>16.11314010571699</v>
      </c>
      <c r="Q59" s="492">
        <f>+'10.4-a İL DAĞILIM'!AJ68</f>
        <v>281028.80200955819</v>
      </c>
      <c r="R59" s="492">
        <f>+'11.4-b-İL-ESNAF'!Q64+'12.4-b-İL-TARIM'!P59</f>
        <v>102165.38461186776</v>
      </c>
      <c r="S59" s="492">
        <f>+'14.4-c İL'!Z59</f>
        <v>68254.698660207156</v>
      </c>
      <c r="T59" s="493">
        <f t="shared" si="9"/>
        <v>451448.88528163312</v>
      </c>
      <c r="U59" s="502">
        <f t="shared" si="16"/>
        <v>46.210124313846087</v>
      </c>
      <c r="V59" s="497">
        <f t="shared" si="10"/>
        <v>83022</v>
      </c>
      <c r="W59" s="607">
        <v>55204</v>
      </c>
      <c r="X59" s="790">
        <v>27818</v>
      </c>
    </row>
    <row r="60" spans="1:24" ht="14.25" customHeight="1">
      <c r="A60" s="498" t="s">
        <v>209</v>
      </c>
      <c r="B60" s="488">
        <v>1295927</v>
      </c>
      <c r="C60" s="488">
        <f t="shared" si="11"/>
        <v>1250612.9042209992</v>
      </c>
      <c r="D60" s="489">
        <f t="shared" si="12"/>
        <v>1114930.9042209992</v>
      </c>
      <c r="E60" s="499">
        <f t="shared" si="2"/>
        <v>86.033465173655557</v>
      </c>
      <c r="F60" s="940">
        <f t="shared" si="3"/>
        <v>45314.095779000781</v>
      </c>
      <c r="G60" s="500">
        <f>+'10.4-a İL DAĞILIM'!C69</f>
        <v>194173</v>
      </c>
      <c r="H60" s="492">
        <f>+'11.4-b-İL-ESNAF'!C65+'12.4-b-İL-TARIM'!C60</f>
        <v>52856</v>
      </c>
      <c r="I60" s="492">
        <f>+'14.4-c İL'!C60</f>
        <v>52790</v>
      </c>
      <c r="J60" s="493">
        <f t="shared" si="13"/>
        <v>299819</v>
      </c>
      <c r="K60" s="501">
        <f t="shared" si="14"/>
        <v>23.135485254956489</v>
      </c>
      <c r="L60" s="492">
        <f>+'10.4-a İL DAĞILIM'!AG69</f>
        <v>135673</v>
      </c>
      <c r="M60" s="492">
        <f>+'11.4-b-İL-ESNAF'!O65+'12.4-b-İL-TARIM'!N60</f>
        <v>62282</v>
      </c>
      <c r="N60" s="492">
        <f>+'14.4-c İL'!V60</f>
        <v>36991</v>
      </c>
      <c r="O60" s="493">
        <f t="shared" si="8"/>
        <v>234946</v>
      </c>
      <c r="P60" s="502">
        <f t="shared" si="15"/>
        <v>18.129570569947226</v>
      </c>
      <c r="Q60" s="492">
        <f>+'10.4-a İL DAĞILIM'!AJ69</f>
        <v>294365.62999999989</v>
      </c>
      <c r="R60" s="492">
        <f>+'11.4-b-İL-ESNAF'!Q65+'12.4-b-İL-TARIM'!P60</f>
        <v>166086.36654346462</v>
      </c>
      <c r="S60" s="492">
        <f>+'14.4-c İL'!Z60</f>
        <v>119713.90767753485</v>
      </c>
      <c r="T60" s="493">
        <f t="shared" si="9"/>
        <v>580165.90422099933</v>
      </c>
      <c r="U60" s="502">
        <f t="shared" si="16"/>
        <v>44.768409348751845</v>
      </c>
      <c r="V60" s="497">
        <f t="shared" si="10"/>
        <v>135682</v>
      </c>
      <c r="W60" s="607">
        <v>98114</v>
      </c>
      <c r="X60" s="790">
        <v>37568</v>
      </c>
    </row>
    <row r="61" spans="1:24" ht="14.25" customHeight="1">
      <c r="A61" s="498" t="s">
        <v>210</v>
      </c>
      <c r="B61" s="488">
        <v>322664</v>
      </c>
      <c r="C61" s="488">
        <f t="shared" si="11"/>
        <v>306153.54516679933</v>
      </c>
      <c r="D61" s="489">
        <f t="shared" si="12"/>
        <v>204196.54516679933</v>
      </c>
      <c r="E61" s="499">
        <f t="shared" si="2"/>
        <v>63.284576267200343</v>
      </c>
      <c r="F61" s="940">
        <f t="shared" si="3"/>
        <v>16510.454833200667</v>
      </c>
      <c r="G61" s="500">
        <f>+'10.4-a İL DAĞILIM'!C70</f>
        <v>28654</v>
      </c>
      <c r="H61" s="492">
        <f>+'11.4-b-İL-ESNAF'!C66+'12.4-b-İL-TARIM'!C61</f>
        <v>5301</v>
      </c>
      <c r="I61" s="492">
        <f>+'14.4-c İL'!C61</f>
        <v>14999</v>
      </c>
      <c r="J61" s="493">
        <f t="shared" si="13"/>
        <v>48954</v>
      </c>
      <c r="K61" s="501">
        <f t="shared" si="14"/>
        <v>15.171819601814891</v>
      </c>
      <c r="L61" s="492">
        <f>+'10.4-a İL DAĞILIM'!AG70</f>
        <v>8218</v>
      </c>
      <c r="M61" s="492">
        <f>+'11.4-b-İL-ESNAF'!O66+'12.4-b-İL-TARIM'!N61</f>
        <v>3868</v>
      </c>
      <c r="N61" s="492">
        <f>+'14.4-c İL'!V61</f>
        <v>6499</v>
      </c>
      <c r="O61" s="493">
        <f t="shared" si="8"/>
        <v>18585</v>
      </c>
      <c r="P61" s="502">
        <f t="shared" si="15"/>
        <v>5.7598616517491878</v>
      </c>
      <c r="Q61" s="492">
        <f>+'10.4-a İL DAĞILIM'!AJ70</f>
        <v>61947.100000000006</v>
      </c>
      <c r="R61" s="492">
        <f>+'11.4-b-İL-ESNAF'!Q66+'12.4-b-İL-TARIM'!P61</f>
        <v>28906.009325020332</v>
      </c>
      <c r="S61" s="492">
        <f>+'14.4-c İL'!Z61</f>
        <v>45804.435841779006</v>
      </c>
      <c r="T61" s="493">
        <f t="shared" si="9"/>
        <v>136657.54516679933</v>
      </c>
      <c r="U61" s="502">
        <f t="shared" si="16"/>
        <v>42.352895013636271</v>
      </c>
      <c r="V61" s="497">
        <f t="shared" si="10"/>
        <v>101957</v>
      </c>
      <c r="W61" s="607">
        <v>95211</v>
      </c>
      <c r="X61" s="790">
        <v>6746</v>
      </c>
    </row>
    <row r="62" spans="1:24" ht="14.25" customHeight="1">
      <c r="A62" s="498" t="s">
        <v>745</v>
      </c>
      <c r="B62" s="488">
        <v>205478</v>
      </c>
      <c r="C62" s="488">
        <f t="shared" si="11"/>
        <v>198063.84805931844</v>
      </c>
      <c r="D62" s="489">
        <f t="shared" si="12"/>
        <v>177872.84805931844</v>
      </c>
      <c r="E62" s="499">
        <f t="shared" si="2"/>
        <v>86.565397784345976</v>
      </c>
      <c r="F62" s="940">
        <f t="shared" si="3"/>
        <v>7414.1519406815642</v>
      </c>
      <c r="G62" s="500">
        <f>+'10.4-a İL DAĞILIM'!C71</f>
        <v>28393</v>
      </c>
      <c r="H62" s="492">
        <f>+'11.4-b-İL-ESNAF'!C67+'12.4-b-İL-TARIM'!C62</f>
        <v>8324</v>
      </c>
      <c r="I62" s="492">
        <f>+'14.4-c İL'!C62</f>
        <v>10065</v>
      </c>
      <c r="J62" s="493">
        <f t="shared" si="13"/>
        <v>46782</v>
      </c>
      <c r="K62" s="501">
        <f t="shared" si="14"/>
        <v>22.767400889632952</v>
      </c>
      <c r="L62" s="492">
        <f>+'10.4-a İL DAĞILIM'!AG71</f>
        <v>28889</v>
      </c>
      <c r="M62" s="492">
        <f>+'11.4-b-İL-ESNAF'!O67+'12.4-b-İL-TARIM'!N62</f>
        <v>13176</v>
      </c>
      <c r="N62" s="492">
        <f>+'14.4-c İL'!V62</f>
        <v>8514</v>
      </c>
      <c r="O62" s="493">
        <f t="shared" si="8"/>
        <v>50579</v>
      </c>
      <c r="P62" s="502">
        <f t="shared" si="15"/>
        <v>24.615287281363454</v>
      </c>
      <c r="Q62" s="492">
        <f>+'10.4-a İL DAĞILIM'!AJ71</f>
        <v>41935.039999999994</v>
      </c>
      <c r="R62" s="492">
        <f>+'11.4-b-İL-ESNAF'!Q67+'12.4-b-İL-TARIM'!P62</f>
        <v>22197.19514699826</v>
      </c>
      <c r="S62" s="492">
        <f>+'14.4-c İL'!Z62</f>
        <v>16379.612912320168</v>
      </c>
      <c r="T62" s="493">
        <f t="shared" si="9"/>
        <v>80511.848059318421</v>
      </c>
      <c r="U62" s="502">
        <f t="shared" si="16"/>
        <v>39.182709613349566</v>
      </c>
      <c r="V62" s="497">
        <f t="shared" si="10"/>
        <v>20191</v>
      </c>
      <c r="W62" s="607">
        <v>15784</v>
      </c>
      <c r="X62" s="790">
        <v>4407</v>
      </c>
    </row>
    <row r="63" spans="1:24" s="739" customFormat="1" ht="14.25" customHeight="1">
      <c r="A63" s="781" t="s">
        <v>746</v>
      </c>
      <c r="B63" s="782">
        <v>621224</v>
      </c>
      <c r="C63" s="782">
        <f t="shared" si="11"/>
        <v>607133.36971921381</v>
      </c>
      <c r="D63" s="783">
        <f t="shared" si="12"/>
        <v>537876.36971921381</v>
      </c>
      <c r="E63" s="784">
        <f t="shared" si="2"/>
        <v>86.583320946907037</v>
      </c>
      <c r="F63" s="940">
        <f t="shared" si="3"/>
        <v>14090.630280786194</v>
      </c>
      <c r="G63" s="785">
        <f>+'10.4-a İL DAĞILIM'!C72</f>
        <v>88769</v>
      </c>
      <c r="H63" s="786">
        <f>+'11.4-b-İL-ESNAF'!C68+'12.4-b-İL-TARIM'!C63</f>
        <v>26196</v>
      </c>
      <c r="I63" s="786">
        <f>+'14.4-c İL'!C63</f>
        <v>29125</v>
      </c>
      <c r="J63" s="787">
        <f t="shared" si="13"/>
        <v>144090</v>
      </c>
      <c r="K63" s="788">
        <f t="shared" si="14"/>
        <v>23.194532085045008</v>
      </c>
      <c r="L63" s="786">
        <f>+'10.4-a İL DAĞILIM'!AG72</f>
        <v>55815</v>
      </c>
      <c r="M63" s="786">
        <f>+'11.4-b-İL-ESNAF'!O68+'12.4-b-İL-TARIM'!N63</f>
        <v>33564</v>
      </c>
      <c r="N63" s="786">
        <f>+'14.4-c İL'!V63</f>
        <v>15454</v>
      </c>
      <c r="O63" s="787">
        <f t="shared" si="8"/>
        <v>104833</v>
      </c>
      <c r="P63" s="789">
        <f t="shared" si="15"/>
        <v>16.875233410170889</v>
      </c>
      <c r="Q63" s="786">
        <f>+'10.4-a İL DAĞILIM'!AJ72</f>
        <v>140721.29867649847</v>
      </c>
      <c r="R63" s="786">
        <f>+'11.4-b-İL-ESNAF'!Q68+'12.4-b-İL-TARIM'!P63</f>
        <v>81431.272699698209</v>
      </c>
      <c r="S63" s="786">
        <f>+'14.4-c İL'!Z63</f>
        <v>66800.798343017057</v>
      </c>
      <c r="T63" s="787">
        <f t="shared" si="9"/>
        <v>288953.36971921375</v>
      </c>
      <c r="U63" s="789">
        <f t="shared" si="16"/>
        <v>46.513555451691133</v>
      </c>
      <c r="V63" s="790">
        <f t="shared" si="10"/>
        <v>69257</v>
      </c>
      <c r="W63" s="791">
        <v>51180</v>
      </c>
      <c r="X63" s="790">
        <v>18077</v>
      </c>
    </row>
    <row r="64" spans="1:24" ht="14.25" customHeight="1">
      <c r="A64" s="498" t="s">
        <v>747</v>
      </c>
      <c r="B64" s="488">
        <v>972875</v>
      </c>
      <c r="C64" s="488">
        <f t="shared" si="11"/>
        <v>962439.9131610794</v>
      </c>
      <c r="D64" s="489">
        <f t="shared" si="12"/>
        <v>902469.9131610794</v>
      </c>
      <c r="E64" s="499">
        <f t="shared" si="2"/>
        <v>92.763192924176224</v>
      </c>
      <c r="F64" s="940">
        <f t="shared" si="3"/>
        <v>10435.086838920601</v>
      </c>
      <c r="G64" s="500">
        <f>+'10.4-a İL DAĞILIM'!C73</f>
        <v>276301</v>
      </c>
      <c r="H64" s="492">
        <f>+'11.4-b-İL-ESNAF'!C69+'12.4-b-İL-TARIM'!C64</f>
        <v>32373</v>
      </c>
      <c r="I64" s="492">
        <f>+'14.4-c İL'!C64</f>
        <v>27977</v>
      </c>
      <c r="J64" s="493">
        <f t="shared" si="13"/>
        <v>336651</v>
      </c>
      <c r="K64" s="501">
        <f t="shared" si="14"/>
        <v>34.603726069638959</v>
      </c>
      <c r="L64" s="492">
        <f>+'10.4-a İL DAĞILIM'!AG73</f>
        <v>94975</v>
      </c>
      <c r="M64" s="492">
        <f>+'11.4-b-İL-ESNAF'!O69+'12.4-b-İL-TARIM'!N64</f>
        <v>34143</v>
      </c>
      <c r="N64" s="492">
        <f>+'14.4-c İL'!V64</f>
        <v>20339</v>
      </c>
      <c r="O64" s="493">
        <f t="shared" si="8"/>
        <v>149457</v>
      </c>
      <c r="P64" s="502">
        <f t="shared" si="15"/>
        <v>15.362405242194527</v>
      </c>
      <c r="Q64" s="492">
        <f>+'10.4-a İL DAĞILIM'!AJ73</f>
        <v>285583.56000000006</v>
      </c>
      <c r="R64" s="492">
        <f>+'11.4-b-İL-ESNAF'!Q69+'12.4-b-İL-TARIM'!P64</f>
        <v>77394.507870617177</v>
      </c>
      <c r="S64" s="492">
        <f>+'14.4-c İL'!Z64</f>
        <v>53383.845290462094</v>
      </c>
      <c r="T64" s="493">
        <f t="shared" si="9"/>
        <v>416361.91316107934</v>
      </c>
      <c r="U64" s="502">
        <f t="shared" si="16"/>
        <v>42.797061612342731</v>
      </c>
      <c r="V64" s="497">
        <f t="shared" si="10"/>
        <v>59970</v>
      </c>
      <c r="W64" s="607">
        <v>34832</v>
      </c>
      <c r="X64" s="790">
        <v>25138</v>
      </c>
    </row>
    <row r="65" spans="1:24" ht="14.25" customHeight="1">
      <c r="A65" s="498" t="s">
        <v>748</v>
      </c>
      <c r="B65" s="488">
        <v>602662</v>
      </c>
      <c r="C65" s="488">
        <f t="shared" si="11"/>
        <v>584054.56653550395</v>
      </c>
      <c r="D65" s="489">
        <f t="shared" si="12"/>
        <v>508043.56653550395</v>
      </c>
      <c r="E65" s="499">
        <f t="shared" si="2"/>
        <v>84.299917123612232</v>
      </c>
      <c r="F65" s="940">
        <f t="shared" si="3"/>
        <v>18607.433464496047</v>
      </c>
      <c r="G65" s="500">
        <f>+'10.4-a İL DAĞILIM'!C74</f>
        <v>69758</v>
      </c>
      <c r="H65" s="492">
        <f>+'11.4-b-İL-ESNAF'!C70+'12.4-b-İL-TARIM'!C65</f>
        <v>22694</v>
      </c>
      <c r="I65" s="492">
        <f>+'14.4-c İL'!C65</f>
        <v>25179</v>
      </c>
      <c r="J65" s="493">
        <f t="shared" si="13"/>
        <v>117631</v>
      </c>
      <c r="K65" s="501">
        <f t="shared" si="14"/>
        <v>19.518569280956822</v>
      </c>
      <c r="L65" s="492">
        <f>+'10.4-a İL DAĞILIM'!AG74</f>
        <v>45010</v>
      </c>
      <c r="M65" s="492">
        <f>+'11.4-b-İL-ESNAF'!O70+'12.4-b-İL-TARIM'!N65</f>
        <v>30694</v>
      </c>
      <c r="N65" s="492">
        <f>+'14.4-c İL'!V65</f>
        <v>16077</v>
      </c>
      <c r="O65" s="493">
        <f t="shared" si="8"/>
        <v>91781</v>
      </c>
      <c r="P65" s="502">
        <f t="shared" si="15"/>
        <v>15.229266155822001</v>
      </c>
      <c r="Q65" s="492">
        <f>+'10.4-a İL DAĞILIM'!AJ74</f>
        <v>135091.92543857722</v>
      </c>
      <c r="R65" s="492">
        <f>+'11.4-b-İL-ESNAF'!Q70+'12.4-b-İL-TARIM'!P65</f>
        <v>97663.014593077532</v>
      </c>
      <c r="S65" s="492">
        <f>+'14.4-c İL'!Z65</f>
        <v>65876.626503849227</v>
      </c>
      <c r="T65" s="493">
        <f t="shared" si="9"/>
        <v>298631.56653550395</v>
      </c>
      <c r="U65" s="502">
        <f t="shared" si="16"/>
        <v>49.552081686833411</v>
      </c>
      <c r="V65" s="497">
        <f t="shared" si="10"/>
        <v>76011</v>
      </c>
      <c r="W65" s="607">
        <v>61076</v>
      </c>
      <c r="X65" s="790">
        <v>14935</v>
      </c>
    </row>
    <row r="66" spans="1:24" ht="14.25" customHeight="1">
      <c r="A66" s="498" t="s">
        <v>749</v>
      </c>
      <c r="B66" s="488">
        <v>779379</v>
      </c>
      <c r="C66" s="488">
        <f t="shared" si="11"/>
        <v>760855.54730103957</v>
      </c>
      <c r="D66" s="489">
        <f t="shared" si="12"/>
        <v>695013.54730103957</v>
      </c>
      <c r="E66" s="499">
        <f t="shared" si="2"/>
        <v>89.175298192668734</v>
      </c>
      <c r="F66" s="940">
        <f t="shared" si="3"/>
        <v>18523.452698960435</v>
      </c>
      <c r="G66" s="500">
        <f>+'10.4-a İL DAĞILIM'!C75</f>
        <v>142381</v>
      </c>
      <c r="H66" s="492">
        <f>+'11.4-b-İL-ESNAF'!C71+'12.4-b-İL-TARIM'!C66</f>
        <v>23785</v>
      </c>
      <c r="I66" s="492">
        <f>+'14.4-c İL'!C66</f>
        <v>36310</v>
      </c>
      <c r="J66" s="493">
        <f t="shared" si="13"/>
        <v>202476</v>
      </c>
      <c r="K66" s="501">
        <f t="shared" si="14"/>
        <v>25.979144934621022</v>
      </c>
      <c r="L66" s="492">
        <f>+'10.4-a İL DAĞILIM'!AG75</f>
        <v>91448</v>
      </c>
      <c r="M66" s="492">
        <f>+'11.4-b-İL-ESNAF'!O71+'12.4-b-İL-TARIM'!N66</f>
        <v>29742</v>
      </c>
      <c r="N66" s="492">
        <f>+'14.4-c İL'!V66</f>
        <v>23608</v>
      </c>
      <c r="O66" s="493">
        <f t="shared" si="8"/>
        <v>144798</v>
      </c>
      <c r="P66" s="502">
        <f t="shared" si="15"/>
        <v>18.57863760763377</v>
      </c>
      <c r="Q66" s="492">
        <f>+'10.4-a İL DAĞILIM'!AJ75</f>
        <v>184477.36999999994</v>
      </c>
      <c r="R66" s="492">
        <f>+'11.4-b-İL-ESNAF'!Q71+'12.4-b-İL-TARIM'!P66</f>
        <v>79888.907483830117</v>
      </c>
      <c r="S66" s="492">
        <f>+'14.4-c İL'!Z66</f>
        <v>83373.269817209512</v>
      </c>
      <c r="T66" s="493">
        <f t="shared" si="9"/>
        <v>347739.54730103957</v>
      </c>
      <c r="U66" s="502">
        <f t="shared" si="16"/>
        <v>44.617515650413928</v>
      </c>
      <c r="V66" s="497">
        <f t="shared" si="10"/>
        <v>65842</v>
      </c>
      <c r="W66" s="607">
        <v>48384</v>
      </c>
      <c r="X66" s="790">
        <v>17458</v>
      </c>
    </row>
    <row r="67" spans="1:24" ht="14.25" customHeight="1">
      <c r="A67" s="498" t="s">
        <v>750</v>
      </c>
      <c r="B67" s="488">
        <v>82193</v>
      </c>
      <c r="C67" s="488">
        <f t="shared" si="11"/>
        <v>80184.155785740251</v>
      </c>
      <c r="D67" s="489">
        <f t="shared" si="12"/>
        <v>63165.155785740251</v>
      </c>
      <c r="E67" s="499">
        <f t="shared" si="2"/>
        <v>76.849799600623228</v>
      </c>
      <c r="F67" s="940">
        <f t="shared" si="3"/>
        <v>2008.8442142597487</v>
      </c>
      <c r="G67" s="500">
        <f>+'10.4-a İL DAĞILIM'!C76</f>
        <v>8662</v>
      </c>
      <c r="H67" s="492">
        <f>+'11.4-b-İL-ESNAF'!C72+'12.4-b-İL-TARIM'!C67</f>
        <v>3017</v>
      </c>
      <c r="I67" s="492">
        <f>+'14.4-c İL'!C67</f>
        <v>10629</v>
      </c>
      <c r="J67" s="493">
        <f t="shared" si="13"/>
        <v>22308</v>
      </c>
      <c r="K67" s="501">
        <f t="shared" si="14"/>
        <v>27.140997408538443</v>
      </c>
      <c r="L67" s="492">
        <f>+'10.4-a İL DAĞILIM'!AG76</f>
        <v>5241</v>
      </c>
      <c r="M67" s="492">
        <f>+'11.4-b-İL-ESNAF'!O72+'12.4-b-İL-TARIM'!N67</f>
        <v>2299</v>
      </c>
      <c r="N67" s="492">
        <f>+'14.4-c İL'!V67</f>
        <v>2576</v>
      </c>
      <c r="O67" s="493">
        <f t="shared" si="8"/>
        <v>10116</v>
      </c>
      <c r="P67" s="502">
        <f t="shared" si="15"/>
        <v>12.307617437008018</v>
      </c>
      <c r="Q67" s="492">
        <f>+'10.4-a İL DAĞILIM'!AJ76</f>
        <v>4993.7599999999984</v>
      </c>
      <c r="R67" s="492">
        <f>+'11.4-b-İL-ESNAF'!Q72+'12.4-b-İL-TARIM'!P67</f>
        <v>5418.9846153846156</v>
      </c>
      <c r="S67" s="492">
        <f>+'14.4-c İL'!Z67</f>
        <v>20328.411170355641</v>
      </c>
      <c r="T67" s="493">
        <f t="shared" si="9"/>
        <v>30741.155785740255</v>
      </c>
      <c r="U67" s="502">
        <f t="shared" si="16"/>
        <v>37.401184755076777</v>
      </c>
      <c r="V67" s="497">
        <f t="shared" si="10"/>
        <v>17019</v>
      </c>
      <c r="W67" s="607">
        <v>13436</v>
      </c>
      <c r="X67" s="790">
        <v>3583</v>
      </c>
    </row>
    <row r="68" spans="1:24" ht="14.25" customHeight="1">
      <c r="A68" s="498" t="s">
        <v>795</v>
      </c>
      <c r="B68" s="488">
        <v>1940627</v>
      </c>
      <c r="C68" s="488">
        <f t="shared" si="11"/>
        <v>1903670.6708055495</v>
      </c>
      <c r="D68" s="489">
        <f t="shared" si="12"/>
        <v>1197638.6708055495</v>
      </c>
      <c r="E68" s="499">
        <f t="shared" si="2"/>
        <v>61.71400639100402</v>
      </c>
      <c r="F68" s="940">
        <f t="shared" si="3"/>
        <v>36956.329194450518</v>
      </c>
      <c r="G68" s="500">
        <f>+'10.4-a İL DAĞILIM'!C77</f>
        <v>146958</v>
      </c>
      <c r="H68" s="492">
        <f>+'11.4-b-İL-ESNAF'!C73+'12.4-b-İL-TARIM'!C68</f>
        <v>50285</v>
      </c>
      <c r="I68" s="492">
        <f>+'14.4-c İL'!C68</f>
        <v>50150</v>
      </c>
      <c r="J68" s="493">
        <f t="shared" si="13"/>
        <v>247393</v>
      </c>
      <c r="K68" s="501">
        <f t="shared" si="14"/>
        <v>12.748096362670417</v>
      </c>
      <c r="L68" s="492">
        <f>+'10.4-a İL DAĞILIM'!AG77</f>
        <v>32849</v>
      </c>
      <c r="M68" s="492">
        <f>+'11.4-b-İL-ESNAF'!O73+'12.4-b-İL-TARIM'!N68</f>
        <v>22948</v>
      </c>
      <c r="N68" s="492">
        <f>+'14.4-c İL'!V68</f>
        <v>10560</v>
      </c>
      <c r="O68" s="493">
        <f t="shared" si="8"/>
        <v>66357</v>
      </c>
      <c r="P68" s="502">
        <f t="shared" si="15"/>
        <v>3.4193587948637223</v>
      </c>
      <c r="Q68" s="492">
        <f>+'10.4-a İL DAĞILIM'!AJ77</f>
        <v>479885.96000000008</v>
      </c>
      <c r="R68" s="492">
        <f>+'11.4-b-İL-ESNAF'!Q73+'12.4-b-İL-TARIM'!P68</f>
        <v>284437.25749409397</v>
      </c>
      <c r="S68" s="492">
        <f>+'14.4-c İL'!Z68</f>
        <v>119565.45331145541</v>
      </c>
      <c r="T68" s="493">
        <f t="shared" si="9"/>
        <v>883888.67080554948</v>
      </c>
      <c r="U68" s="502">
        <f t="shared" si="16"/>
        <v>45.546551233469877</v>
      </c>
      <c r="V68" s="497">
        <f t="shared" si="10"/>
        <v>706032</v>
      </c>
      <c r="W68" s="607">
        <v>646797</v>
      </c>
      <c r="X68" s="790">
        <v>59235</v>
      </c>
    </row>
    <row r="69" spans="1:24" ht="14.25" customHeight="1">
      <c r="A69" s="498" t="s">
        <v>751</v>
      </c>
      <c r="B69" s="488">
        <v>358736</v>
      </c>
      <c r="C69" s="488">
        <f t="shared" si="11"/>
        <v>353149.53135843977</v>
      </c>
      <c r="D69" s="489">
        <f t="shared" si="12"/>
        <v>319973.53135843977</v>
      </c>
      <c r="E69" s="499">
        <f t="shared" si="2"/>
        <v>89.194709022356207</v>
      </c>
      <c r="F69" s="940">
        <f t="shared" si="3"/>
        <v>5586.4686415602337</v>
      </c>
      <c r="G69" s="500">
        <f>+'10.4-a İL DAĞILIM'!C78</f>
        <v>71891</v>
      </c>
      <c r="H69" s="492">
        <f>+'11.4-b-İL-ESNAF'!C74+'12.4-b-İL-TARIM'!C69</f>
        <v>19416</v>
      </c>
      <c r="I69" s="492">
        <f>+'14.4-c İL'!C69</f>
        <v>12918</v>
      </c>
      <c r="J69" s="493">
        <f t="shared" si="13"/>
        <v>104225</v>
      </c>
      <c r="K69" s="501">
        <f t="shared" si="14"/>
        <v>29.053398599527231</v>
      </c>
      <c r="L69" s="492">
        <f>+'10.4-a İL DAĞILIM'!AG78</f>
        <v>40282</v>
      </c>
      <c r="M69" s="492">
        <f>+'11.4-b-İL-ESNAF'!O74+'12.4-b-İL-TARIM'!N69</f>
        <v>23112</v>
      </c>
      <c r="N69" s="492">
        <f>+'14.4-c İL'!V69</f>
        <v>9522</v>
      </c>
      <c r="O69" s="493">
        <f t="shared" si="8"/>
        <v>72916</v>
      </c>
      <c r="P69" s="502">
        <f t="shared" si="15"/>
        <v>20.3258106239686</v>
      </c>
      <c r="Q69" s="492">
        <f>+'10.4-a İL DAĞILIM'!AJ78</f>
        <v>73906.06</v>
      </c>
      <c r="R69" s="492">
        <f>+'11.4-b-İL-ESNAF'!Q74+'12.4-b-İL-TARIM'!P69</f>
        <v>45394.888206980337</v>
      </c>
      <c r="S69" s="492">
        <f>+'14.4-c İL'!Z69</f>
        <v>23531.583151459425</v>
      </c>
      <c r="T69" s="493">
        <f t="shared" si="9"/>
        <v>142832.53135843977</v>
      </c>
      <c r="U69" s="502">
        <f t="shared" si="16"/>
        <v>39.81549979886038</v>
      </c>
      <c r="V69" s="497">
        <f t="shared" si="10"/>
        <v>33176</v>
      </c>
      <c r="W69" s="607">
        <v>24322</v>
      </c>
      <c r="X69" s="790">
        <v>8854</v>
      </c>
    </row>
    <row r="70" spans="1:24" ht="14.25" customHeight="1">
      <c r="A70" s="498" t="s">
        <v>752</v>
      </c>
      <c r="B70" s="488">
        <v>1100190</v>
      </c>
      <c r="C70" s="488">
        <f t="shared" ref="C70:C88" si="17">+D70+V70</f>
        <v>1065920.4577440226</v>
      </c>
      <c r="D70" s="489">
        <f t="shared" ref="D70:D88" si="18">+J70+O70+T70</f>
        <v>707155.4577440226</v>
      </c>
      <c r="E70" s="499">
        <f t="shared" ref="E70:E86" si="19">+D70/B70*100</f>
        <v>64.275757618595208</v>
      </c>
      <c r="F70" s="940">
        <f t="shared" ref="F70:F86" si="20">+B70-C70</f>
        <v>34269.542255977402</v>
      </c>
      <c r="G70" s="500">
        <f>+'10.4-a İL DAĞILIM'!C79</f>
        <v>91901</v>
      </c>
      <c r="H70" s="492">
        <f>+'11.4-b-İL-ESNAF'!C75+'12.4-b-İL-TARIM'!C70</f>
        <v>16638</v>
      </c>
      <c r="I70" s="492">
        <f>+'14.4-c İL'!C70</f>
        <v>37864</v>
      </c>
      <c r="J70" s="493">
        <f t="shared" ref="J70:J87" si="21">G70+H70+I70</f>
        <v>146403</v>
      </c>
      <c r="K70" s="501">
        <f t="shared" ref="K70:K86" si="22">+J70/B70*100</f>
        <v>13.307065143293432</v>
      </c>
      <c r="L70" s="492">
        <f>+'10.4-a İL DAĞILIM'!AG79</f>
        <v>21596</v>
      </c>
      <c r="M70" s="492">
        <f>+'11.4-b-İL-ESNAF'!O75+'12.4-b-İL-TARIM'!N70</f>
        <v>11431</v>
      </c>
      <c r="N70" s="492">
        <f>+'14.4-c İL'!V70</f>
        <v>11591</v>
      </c>
      <c r="O70" s="493">
        <f t="shared" si="8"/>
        <v>44618</v>
      </c>
      <c r="P70" s="502">
        <f t="shared" ref="P70:P86" si="23">+O70/B70*100</f>
        <v>4.0554813259527904</v>
      </c>
      <c r="Q70" s="492">
        <f>+'10.4-a İL DAĞILIM'!AJ79</f>
        <v>311499.04294535355</v>
      </c>
      <c r="R70" s="492">
        <f>+'11.4-b-İL-ESNAF'!Q75+'12.4-b-İL-TARIM'!P70</f>
        <v>111405.18331214187</v>
      </c>
      <c r="S70" s="492">
        <f>+'14.4-c İL'!Z70</f>
        <v>93230.231486527162</v>
      </c>
      <c r="T70" s="493">
        <f t="shared" si="9"/>
        <v>516134.4577440226</v>
      </c>
      <c r="U70" s="502">
        <f t="shared" ref="U70:U86" si="24">+T70/B70*100</f>
        <v>46.913211149348982</v>
      </c>
      <c r="V70" s="497">
        <f t="shared" si="10"/>
        <v>358765</v>
      </c>
      <c r="W70" s="607">
        <v>337340</v>
      </c>
      <c r="X70" s="790">
        <v>21425</v>
      </c>
    </row>
    <row r="71" spans="1:24" ht="14.25" customHeight="1">
      <c r="A71" s="498" t="s">
        <v>753</v>
      </c>
      <c r="B71" s="488">
        <v>421041</v>
      </c>
      <c r="C71" s="488">
        <f t="shared" si="17"/>
        <v>409361.77178504044</v>
      </c>
      <c r="D71" s="489">
        <f t="shared" si="18"/>
        <v>343532.77178504044</v>
      </c>
      <c r="E71" s="499">
        <f t="shared" si="19"/>
        <v>81.591287258257623</v>
      </c>
      <c r="F71" s="940">
        <f t="shared" si="20"/>
        <v>11679.228214959556</v>
      </c>
      <c r="G71" s="500">
        <f>+'10.4-a İL DAĞILIM'!C80</f>
        <v>46342</v>
      </c>
      <c r="H71" s="492">
        <f>+'11.4-b-İL-ESNAF'!C76+'12.4-b-İL-TARIM'!C71</f>
        <v>22533</v>
      </c>
      <c r="I71" s="492">
        <f>+'14.4-c İL'!C71</f>
        <v>17092</v>
      </c>
      <c r="J71" s="493">
        <f t="shared" si="21"/>
        <v>85967</v>
      </c>
      <c r="K71" s="501">
        <f t="shared" si="22"/>
        <v>20.417726539695661</v>
      </c>
      <c r="L71" s="492">
        <f>+'10.4-a İL DAĞILIM'!AG80</f>
        <v>23116</v>
      </c>
      <c r="M71" s="492">
        <f>+'11.4-b-İL-ESNAF'!O76+'12.4-b-İL-TARIM'!N71</f>
        <v>34988</v>
      </c>
      <c r="N71" s="492">
        <f>+'14.4-c İL'!V71</f>
        <v>9256</v>
      </c>
      <c r="O71" s="493">
        <f t="shared" ref="O71:O87" si="25">SUM(L71:N71)</f>
        <v>67360</v>
      </c>
      <c r="P71" s="502">
        <f t="shared" si="23"/>
        <v>15.998441956959061</v>
      </c>
      <c r="Q71" s="492">
        <f>+'10.4-a İL DAĞILIM'!AJ80</f>
        <v>54865.577002330421</v>
      </c>
      <c r="R71" s="492">
        <f>+'11.4-b-İL-ESNAF'!Q76+'12.4-b-İL-TARIM'!P71</f>
        <v>91739.984711664991</v>
      </c>
      <c r="S71" s="492">
        <f>+'14.4-c İL'!Z71</f>
        <v>43600.210071045032</v>
      </c>
      <c r="T71" s="493">
        <f t="shared" si="9"/>
        <v>190205.77178504044</v>
      </c>
      <c r="U71" s="502">
        <f t="shared" si="24"/>
        <v>45.175118761602896</v>
      </c>
      <c r="V71" s="497">
        <f t="shared" si="10"/>
        <v>65829</v>
      </c>
      <c r="W71" s="607">
        <v>40332</v>
      </c>
      <c r="X71" s="790">
        <v>25497</v>
      </c>
    </row>
    <row r="72" spans="1:24" ht="14.25" customHeight="1">
      <c r="A72" s="498" t="s">
        <v>754</v>
      </c>
      <c r="B72" s="488">
        <v>597524</v>
      </c>
      <c r="C72" s="488">
        <f t="shared" si="17"/>
        <v>587495.99814436818</v>
      </c>
      <c r="D72" s="489">
        <f t="shared" si="18"/>
        <v>544302.99814436818</v>
      </c>
      <c r="E72" s="499">
        <f t="shared" si="19"/>
        <v>91.093077122319471</v>
      </c>
      <c r="F72" s="940">
        <f t="shared" si="20"/>
        <v>10028.001855631825</v>
      </c>
      <c r="G72" s="500">
        <f>+'10.4-a İL DAĞILIM'!C81</f>
        <v>98154</v>
      </c>
      <c r="H72" s="492">
        <f>+'11.4-b-İL-ESNAF'!C77+'12.4-b-İL-TARIM'!C72</f>
        <v>12771</v>
      </c>
      <c r="I72" s="492">
        <f>+'14.4-c İL'!C72</f>
        <v>22416</v>
      </c>
      <c r="J72" s="493">
        <f t="shared" si="21"/>
        <v>133341</v>
      </c>
      <c r="K72" s="501">
        <f t="shared" si="22"/>
        <v>22.315588997262033</v>
      </c>
      <c r="L72" s="492">
        <f>+'10.4-a İL DAĞILIM'!AG81</f>
        <v>130745</v>
      </c>
      <c r="M72" s="492">
        <f>+'11.4-b-İL-ESNAF'!O77+'12.4-b-İL-TARIM'!N72</f>
        <v>13073</v>
      </c>
      <c r="N72" s="492">
        <f>+'14.4-c İL'!V72</f>
        <v>11965</v>
      </c>
      <c r="O72" s="493">
        <f t="shared" si="25"/>
        <v>155783</v>
      </c>
      <c r="P72" s="502">
        <f t="shared" si="23"/>
        <v>26.071421398973094</v>
      </c>
      <c r="Q72" s="492">
        <f>+'10.4-a İL DAĞILIM'!AJ81</f>
        <v>200465.86</v>
      </c>
      <c r="R72" s="492">
        <f>+'11.4-b-İL-ESNAF'!Q77+'12.4-b-İL-TARIM'!P72</f>
        <v>23524.191223188005</v>
      </c>
      <c r="S72" s="492">
        <f>+'14.4-c İL'!Z72</f>
        <v>31188.946921180235</v>
      </c>
      <c r="T72" s="493">
        <f t="shared" ref="T72:T87" si="26">+S72+R72+Q72</f>
        <v>255178.99814436823</v>
      </c>
      <c r="U72" s="502">
        <f t="shared" si="24"/>
        <v>42.706066726084345</v>
      </c>
      <c r="V72" s="497">
        <f t="shared" ref="V72:V86" si="27">+W72+X72</f>
        <v>43193</v>
      </c>
      <c r="W72" s="607">
        <v>30345</v>
      </c>
      <c r="X72" s="790">
        <v>12848</v>
      </c>
    </row>
    <row r="73" spans="1:24" ht="14.25" customHeight="1">
      <c r="A73" s="498" t="s">
        <v>389</v>
      </c>
      <c r="B73" s="488">
        <v>396673</v>
      </c>
      <c r="C73" s="488">
        <f t="shared" si="17"/>
        <v>388013.7481279081</v>
      </c>
      <c r="D73" s="489">
        <f t="shared" si="18"/>
        <v>322363.7481279081</v>
      </c>
      <c r="E73" s="499">
        <f t="shared" si="19"/>
        <v>81.266874258623119</v>
      </c>
      <c r="F73" s="940">
        <f t="shared" si="20"/>
        <v>8659.2518720919034</v>
      </c>
      <c r="G73" s="500">
        <f>+'10.4-a İL DAĞILIM'!C82</f>
        <v>55797</v>
      </c>
      <c r="H73" s="492">
        <f>+'11.4-b-İL-ESNAF'!C78+'12.4-b-İL-TARIM'!C73</f>
        <v>20930</v>
      </c>
      <c r="I73" s="492">
        <f>+'14.4-c İL'!C73</f>
        <v>13172</v>
      </c>
      <c r="J73" s="493">
        <f t="shared" si="21"/>
        <v>89899</v>
      </c>
      <c r="K73" s="501">
        <f t="shared" si="22"/>
        <v>22.663251595142597</v>
      </c>
      <c r="L73" s="492">
        <f>+'10.4-a İL DAĞILIM'!AG82</f>
        <v>20128</v>
      </c>
      <c r="M73" s="492">
        <f>+'11.4-b-İL-ESNAF'!O78+'12.4-b-İL-TARIM'!N73</f>
        <v>19963</v>
      </c>
      <c r="N73" s="492">
        <f>+'14.4-c İL'!V73</f>
        <v>5457</v>
      </c>
      <c r="O73" s="493">
        <f t="shared" si="25"/>
        <v>45548</v>
      </c>
      <c r="P73" s="502">
        <f t="shared" si="23"/>
        <v>11.482505741504967</v>
      </c>
      <c r="Q73" s="492">
        <f>+'10.4-a İL DAĞILIM'!AJ82</f>
        <v>66963.903141420276</v>
      </c>
      <c r="R73" s="492">
        <f>+'11.4-b-İL-ESNAF'!Q78+'12.4-b-İL-TARIM'!P73</f>
        <v>90990.727139956303</v>
      </c>
      <c r="S73" s="492">
        <f>+'14.4-c İL'!Z73</f>
        <v>28962.117846531502</v>
      </c>
      <c r="T73" s="493">
        <f t="shared" si="26"/>
        <v>186916.7481279081</v>
      </c>
      <c r="U73" s="502">
        <f t="shared" si="24"/>
        <v>47.121116921975556</v>
      </c>
      <c r="V73" s="497">
        <f t="shared" si="27"/>
        <v>65650</v>
      </c>
      <c r="W73" s="607">
        <v>49263</v>
      </c>
      <c r="X73" s="790">
        <v>16387</v>
      </c>
    </row>
    <row r="74" spans="1:24" ht="14.25" customHeight="1">
      <c r="A74" s="498" t="s">
        <v>390</v>
      </c>
      <c r="B74" s="488">
        <v>90154</v>
      </c>
      <c r="C74" s="488">
        <f t="shared" si="17"/>
        <v>81650.105455125537</v>
      </c>
      <c r="D74" s="489">
        <f t="shared" si="18"/>
        <v>68259.105455125537</v>
      </c>
      <c r="E74" s="499">
        <f t="shared" si="19"/>
        <v>75.713895617638201</v>
      </c>
      <c r="F74" s="940">
        <f t="shared" si="20"/>
        <v>8503.8945448744635</v>
      </c>
      <c r="G74" s="500">
        <f>+'10.4-a İL DAĞILIM'!C83</f>
        <v>10078</v>
      </c>
      <c r="H74" s="492">
        <f>+'11.4-b-İL-ESNAF'!C79+'12.4-b-İL-TARIM'!C74</f>
        <v>3285</v>
      </c>
      <c r="I74" s="492">
        <f>+'14.4-c İL'!C74</f>
        <v>4363</v>
      </c>
      <c r="J74" s="493">
        <f t="shared" si="21"/>
        <v>17726</v>
      </c>
      <c r="K74" s="501">
        <f t="shared" si="22"/>
        <v>19.661911839740888</v>
      </c>
      <c r="L74" s="492">
        <f>+'10.4-a İL DAĞILIM'!AG83</f>
        <v>5532</v>
      </c>
      <c r="M74" s="492">
        <f>+'11.4-b-İL-ESNAF'!O79+'12.4-b-İL-TARIM'!N74</f>
        <v>4224</v>
      </c>
      <c r="N74" s="492">
        <f>+'14.4-c İL'!V74</f>
        <v>974</v>
      </c>
      <c r="O74" s="493">
        <f t="shared" si="25"/>
        <v>10730</v>
      </c>
      <c r="P74" s="502">
        <f t="shared" si="23"/>
        <v>11.901856822769927</v>
      </c>
      <c r="Q74" s="492">
        <f>+'10.4-a İL DAĞILIM'!AJ83</f>
        <v>20270.739189899912</v>
      </c>
      <c r="R74" s="492">
        <f>+'11.4-b-İL-ESNAF'!Q79+'12.4-b-İL-TARIM'!P74</f>
        <v>9214.095650623065</v>
      </c>
      <c r="S74" s="492">
        <f>+'14.4-c İL'!Z74</f>
        <v>10318.270614602558</v>
      </c>
      <c r="T74" s="493">
        <f t="shared" si="26"/>
        <v>39803.105455125537</v>
      </c>
      <c r="U74" s="502">
        <f t="shared" si="24"/>
        <v>44.150126955127377</v>
      </c>
      <c r="V74" s="497">
        <f t="shared" si="27"/>
        <v>13391</v>
      </c>
      <c r="W74" s="607">
        <v>10410</v>
      </c>
      <c r="X74" s="790">
        <v>2981</v>
      </c>
    </row>
    <row r="75" spans="1:24" ht="14.25" customHeight="1">
      <c r="A75" s="498" t="s">
        <v>391</v>
      </c>
      <c r="B75" s="488">
        <v>245610</v>
      </c>
      <c r="C75" s="488">
        <f t="shared" si="17"/>
        <v>244086.2871054092</v>
      </c>
      <c r="D75" s="489">
        <f t="shared" si="18"/>
        <v>218399.2871054092</v>
      </c>
      <c r="E75" s="499">
        <f t="shared" si="19"/>
        <v>88.921170597862144</v>
      </c>
      <c r="F75" s="940">
        <f t="shared" si="20"/>
        <v>1523.7128945908044</v>
      </c>
      <c r="G75" s="500">
        <f>+'10.4-a İL DAĞILIM'!C84</f>
        <v>49234</v>
      </c>
      <c r="H75" s="492">
        <f>+'11.4-b-İL-ESNAF'!C80+'12.4-b-İL-TARIM'!C75</f>
        <v>12540</v>
      </c>
      <c r="I75" s="492">
        <f>+'14.4-c İL'!C75</f>
        <v>9534</v>
      </c>
      <c r="J75" s="493">
        <f t="shared" si="21"/>
        <v>71308</v>
      </c>
      <c r="K75" s="501">
        <f t="shared" si="22"/>
        <v>29.033019828182894</v>
      </c>
      <c r="L75" s="492">
        <f>+'10.4-a İL DAĞILIM'!AG84</f>
        <v>18498</v>
      </c>
      <c r="M75" s="492">
        <f>+'11.4-b-İL-ESNAF'!O80+'12.4-b-İL-TARIM'!N75</f>
        <v>14641</v>
      </c>
      <c r="N75" s="492">
        <f>+'14.4-c İL'!V75</f>
        <v>4542</v>
      </c>
      <c r="O75" s="493">
        <f t="shared" si="25"/>
        <v>37681</v>
      </c>
      <c r="P75" s="502">
        <f t="shared" si="23"/>
        <v>15.34180204389072</v>
      </c>
      <c r="Q75" s="492">
        <f>+'10.4-a İL DAĞILIM'!AJ84</f>
        <v>46782.912448109477</v>
      </c>
      <c r="R75" s="492">
        <f>+'11.4-b-İL-ESNAF'!Q80+'12.4-b-İL-TARIM'!P75</f>
        <v>39712.937796978287</v>
      </c>
      <c r="S75" s="492">
        <f>+'14.4-c İL'!Z75</f>
        <v>22914.436860321417</v>
      </c>
      <c r="T75" s="493">
        <f t="shared" si="26"/>
        <v>109410.28710540918</v>
      </c>
      <c r="U75" s="502">
        <f t="shared" si="24"/>
        <v>44.546348725788519</v>
      </c>
      <c r="V75" s="497">
        <f t="shared" si="27"/>
        <v>25687</v>
      </c>
      <c r="W75" s="607">
        <v>17807</v>
      </c>
      <c r="X75" s="790">
        <v>7880</v>
      </c>
    </row>
    <row r="76" spans="1:24" s="739" customFormat="1" ht="14.25" customHeight="1">
      <c r="A76" s="781" t="s">
        <v>796</v>
      </c>
      <c r="B76" s="782">
        <v>277984</v>
      </c>
      <c r="C76" s="782">
        <f t="shared" si="17"/>
        <v>274589.05784091941</v>
      </c>
      <c r="D76" s="783">
        <f t="shared" si="18"/>
        <v>251028.05784091941</v>
      </c>
      <c r="E76" s="784">
        <f t="shared" si="19"/>
        <v>90.303059831112378</v>
      </c>
      <c r="F76" s="940">
        <f t="shared" si="20"/>
        <v>3394.9421590805869</v>
      </c>
      <c r="G76" s="785">
        <f>+'10.4-a İL DAĞILIM'!C85</f>
        <v>44941</v>
      </c>
      <c r="H76" s="786">
        <f>+'11.4-b-İL-ESNAF'!C81+'12.4-b-İL-TARIM'!C76</f>
        <v>9048</v>
      </c>
      <c r="I76" s="786">
        <f>+'14.4-c İL'!C76</f>
        <v>16404</v>
      </c>
      <c r="J76" s="787">
        <f t="shared" si="21"/>
        <v>70393</v>
      </c>
      <c r="K76" s="788">
        <f t="shared" si="22"/>
        <v>25.322680442039829</v>
      </c>
      <c r="L76" s="786">
        <f>+'10.4-a İL DAĞILIM'!AG85</f>
        <v>29509</v>
      </c>
      <c r="M76" s="786">
        <f>+'11.4-b-İL-ESNAF'!O81+'12.4-b-İL-TARIM'!N76</f>
        <v>10816</v>
      </c>
      <c r="N76" s="786">
        <f>+'14.4-c İL'!V76</f>
        <v>9308</v>
      </c>
      <c r="O76" s="787">
        <f t="shared" si="25"/>
        <v>49633</v>
      </c>
      <c r="P76" s="789">
        <f t="shared" si="23"/>
        <v>17.854624726602967</v>
      </c>
      <c r="Q76" s="786">
        <f>+'10.4-a İL DAĞILIM'!AJ85</f>
        <v>62162.325837866199</v>
      </c>
      <c r="R76" s="786">
        <f>+'11.4-b-İL-ESNAF'!Q81+'12.4-b-İL-TARIM'!P76</f>
        <v>26303.64018543416</v>
      </c>
      <c r="S76" s="786">
        <f>+'14.4-c İL'!Z76</f>
        <v>42536.091817619061</v>
      </c>
      <c r="T76" s="787">
        <f t="shared" si="26"/>
        <v>131002.05784091941</v>
      </c>
      <c r="U76" s="789">
        <f t="shared" si="24"/>
        <v>47.125754662469568</v>
      </c>
      <c r="V76" s="790">
        <f t="shared" si="27"/>
        <v>23561</v>
      </c>
      <c r="W76" s="791">
        <v>16565</v>
      </c>
      <c r="X76" s="790">
        <v>6996</v>
      </c>
    </row>
    <row r="77" spans="1:24" s="739" customFormat="1" ht="14.25" customHeight="1">
      <c r="A77" s="781" t="s">
        <v>392</v>
      </c>
      <c r="B77" s="488">
        <v>576899</v>
      </c>
      <c r="C77" s="782">
        <f t="shared" si="17"/>
        <v>553624.46561888722</v>
      </c>
      <c r="D77" s="783">
        <f t="shared" si="18"/>
        <v>375776.46561888722</v>
      </c>
      <c r="E77" s="784">
        <f t="shared" si="19"/>
        <v>65.137305770834615</v>
      </c>
      <c r="F77" s="940">
        <f t="shared" si="20"/>
        <v>23274.534381112782</v>
      </c>
      <c r="G77" s="785">
        <f>+'10.4-a İL DAĞILIM'!C86</f>
        <v>62886</v>
      </c>
      <c r="H77" s="492">
        <f>+'11.4-b-İL-ESNAF'!C82+'12.4-b-İL-TARIM'!C77</f>
        <v>7071</v>
      </c>
      <c r="I77" s="786">
        <f>+'14.4-c İL'!C77</f>
        <v>20548</v>
      </c>
      <c r="J77" s="787">
        <f t="shared" si="21"/>
        <v>90505</v>
      </c>
      <c r="K77" s="788">
        <f t="shared" si="22"/>
        <v>15.688188053714775</v>
      </c>
      <c r="L77" s="786">
        <f>+'10.4-a İL DAĞILIM'!AG86</f>
        <v>18377</v>
      </c>
      <c r="M77" s="786">
        <f>+'11.4-b-İL-ESNAF'!O82+'12.4-b-İL-TARIM'!N77</f>
        <v>9134</v>
      </c>
      <c r="N77" s="492">
        <f>+'14.4-c İL'!V77</f>
        <v>5290</v>
      </c>
      <c r="O77" s="787">
        <f t="shared" si="25"/>
        <v>32801</v>
      </c>
      <c r="P77" s="789">
        <f t="shared" si="23"/>
        <v>5.685743951714251</v>
      </c>
      <c r="Q77" s="786">
        <f>+'10.4-a İL DAĞILIM'!AJ86</f>
        <v>147339.33956817258</v>
      </c>
      <c r="R77" s="786">
        <f>+'11.4-b-İL-ESNAF'!Q82+'12.4-b-İL-TARIM'!P77</f>
        <v>49845.00710850906</v>
      </c>
      <c r="S77" s="492">
        <f>+'14.4-c İL'!Z77</f>
        <v>55286.11894220559</v>
      </c>
      <c r="T77" s="493">
        <f t="shared" si="26"/>
        <v>252470.46561888722</v>
      </c>
      <c r="U77" s="789">
        <f t="shared" si="24"/>
        <v>43.763373765405596</v>
      </c>
      <c r="V77" s="497">
        <f t="shared" si="27"/>
        <v>177848</v>
      </c>
      <c r="W77" s="791">
        <v>163871</v>
      </c>
      <c r="X77" s="790">
        <v>13977</v>
      </c>
    </row>
    <row r="78" spans="1:24" ht="14.25" customHeight="1">
      <c r="A78" s="498" t="s">
        <v>797</v>
      </c>
      <c r="B78" s="488">
        <v>483788</v>
      </c>
      <c r="C78" s="488">
        <f t="shared" si="17"/>
        <v>460824.43598240503</v>
      </c>
      <c r="D78" s="489">
        <f t="shared" si="18"/>
        <v>261385.43598240503</v>
      </c>
      <c r="E78" s="499">
        <f t="shared" si="19"/>
        <v>54.028920928672278</v>
      </c>
      <c r="F78" s="940">
        <f t="shared" si="20"/>
        <v>22963.564017594967</v>
      </c>
      <c r="G78" s="500">
        <f>+'10.4-a İL DAĞILIM'!C87</f>
        <v>48066</v>
      </c>
      <c r="H78" s="492">
        <f>+'11.4-b-İL-ESNAF'!C83+'12.4-b-İL-TARIM'!C78</f>
        <v>5630</v>
      </c>
      <c r="I78" s="492">
        <f>+'14.4-c İL'!C78</f>
        <v>26694</v>
      </c>
      <c r="J78" s="493">
        <f t="shared" si="21"/>
        <v>80390</v>
      </c>
      <c r="K78" s="501">
        <f t="shared" si="22"/>
        <v>16.616782557649216</v>
      </c>
      <c r="L78" s="492">
        <f>+'10.4-a İL DAĞILIM'!AG87</f>
        <v>4811</v>
      </c>
      <c r="M78" s="492">
        <f>+'11.4-b-İL-ESNAF'!O83+'12.4-b-İL-TARIM'!N78</f>
        <v>3273</v>
      </c>
      <c r="N78" s="492">
        <f>+'14.4-c İL'!V78</f>
        <v>5402</v>
      </c>
      <c r="O78" s="493">
        <f t="shared" si="25"/>
        <v>13486</v>
      </c>
      <c r="P78" s="502">
        <f t="shared" si="23"/>
        <v>2.7875846445137129</v>
      </c>
      <c r="Q78" s="492">
        <f>+'10.4-a İL DAĞILIM'!AJ87</f>
        <v>61022.380000000019</v>
      </c>
      <c r="R78" s="492">
        <f>+'11.4-b-İL-ESNAF'!Q83+'12.4-b-İL-TARIM'!P78</f>
        <v>44610.60162613885</v>
      </c>
      <c r="S78" s="492">
        <f>+'14.4-c İL'!Z78</f>
        <v>61876.454356266186</v>
      </c>
      <c r="T78" s="493">
        <f t="shared" si="26"/>
        <v>167509.43598240503</v>
      </c>
      <c r="U78" s="502">
        <f t="shared" si="24"/>
        <v>34.624553726509347</v>
      </c>
      <c r="V78" s="497">
        <f t="shared" si="27"/>
        <v>199439</v>
      </c>
      <c r="W78" s="607">
        <v>187603</v>
      </c>
      <c r="X78" s="790">
        <v>11836</v>
      </c>
    </row>
    <row r="79" spans="1:24" s="739" customFormat="1" ht="14.25" customHeight="1">
      <c r="A79" s="781" t="s">
        <v>798</v>
      </c>
      <c r="B79" s="488">
        <v>192389</v>
      </c>
      <c r="C79" s="782">
        <f t="shared" si="17"/>
        <v>190309.79978189029</v>
      </c>
      <c r="D79" s="783">
        <f t="shared" si="18"/>
        <v>175646.79978189029</v>
      </c>
      <c r="E79" s="784">
        <f t="shared" si="19"/>
        <v>91.297735204138647</v>
      </c>
      <c r="F79" s="940">
        <f t="shared" si="20"/>
        <v>2079.200218109705</v>
      </c>
      <c r="G79" s="785">
        <f>+'10.4-a İL DAĞILIM'!C88</f>
        <v>33384</v>
      </c>
      <c r="H79" s="492">
        <f>+'11.4-b-İL-ESNAF'!C84+'12.4-b-İL-TARIM'!C79</f>
        <v>5017</v>
      </c>
      <c r="I79" s="786">
        <f>+'14.4-c İL'!C79</f>
        <v>8100</v>
      </c>
      <c r="J79" s="787">
        <f t="shared" si="21"/>
        <v>46501</v>
      </c>
      <c r="K79" s="788">
        <f t="shared" si="22"/>
        <v>24.170300796823103</v>
      </c>
      <c r="L79" s="786">
        <f>+'10.4-a İL DAĞILIM'!AG88</f>
        <v>37973</v>
      </c>
      <c r="M79" s="786">
        <f>+'11.4-b-İL-ESNAF'!O84+'12.4-b-İL-TARIM'!N79</f>
        <v>4567</v>
      </c>
      <c r="N79" s="492">
        <f>+'14.4-c İL'!V79</f>
        <v>3788</v>
      </c>
      <c r="O79" s="787">
        <f t="shared" si="25"/>
        <v>46328</v>
      </c>
      <c r="P79" s="789">
        <f t="shared" si="23"/>
        <v>24.080378815836664</v>
      </c>
      <c r="Q79" s="786">
        <f>+'10.4-a İL DAĞILIM'!AJ88</f>
        <v>58649.42</v>
      </c>
      <c r="R79" s="492">
        <f>+'11.4-b-İL-ESNAF'!Q84+'12.4-b-İL-TARIM'!P79</f>
        <v>8737.9642233708946</v>
      </c>
      <c r="S79" s="492">
        <f>+'14.4-c İL'!Z79</f>
        <v>15430.415558519402</v>
      </c>
      <c r="T79" s="493">
        <f t="shared" si="26"/>
        <v>82817.799781890295</v>
      </c>
      <c r="U79" s="789">
        <f t="shared" si="24"/>
        <v>43.04705559147888</v>
      </c>
      <c r="V79" s="497">
        <f t="shared" si="27"/>
        <v>14663</v>
      </c>
      <c r="W79" s="791">
        <v>9900</v>
      </c>
      <c r="X79" s="790">
        <v>4763</v>
      </c>
    </row>
    <row r="80" spans="1:24" ht="14.25" customHeight="1">
      <c r="A80" s="498" t="s">
        <v>393</v>
      </c>
      <c r="B80" s="488">
        <v>98335</v>
      </c>
      <c r="C80" s="488">
        <f t="shared" si="17"/>
        <v>97146.908475336139</v>
      </c>
      <c r="D80" s="489">
        <f t="shared" si="18"/>
        <v>70545.908475336139</v>
      </c>
      <c r="E80" s="499">
        <f t="shared" si="19"/>
        <v>71.740385900580804</v>
      </c>
      <c r="F80" s="940">
        <f t="shared" si="20"/>
        <v>1188.0915246638615</v>
      </c>
      <c r="G80" s="500">
        <f>+'10.4-a İL DAĞILIM'!C89</f>
        <v>11908</v>
      </c>
      <c r="H80" s="492">
        <f>+'11.4-b-İL-ESNAF'!C85+'12.4-b-İL-TARIM'!C80</f>
        <v>5464</v>
      </c>
      <c r="I80" s="492">
        <f>+'14.4-c İL'!C80</f>
        <v>5054</v>
      </c>
      <c r="J80" s="493">
        <f t="shared" si="21"/>
        <v>22426</v>
      </c>
      <c r="K80" s="501">
        <f t="shared" si="22"/>
        <v>22.805715157370212</v>
      </c>
      <c r="L80" s="786">
        <f>+'10.4-a İL DAĞILIM'!AG89</f>
        <v>3736</v>
      </c>
      <c r="M80" s="786">
        <f>+'11.4-b-İL-ESNAF'!O85+'12.4-b-İL-TARIM'!N80</f>
        <v>3241</v>
      </c>
      <c r="N80" s="492">
        <f>+'14.4-c İL'!V80</f>
        <v>1388</v>
      </c>
      <c r="O80" s="493">
        <f t="shared" si="25"/>
        <v>8365</v>
      </c>
      <c r="P80" s="502">
        <f t="shared" si="23"/>
        <v>8.5066354807545643</v>
      </c>
      <c r="Q80" s="492">
        <f>+'10.4-a İL DAĞILIM'!AJ89</f>
        <v>11494.702105263157</v>
      </c>
      <c r="R80" s="492">
        <f>+'11.4-b-İL-ESNAF'!Q85+'12.4-b-İL-TARIM'!P80</f>
        <v>18975.057552151517</v>
      </c>
      <c r="S80" s="492">
        <f>+'14.4-c İL'!Z80</f>
        <v>9285.1488179214684</v>
      </c>
      <c r="T80" s="493">
        <f t="shared" si="26"/>
        <v>39754.908475336139</v>
      </c>
      <c r="U80" s="789">
        <f t="shared" si="24"/>
        <v>40.428035262456028</v>
      </c>
      <c r="V80" s="497">
        <f t="shared" si="27"/>
        <v>26601</v>
      </c>
      <c r="W80" s="607">
        <v>21387</v>
      </c>
      <c r="X80" s="790">
        <v>5214</v>
      </c>
    </row>
    <row r="81" spans="1:84" ht="14.25" customHeight="1">
      <c r="A81" s="498" t="s">
        <v>799</v>
      </c>
      <c r="B81" s="488">
        <v>192785</v>
      </c>
      <c r="C81" s="488">
        <f t="shared" si="17"/>
        <v>188964.80376267317</v>
      </c>
      <c r="D81" s="489">
        <f t="shared" si="18"/>
        <v>111527.80376267317</v>
      </c>
      <c r="E81" s="499">
        <f t="shared" si="19"/>
        <v>57.850872092057557</v>
      </c>
      <c r="F81" s="940">
        <f t="shared" si="20"/>
        <v>3820.1962373268325</v>
      </c>
      <c r="G81" s="500">
        <f>+'10.4-a İL DAĞILIM'!C90</f>
        <v>18329</v>
      </c>
      <c r="H81" s="492">
        <f>+'11.4-b-İL-ESNAF'!C86+'12.4-b-İL-TARIM'!C81</f>
        <v>5370</v>
      </c>
      <c r="I81" s="492">
        <f>+'14.4-c İL'!C81</f>
        <v>8373</v>
      </c>
      <c r="J81" s="493">
        <f t="shared" si="21"/>
        <v>32072</v>
      </c>
      <c r="K81" s="501">
        <f t="shared" si="22"/>
        <v>16.636149077988431</v>
      </c>
      <c r="L81" s="786">
        <f>+'10.4-a İL DAĞILIM'!AG90</f>
        <v>3930</v>
      </c>
      <c r="M81" s="786">
        <f>+'11.4-b-İL-ESNAF'!O86+'12.4-b-İL-TARIM'!N81</f>
        <v>5744</v>
      </c>
      <c r="N81" s="492">
        <f>+'14.4-c İL'!V81</f>
        <v>1933</v>
      </c>
      <c r="O81" s="493">
        <f t="shared" si="25"/>
        <v>11607</v>
      </c>
      <c r="P81" s="502">
        <f t="shared" si="23"/>
        <v>6.0206966309619521</v>
      </c>
      <c r="Q81" s="492">
        <f>+'10.4-a İL DAĞILIM'!AJ90</f>
        <v>23073.142756286274</v>
      </c>
      <c r="R81" s="492">
        <f>+'11.4-b-İL-ESNAF'!Q86+'12.4-b-İL-TARIM'!P81</f>
        <v>29090.697398698387</v>
      </c>
      <c r="S81" s="492">
        <f>+'14.4-c İL'!Z81</f>
        <v>15684.963607688504</v>
      </c>
      <c r="T81" s="493">
        <f t="shared" si="26"/>
        <v>67848.803762673168</v>
      </c>
      <c r="U81" s="789">
        <f t="shared" si="24"/>
        <v>35.194026383107172</v>
      </c>
      <c r="V81" s="497">
        <f t="shared" si="27"/>
        <v>77437</v>
      </c>
      <c r="W81" s="607">
        <v>69655</v>
      </c>
      <c r="X81" s="790">
        <v>7782</v>
      </c>
    </row>
    <row r="82" spans="1:84" ht="14.25" customHeight="1">
      <c r="A82" s="498" t="s">
        <v>225</v>
      </c>
      <c r="B82" s="488">
        <v>241665</v>
      </c>
      <c r="C82" s="488">
        <f t="shared" si="17"/>
        <v>240544.41017618033</v>
      </c>
      <c r="D82" s="489">
        <f t="shared" si="18"/>
        <v>217881.41017618033</v>
      </c>
      <c r="E82" s="499">
        <f t="shared" si="19"/>
        <v>90.15844668287933</v>
      </c>
      <c r="F82" s="940">
        <f t="shared" si="20"/>
        <v>1120.5898238196678</v>
      </c>
      <c r="G82" s="500">
        <f>+'10.4-a İL DAĞILIM'!C91</f>
        <v>57643</v>
      </c>
      <c r="H82" s="492">
        <f>+'11.4-b-İL-ESNAF'!C87+'12.4-b-İL-TARIM'!C82</f>
        <v>8846</v>
      </c>
      <c r="I82" s="492">
        <f>+'14.4-c İL'!C82</f>
        <v>9609</v>
      </c>
      <c r="J82" s="493">
        <f t="shared" si="21"/>
        <v>76098</v>
      </c>
      <c r="K82" s="501">
        <f t="shared" si="22"/>
        <v>31.489044752032775</v>
      </c>
      <c r="L82" s="786">
        <f>+'10.4-a İL DAĞILIM'!AG91</f>
        <v>29464</v>
      </c>
      <c r="M82" s="786">
        <f>+'11.4-b-İL-ESNAF'!O87+'12.4-b-İL-TARIM'!N82</f>
        <v>7027</v>
      </c>
      <c r="N82" s="492">
        <f>+'14.4-c İL'!V82</f>
        <v>8099</v>
      </c>
      <c r="O82" s="493">
        <f t="shared" si="25"/>
        <v>44590</v>
      </c>
      <c r="P82" s="502">
        <f t="shared" si="23"/>
        <v>18.451161732149878</v>
      </c>
      <c r="Q82" s="492">
        <f>+'10.4-a İL DAĞILIM'!AJ91</f>
        <v>57902.746729832521</v>
      </c>
      <c r="R82" s="492">
        <f>+'11.4-b-İL-ESNAF'!Q87+'12.4-b-İL-TARIM'!P82</f>
        <v>19087.757384397562</v>
      </c>
      <c r="S82" s="492">
        <f>+'14.4-c İL'!Z82</f>
        <v>20202.906061950256</v>
      </c>
      <c r="T82" s="493">
        <f t="shared" si="26"/>
        <v>97193.410176180332</v>
      </c>
      <c r="U82" s="789">
        <f t="shared" si="24"/>
        <v>40.218240198696684</v>
      </c>
      <c r="V82" s="497">
        <f t="shared" si="27"/>
        <v>22663</v>
      </c>
      <c r="W82" s="607">
        <v>13967</v>
      </c>
      <c r="X82" s="790">
        <v>8696</v>
      </c>
    </row>
    <row r="83" spans="1:84" ht="14.25" customHeight="1">
      <c r="A83" s="498" t="s">
        <v>436</v>
      </c>
      <c r="B83" s="488">
        <v>242347</v>
      </c>
      <c r="C83" s="488">
        <f t="shared" si="17"/>
        <v>239238.33026533562</v>
      </c>
      <c r="D83" s="489">
        <f t="shared" si="18"/>
        <v>222640.33026533562</v>
      </c>
      <c r="E83" s="499">
        <f t="shared" si="19"/>
        <v>91.868407805888097</v>
      </c>
      <c r="F83" s="940">
        <f t="shared" si="20"/>
        <v>3108.6697346643778</v>
      </c>
      <c r="G83" s="500">
        <f>+'10.4-a İL DAĞILIM'!C92</f>
        <v>42340</v>
      </c>
      <c r="H83" s="492">
        <f>+'11.4-b-İL-ESNAF'!C88+'12.4-b-İL-TARIM'!C83</f>
        <v>6118</v>
      </c>
      <c r="I83" s="492">
        <f>+'14.4-c İL'!C83</f>
        <v>13308</v>
      </c>
      <c r="J83" s="493">
        <f t="shared" si="21"/>
        <v>61766</v>
      </c>
      <c r="K83" s="501">
        <f t="shared" si="22"/>
        <v>25.486595666544254</v>
      </c>
      <c r="L83" s="786">
        <f>+'10.4-a İL DAĞILIM'!AG92</f>
        <v>39739</v>
      </c>
      <c r="M83" s="786">
        <f>+'11.4-b-İL-ESNAF'!O88+'12.4-b-İL-TARIM'!N83</f>
        <v>6014</v>
      </c>
      <c r="N83" s="492">
        <f>+'14.4-c İL'!V83</f>
        <v>6062</v>
      </c>
      <c r="O83" s="493">
        <f t="shared" si="25"/>
        <v>51815</v>
      </c>
      <c r="P83" s="502">
        <f t="shared" si="23"/>
        <v>21.380499861768456</v>
      </c>
      <c r="Q83" s="492">
        <f>+'10.4-a İL DAĞILIM'!AJ92</f>
        <v>62170.388400000025</v>
      </c>
      <c r="R83" s="492">
        <f>+'11.4-b-İL-ESNAF'!Q88+'12.4-b-İL-TARIM'!P83</f>
        <v>20298.984370613776</v>
      </c>
      <c r="S83" s="492">
        <f>+'14.4-c İL'!Z83</f>
        <v>26589.957494721835</v>
      </c>
      <c r="T83" s="493">
        <f t="shared" si="26"/>
        <v>109059.33026533564</v>
      </c>
      <c r="U83" s="789">
        <f t="shared" si="24"/>
        <v>45.001312277575394</v>
      </c>
      <c r="V83" s="497">
        <f t="shared" si="27"/>
        <v>16598</v>
      </c>
      <c r="W83" s="607">
        <v>11514</v>
      </c>
      <c r="X83" s="790">
        <v>5084</v>
      </c>
    </row>
    <row r="84" spans="1:84" ht="14.25" customHeight="1">
      <c r="A84" s="498" t="s">
        <v>437</v>
      </c>
      <c r="B84" s="488">
        <v>130825</v>
      </c>
      <c r="C84" s="488">
        <f t="shared" si="17"/>
        <v>127577.08200084654</v>
      </c>
      <c r="D84" s="489">
        <f t="shared" si="18"/>
        <v>101331.08200084654</v>
      </c>
      <c r="E84" s="499">
        <f t="shared" si="19"/>
        <v>77.455442003322403</v>
      </c>
      <c r="F84" s="940">
        <f t="shared" si="20"/>
        <v>3247.917999153462</v>
      </c>
      <c r="G84" s="500">
        <f>+'10.4-a İL DAĞILIM'!C93</f>
        <v>16936</v>
      </c>
      <c r="H84" s="492">
        <f>+'11.4-b-İL-ESNAF'!C89+'12.4-b-İL-TARIM'!C84</f>
        <v>5987</v>
      </c>
      <c r="I84" s="492">
        <f>+'14.4-c İL'!C84</f>
        <v>6087</v>
      </c>
      <c r="J84" s="493">
        <f t="shared" si="21"/>
        <v>29010</v>
      </c>
      <c r="K84" s="501">
        <f t="shared" si="22"/>
        <v>22.174660806420789</v>
      </c>
      <c r="L84" s="786">
        <f>+'10.4-a İL DAĞILIM'!AG93</f>
        <v>3855</v>
      </c>
      <c r="M84" s="786">
        <f>+'11.4-b-İL-ESNAF'!O89+'12.4-b-İL-TARIM'!N84</f>
        <v>6742</v>
      </c>
      <c r="N84" s="492">
        <f>+'14.4-c İL'!V84</f>
        <v>2169</v>
      </c>
      <c r="O84" s="493">
        <f t="shared" si="25"/>
        <v>12766</v>
      </c>
      <c r="P84" s="502">
        <f t="shared" si="23"/>
        <v>9.7580737626600431</v>
      </c>
      <c r="Q84" s="492">
        <f>+'10.4-a İL DAĞILIM'!AJ93</f>
        <v>19937.067999999999</v>
      </c>
      <c r="R84" s="492">
        <f>+'11.4-b-İL-ESNAF'!Q89+'12.4-b-İL-TARIM'!P84</f>
        <v>25133.639012910167</v>
      </c>
      <c r="S84" s="492">
        <f>+'14.4-c İL'!Z84</f>
        <v>14484.374987936368</v>
      </c>
      <c r="T84" s="493">
        <f t="shared" si="26"/>
        <v>59555.082000846538</v>
      </c>
      <c r="U84" s="789">
        <f t="shared" si="24"/>
        <v>45.522707434241575</v>
      </c>
      <c r="V84" s="497">
        <f t="shared" si="27"/>
        <v>26246</v>
      </c>
      <c r="W84" s="607">
        <v>22201</v>
      </c>
      <c r="X84" s="790">
        <v>4045</v>
      </c>
    </row>
    <row r="85" spans="1:84" ht="14.25" customHeight="1">
      <c r="A85" s="498" t="s">
        <v>438</v>
      </c>
      <c r="B85" s="488">
        <v>522175</v>
      </c>
      <c r="C85" s="488">
        <f t="shared" si="17"/>
        <v>496079.42060138891</v>
      </c>
      <c r="D85" s="489">
        <f t="shared" si="18"/>
        <v>417218.42060138891</v>
      </c>
      <c r="E85" s="499">
        <f t="shared" si="19"/>
        <v>79.900114061643876</v>
      </c>
      <c r="F85" s="940">
        <f t="shared" si="20"/>
        <v>26095.579398611095</v>
      </c>
      <c r="G85" s="500">
        <f>+'10.4-a İL DAĞILIM'!C94</f>
        <v>63389</v>
      </c>
      <c r="H85" s="492">
        <f>+'11.4-b-İL-ESNAF'!C90+'12.4-b-İL-TARIM'!C85</f>
        <v>17300</v>
      </c>
      <c r="I85" s="492">
        <f>+'14.4-c İL'!C85</f>
        <v>18351</v>
      </c>
      <c r="J85" s="493">
        <f t="shared" si="21"/>
        <v>99040</v>
      </c>
      <c r="K85" s="501">
        <f t="shared" si="22"/>
        <v>18.966821467898693</v>
      </c>
      <c r="L85" s="786">
        <f>+'10.4-a İL DAĞILIM'!AG94</f>
        <v>26835</v>
      </c>
      <c r="M85" s="786">
        <f>+'11.4-b-İL-ESNAF'!O90+'12.4-b-İL-TARIM'!N85</f>
        <v>15186</v>
      </c>
      <c r="N85" s="492">
        <f>+'14.4-c İL'!V85</f>
        <v>12492</v>
      </c>
      <c r="O85" s="493">
        <f t="shared" si="25"/>
        <v>54513</v>
      </c>
      <c r="P85" s="502">
        <f t="shared" si="23"/>
        <v>10.439603581174893</v>
      </c>
      <c r="Q85" s="492">
        <f>+'10.4-a İL DAĞILIM'!AJ94</f>
        <v>151178.5</v>
      </c>
      <c r="R85" s="492">
        <f>+'11.4-b-İL-ESNAF'!Q90+'12.4-b-İL-TARIM'!P85</f>
        <v>56473.702090747327</v>
      </c>
      <c r="S85" s="492">
        <f>+'14.4-c İL'!Z85</f>
        <v>56013.218510641571</v>
      </c>
      <c r="T85" s="493">
        <f t="shared" si="26"/>
        <v>263665.42060138891</v>
      </c>
      <c r="U85" s="789">
        <f t="shared" si="24"/>
        <v>50.493689012570286</v>
      </c>
      <c r="V85" s="497">
        <f t="shared" si="27"/>
        <v>78861</v>
      </c>
      <c r="W85" s="607">
        <v>65666</v>
      </c>
      <c r="X85" s="790">
        <v>13195</v>
      </c>
    </row>
    <row r="86" spans="1:84" ht="14.25" customHeight="1">
      <c r="A86" s="498" t="s">
        <v>439</v>
      </c>
      <c r="B86" s="488">
        <v>370371</v>
      </c>
      <c r="C86" s="488">
        <f t="shared" si="17"/>
        <v>356822.63037994353</v>
      </c>
      <c r="D86" s="489">
        <f t="shared" si="18"/>
        <v>324604.63037994353</v>
      </c>
      <c r="E86" s="499">
        <f t="shared" si="19"/>
        <v>87.643101209312704</v>
      </c>
      <c r="F86" s="940">
        <f t="shared" si="20"/>
        <v>13548.369620056474</v>
      </c>
      <c r="G86" s="500">
        <f>+'10.4-a İL DAĞILIM'!C95</f>
        <v>76968</v>
      </c>
      <c r="H86" s="492">
        <f>+'11.4-b-İL-ESNAF'!C91+'12.4-b-İL-TARIM'!C86</f>
        <v>13465</v>
      </c>
      <c r="I86" s="492">
        <f>+'14.4-c İL'!C86</f>
        <v>12389</v>
      </c>
      <c r="J86" s="493">
        <f t="shared" si="21"/>
        <v>102822</v>
      </c>
      <c r="K86" s="501">
        <f t="shared" si="22"/>
        <v>27.761892804782235</v>
      </c>
      <c r="L86" s="786">
        <f>+'10.4-a İL DAĞILIM'!AG95</f>
        <v>33794</v>
      </c>
      <c r="M86" s="786">
        <f>+'11.4-b-İL-ESNAF'!O91+'12.4-b-İL-TARIM'!N86</f>
        <v>15407</v>
      </c>
      <c r="N86" s="492">
        <f>+'14.4-c İL'!V86</f>
        <v>7702</v>
      </c>
      <c r="O86" s="493">
        <f t="shared" si="25"/>
        <v>56903</v>
      </c>
      <c r="P86" s="502">
        <f t="shared" si="23"/>
        <v>15.363783881567402</v>
      </c>
      <c r="Q86" s="492">
        <f>+'10.4-a İL DAĞILIM'!AJ95</f>
        <v>101235.84999999998</v>
      </c>
      <c r="R86" s="492">
        <f>+'11.4-b-İL-ESNAF'!Q91+'12.4-b-İL-TARIM'!P86</f>
        <v>36412.725147033161</v>
      </c>
      <c r="S86" s="492">
        <f>+'14.4-c İL'!Z86</f>
        <v>27231.055232910359</v>
      </c>
      <c r="T86" s="493">
        <f t="shared" si="26"/>
        <v>164879.6303799435</v>
      </c>
      <c r="U86" s="789">
        <f t="shared" si="24"/>
        <v>44.517424522963054</v>
      </c>
      <c r="V86" s="497">
        <f t="shared" si="27"/>
        <v>32218</v>
      </c>
      <c r="W86" s="607">
        <v>20335</v>
      </c>
      <c r="X86" s="790">
        <v>11883</v>
      </c>
    </row>
    <row r="87" spans="1:84" ht="14.25" customHeight="1">
      <c r="A87" s="498" t="s">
        <v>806</v>
      </c>
      <c r="B87" s="488">
        <v>0</v>
      </c>
      <c r="C87" s="488">
        <f t="shared" si="17"/>
        <v>6078.6579552371877</v>
      </c>
      <c r="D87" s="489">
        <f t="shared" si="18"/>
        <v>6078.6579552371877</v>
      </c>
      <c r="E87" s="512">
        <v>0</v>
      </c>
      <c r="F87" s="940">
        <v>0</v>
      </c>
      <c r="G87" s="500">
        <f>+'14.4-c İL'!C87</f>
        <v>0</v>
      </c>
      <c r="H87" s="492">
        <f>+'11.4-b-İL-ESNAF'!C92+'12.4-b-İL-TARIM'!C87</f>
        <v>0</v>
      </c>
      <c r="I87" s="492">
        <f>+'10.4-a İL DAĞILIM'!C96</f>
        <v>0</v>
      </c>
      <c r="J87" s="493">
        <f t="shared" si="21"/>
        <v>0</v>
      </c>
      <c r="K87" s="513">
        <v>0</v>
      </c>
      <c r="L87" s="786">
        <f>+'10.4-a İL DAĞILIM'!AG96</f>
        <v>3112</v>
      </c>
      <c r="M87" s="786">
        <f>+'11.4-b-İL-ESNAF'!O92+'12.4-b-İL-TARIM'!N87</f>
        <v>0</v>
      </c>
      <c r="N87" s="492">
        <f>+'14.4-c İL'!V87</f>
        <v>767</v>
      </c>
      <c r="O87" s="493">
        <f t="shared" si="25"/>
        <v>3879</v>
      </c>
      <c r="P87" s="514">
        <v>0</v>
      </c>
      <c r="Q87" s="492">
        <f>+'10.4-a İL DAĞILIM'!AJ96</f>
        <v>1527.54</v>
      </c>
      <c r="R87" s="492">
        <f>+'11.4-b-İL-ESNAF'!Q92+'12.4-b-İL-TARIM'!P87</f>
        <v>0</v>
      </c>
      <c r="S87" s="492">
        <f>+'14.4-c İL'!Z87</f>
        <v>672.11795523718729</v>
      </c>
      <c r="T87" s="493">
        <f t="shared" si="26"/>
        <v>2199.6579552371873</v>
      </c>
      <c r="U87" s="789">
        <v>0</v>
      </c>
      <c r="V87" s="497">
        <v>0</v>
      </c>
      <c r="W87" s="607">
        <v>0</v>
      </c>
      <c r="X87" s="497">
        <v>0</v>
      </c>
    </row>
    <row r="88" spans="1:84" s="4" customFormat="1" ht="20.25" customHeight="1" thickBot="1">
      <c r="A88" s="515" t="s">
        <v>885</v>
      </c>
      <c r="B88" s="516">
        <f>SUM(B6:B86)</f>
        <v>79814871</v>
      </c>
      <c r="C88" s="517">
        <f t="shared" si="17"/>
        <v>78390047.510566354</v>
      </c>
      <c r="D88" s="518">
        <f t="shared" si="18"/>
        <v>68285447.510566354</v>
      </c>
      <c r="E88" s="519" t="s">
        <v>729</v>
      </c>
      <c r="F88" s="520">
        <f>SUM(F6:F86)</f>
        <v>1430902.1473888811</v>
      </c>
      <c r="G88" s="518">
        <f>SUM(G6:G86)</f>
        <v>15883107</v>
      </c>
      <c r="H88" s="521">
        <f>SUM(H6:H87)</f>
        <v>2849954</v>
      </c>
      <c r="I88" s="521">
        <f>SUM(I6:I87)</f>
        <v>2970797</v>
      </c>
      <c r="J88" s="521">
        <f>SUM(J6:J87)</f>
        <v>21703858</v>
      </c>
      <c r="K88" s="522"/>
      <c r="L88" s="521">
        <f>SUM(L6:L87)</f>
        <v>7260259</v>
      </c>
      <c r="M88" s="521">
        <f>SUM(M6:M87)</f>
        <v>2574445</v>
      </c>
      <c r="N88" s="521">
        <f>SUM(N6:N87)</f>
        <v>2081062</v>
      </c>
      <c r="O88" s="521">
        <f>SUM(O6:O87)</f>
        <v>11915766</v>
      </c>
      <c r="P88" s="523"/>
      <c r="Q88" s="524">
        <f>SUM(Q6:Q87)</f>
        <v>18992721.976781357</v>
      </c>
      <c r="R88" s="521">
        <f>SUM(R6:R87)</f>
        <v>9176517.7385011595</v>
      </c>
      <c r="S88" s="521">
        <f>SUM(S6:S87)</f>
        <v>6496583.7952838428</v>
      </c>
      <c r="T88" s="521">
        <f>SUM(T6:T87)</f>
        <v>34665823.510566361</v>
      </c>
      <c r="U88" s="523"/>
      <c r="V88" s="525">
        <f>+W88+X88</f>
        <v>10104600</v>
      </c>
      <c r="W88" s="525">
        <f>SUM(W6:W87)</f>
        <v>7612418</v>
      </c>
      <c r="X88" s="830">
        <f>SUM(X6:X87)</f>
        <v>2492182</v>
      </c>
      <c r="Y88" s="227"/>
      <c r="Z88" s="227"/>
      <c r="AA88" s="227"/>
      <c r="AB88" s="227"/>
      <c r="AC88" s="227"/>
      <c r="AD88" s="227"/>
      <c r="AE88" s="227"/>
      <c r="AF88" s="227"/>
      <c r="AG88" s="227"/>
      <c r="AH88" s="227"/>
      <c r="AI88" s="227"/>
      <c r="AJ88" s="227"/>
      <c r="AK88" s="227"/>
      <c r="AL88" s="227"/>
      <c r="AM88" s="227"/>
      <c r="AN88" s="227"/>
      <c r="AO88" s="227"/>
      <c r="AP88" s="227"/>
      <c r="AQ88" s="227"/>
      <c r="AR88" s="227"/>
      <c r="AS88" s="227"/>
      <c r="AT88" s="227"/>
      <c r="AU88" s="227"/>
      <c r="AV88" s="227"/>
      <c r="AW88" s="227"/>
      <c r="AX88" s="227"/>
      <c r="AY88" s="227"/>
      <c r="AZ88" s="227"/>
      <c r="BA88" s="227"/>
      <c r="BB88" s="227"/>
      <c r="BC88" s="227"/>
      <c r="BD88" s="227"/>
      <c r="BE88" s="227"/>
      <c r="BF88" s="227"/>
      <c r="BG88" s="227"/>
      <c r="BH88" s="227"/>
      <c r="BI88" s="227"/>
      <c r="BJ88" s="227"/>
      <c r="BK88" s="227"/>
      <c r="BL88" s="227"/>
      <c r="BM88" s="227"/>
      <c r="BN88" s="227"/>
      <c r="BO88" s="227"/>
      <c r="BP88" s="227"/>
      <c r="BQ88" s="227"/>
      <c r="BR88" s="227"/>
      <c r="BS88" s="227"/>
      <c r="BT88" s="227"/>
      <c r="BU88" s="227"/>
      <c r="BV88" s="227"/>
      <c r="BW88" s="227"/>
      <c r="BX88" s="227"/>
      <c r="BY88" s="227"/>
      <c r="BZ88" s="227"/>
      <c r="CA88" s="227"/>
      <c r="CB88" s="227"/>
      <c r="CC88" s="227"/>
      <c r="CD88" s="227"/>
      <c r="CE88" s="227"/>
      <c r="CF88" s="227"/>
    </row>
    <row r="89" spans="1:84" ht="14.25" customHeight="1">
      <c r="A89" s="2078" t="s">
        <v>687</v>
      </c>
      <c r="B89" s="2078"/>
      <c r="C89" s="2078"/>
      <c r="D89" s="2078"/>
      <c r="E89" s="2078"/>
      <c r="F89" s="2078"/>
      <c r="G89" s="2078"/>
      <c r="H89" s="2078"/>
      <c r="I89" s="2078"/>
      <c r="J89" s="2078"/>
      <c r="K89" s="227"/>
      <c r="L89" s="227"/>
      <c r="M89" s="227"/>
      <c r="N89" s="227"/>
      <c r="O89" s="227"/>
      <c r="P89" s="227"/>
      <c r="Q89" s="399" t="s">
        <v>729</v>
      </c>
      <c r="R89" s="227"/>
      <c r="S89" s="399"/>
      <c r="T89" s="227"/>
      <c r="U89" s="227"/>
      <c r="V89" s="526"/>
      <c r="W89" s="526"/>
      <c r="X89" s="526"/>
    </row>
    <row r="90" spans="1:84" ht="14.25" customHeight="1">
      <c r="A90" s="527" t="s">
        <v>372</v>
      </c>
      <c r="B90" s="527"/>
      <c r="C90" s="527"/>
      <c r="D90" s="527"/>
      <c r="E90" s="527"/>
      <c r="F90" s="527"/>
      <c r="G90" s="527"/>
      <c r="H90" s="527"/>
      <c r="I90" s="528"/>
      <c r="J90" s="527"/>
      <c r="K90" s="227"/>
      <c r="L90" s="399"/>
      <c r="M90" s="227"/>
      <c r="N90" s="227"/>
      <c r="O90" s="227"/>
      <c r="P90" s="227"/>
      <c r="Q90" s="399"/>
      <c r="R90" s="227"/>
      <c r="S90" s="529"/>
      <c r="T90" s="227"/>
      <c r="U90" s="227"/>
      <c r="V90" s="399" t="s">
        <v>729</v>
      </c>
      <c r="W90" s="530"/>
      <c r="X90" s="399" t="s">
        <v>729</v>
      </c>
    </row>
    <row r="91" spans="1:84">
      <c r="A91" s="527" t="s">
        <v>967</v>
      </c>
      <c r="N91" s="227"/>
      <c r="O91" s="399"/>
      <c r="P91" s="227"/>
      <c r="Q91" s="227"/>
      <c r="T91" s="214"/>
      <c r="V91" s="214"/>
      <c r="X91" s="530"/>
    </row>
    <row r="92" spans="1:84">
      <c r="A92" s="527" t="s">
        <v>1029</v>
      </c>
      <c r="N92" s="227"/>
      <c r="O92" s="227"/>
      <c r="P92" s="227"/>
      <c r="Q92" s="227"/>
    </row>
    <row r="94" spans="1:84">
      <c r="E94" s="214" t="s">
        <v>729</v>
      </c>
      <c r="I94" s="214"/>
      <c r="J94" s="214"/>
      <c r="X94" s="4"/>
    </row>
    <row r="95" spans="1:84">
      <c r="I95" s="214"/>
      <c r="J95" s="214"/>
      <c r="K95" s="214"/>
      <c r="L95" s="214"/>
      <c r="M95" s="214"/>
      <c r="N95" s="214"/>
      <c r="O95" s="214"/>
      <c r="P95" s="214"/>
      <c r="Q95" s="214"/>
      <c r="R95" s="214"/>
      <c r="S95" s="214"/>
      <c r="T95" s="214"/>
      <c r="U95" s="214"/>
      <c r="V95" s="214"/>
      <c r="W95" s="214"/>
      <c r="X95" s="214"/>
    </row>
    <row r="97" spans="9:20">
      <c r="T97" s="214"/>
    </row>
    <row r="98" spans="9:20">
      <c r="I98" s="214"/>
    </row>
  </sheetData>
  <mergeCells count="17">
    <mergeCell ref="X3:X5"/>
    <mergeCell ref="V3:V5"/>
    <mergeCell ref="A89:J89"/>
    <mergeCell ref="B3:B5"/>
    <mergeCell ref="C3:C5"/>
    <mergeCell ref="E3:E5"/>
    <mergeCell ref="F3:F5"/>
    <mergeCell ref="D3:D5"/>
    <mergeCell ref="A2:W2"/>
    <mergeCell ref="G3:J4"/>
    <mergeCell ref="K3:K5"/>
    <mergeCell ref="L3:O4"/>
    <mergeCell ref="P3:P5"/>
    <mergeCell ref="Q3:T4"/>
    <mergeCell ref="U3:U5"/>
    <mergeCell ref="A3:A5"/>
    <mergeCell ref="W3:W5"/>
  </mergeCells>
  <phoneticPr fontId="7" type="noConversion"/>
  <pageMargins left="0.39370078740157483" right="0" top="0.39370078740157483" bottom="0" header="0" footer="0"/>
  <pageSetup paperSize="9" scale="40"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ayfa30">
    <tabColor indexed="31"/>
    <pageSetUpPr fitToPage="1"/>
  </sheetPr>
  <dimension ref="A1:I161"/>
  <sheetViews>
    <sheetView showGridLines="0" zoomScaleNormal="100" workbookViewId="0">
      <selection activeCell="A3" sqref="A3:F3"/>
    </sheetView>
  </sheetViews>
  <sheetFormatPr defaultRowHeight="15"/>
  <cols>
    <col min="1" max="1" width="18.140625" style="195" customWidth="1"/>
    <col min="2" max="2" width="81.28515625" style="195" customWidth="1"/>
    <col min="3" max="3" width="51.42578125" style="195" customWidth="1"/>
    <col min="4" max="4" width="31.7109375" style="1624" customWidth="1"/>
    <col min="5" max="5" width="49.7109375" style="195" customWidth="1"/>
    <col min="6" max="6" width="20.85546875" style="1222" customWidth="1"/>
    <col min="7" max="7" width="5.5703125" style="204" customWidth="1"/>
    <col min="8" max="16384" width="9.140625" style="204"/>
  </cols>
  <sheetData>
    <row r="1" spans="1:9" ht="22.5" customHeight="1">
      <c r="A1" s="2090" t="s">
        <v>1089</v>
      </c>
      <c r="B1" s="2090"/>
      <c r="C1" s="2090"/>
      <c r="D1" s="2090"/>
      <c r="E1" s="2090"/>
      <c r="F1" s="2090"/>
    </row>
    <row r="2" spans="1:9" ht="22.5" customHeight="1" thickBot="1">
      <c r="A2" s="2091" t="s">
        <v>1090</v>
      </c>
      <c r="B2" s="2091"/>
      <c r="C2" s="2091"/>
      <c r="D2" s="2091"/>
      <c r="E2" s="2091"/>
      <c r="F2" s="2091"/>
    </row>
    <row r="3" spans="1:9" ht="37.5" customHeight="1">
      <c r="A3" s="2092" t="s">
        <v>1213</v>
      </c>
      <c r="B3" s="2093"/>
      <c r="C3" s="2093"/>
      <c r="D3" s="2093"/>
      <c r="E3" s="2093"/>
      <c r="F3" s="2094"/>
    </row>
    <row r="4" spans="1:9" ht="24" customHeight="1">
      <c r="A4" s="1589"/>
      <c r="B4" s="1590" t="s">
        <v>477</v>
      </c>
      <c r="C4" s="1591">
        <v>1777.5</v>
      </c>
      <c r="D4" s="1592" t="s">
        <v>812</v>
      </c>
      <c r="E4" s="1593"/>
      <c r="F4" s="1594" t="s">
        <v>812</v>
      </c>
    </row>
    <row r="5" spans="1:9" ht="67.5" customHeight="1">
      <c r="A5" s="1595" t="s">
        <v>395</v>
      </c>
      <c r="B5" s="1596" t="s">
        <v>478</v>
      </c>
      <c r="C5" s="1596" t="s">
        <v>479</v>
      </c>
      <c r="D5" s="1596" t="s">
        <v>480</v>
      </c>
      <c r="E5" s="1596" t="s">
        <v>900</v>
      </c>
      <c r="F5" s="1597" t="s">
        <v>323</v>
      </c>
      <c r="I5" s="204" t="s">
        <v>729</v>
      </c>
    </row>
    <row r="6" spans="1:9" ht="88.5" customHeight="1">
      <c r="A6" s="1598" t="s">
        <v>481</v>
      </c>
      <c r="B6" s="1599" t="s">
        <v>324</v>
      </c>
      <c r="C6" s="1599" t="s">
        <v>325</v>
      </c>
      <c r="D6" s="1600" t="s">
        <v>101</v>
      </c>
      <c r="E6" s="1601" t="s">
        <v>894</v>
      </c>
      <c r="F6" s="1602">
        <f>+C4</f>
        <v>1777.5</v>
      </c>
    </row>
    <row r="7" spans="1:9" ht="43.5" customHeight="1">
      <c r="A7" s="1598" t="s">
        <v>895</v>
      </c>
      <c r="B7" s="1601" t="s">
        <v>695</v>
      </c>
      <c r="C7" s="1603"/>
      <c r="D7" s="1600" t="s">
        <v>101</v>
      </c>
      <c r="E7" s="1601" t="s">
        <v>573</v>
      </c>
      <c r="F7" s="1602">
        <f>+C4*2</f>
        <v>3555</v>
      </c>
    </row>
    <row r="8" spans="1:9" ht="73.5" customHeight="1">
      <c r="A8" s="1598" t="s">
        <v>574</v>
      </c>
      <c r="B8" s="1601" t="s">
        <v>326</v>
      </c>
      <c r="C8" s="1604"/>
      <c r="D8" s="1600" t="s">
        <v>101</v>
      </c>
      <c r="E8" s="1601" t="s">
        <v>789</v>
      </c>
      <c r="F8" s="1602">
        <f>+C4*5</f>
        <v>8887.5</v>
      </c>
    </row>
    <row r="9" spans="1:9" ht="57.75" customHeight="1">
      <c r="A9" s="2088" t="s">
        <v>790</v>
      </c>
      <c r="B9" s="2095" t="s">
        <v>327</v>
      </c>
      <c r="C9" s="2085" t="s">
        <v>813</v>
      </c>
      <c r="D9" s="2085" t="s">
        <v>101</v>
      </c>
      <c r="E9" s="1601" t="s">
        <v>158</v>
      </c>
      <c r="F9" s="1602">
        <f>+C4*3</f>
        <v>5332.5</v>
      </c>
    </row>
    <row r="10" spans="1:9" ht="45" customHeight="1">
      <c r="A10" s="2088"/>
      <c r="B10" s="2095"/>
      <c r="C10" s="2085"/>
      <c r="D10" s="2085"/>
      <c r="E10" s="1601" t="s">
        <v>328</v>
      </c>
      <c r="F10" s="1602">
        <f>+C4*2</f>
        <v>3555</v>
      </c>
    </row>
    <row r="11" spans="1:9" ht="52.5" customHeight="1">
      <c r="A11" s="2088"/>
      <c r="B11" s="2095"/>
      <c r="C11" s="2085"/>
      <c r="D11" s="2085"/>
      <c r="E11" s="1601" t="s">
        <v>329</v>
      </c>
      <c r="F11" s="1602">
        <f>+C4</f>
        <v>1777.5</v>
      </c>
    </row>
    <row r="12" spans="1:9" ht="66" customHeight="1">
      <c r="A12" s="2088" t="s">
        <v>138</v>
      </c>
      <c r="B12" s="2085" t="s">
        <v>330</v>
      </c>
      <c r="C12" s="2085" t="s">
        <v>332</v>
      </c>
      <c r="D12" s="2089" t="s">
        <v>101</v>
      </c>
      <c r="E12" s="1601" t="s">
        <v>352</v>
      </c>
      <c r="F12" s="1602">
        <f>+C4*0.2</f>
        <v>355.5</v>
      </c>
    </row>
    <row r="13" spans="1:9" ht="66" customHeight="1">
      <c r="A13" s="2088"/>
      <c r="B13" s="2085"/>
      <c r="C13" s="2085"/>
      <c r="D13" s="2089"/>
      <c r="E13" s="1601" t="s">
        <v>331</v>
      </c>
      <c r="F13" s="1602">
        <f>+C4/8</f>
        <v>222.1875</v>
      </c>
    </row>
    <row r="14" spans="1:9" ht="78" customHeight="1">
      <c r="A14" s="1598" t="s">
        <v>881</v>
      </c>
      <c r="B14" s="1605" t="s">
        <v>353</v>
      </c>
      <c r="C14" s="1601" t="s">
        <v>332</v>
      </c>
      <c r="D14" s="1600" t="s">
        <v>101</v>
      </c>
      <c r="E14" s="1601" t="s">
        <v>483</v>
      </c>
      <c r="F14" s="1602">
        <f>+C4*0.5</f>
        <v>888.75</v>
      </c>
    </row>
    <row r="15" spans="1:9" ht="63" customHeight="1">
      <c r="A15" s="1598" t="s">
        <v>82</v>
      </c>
      <c r="B15" s="1605" t="s">
        <v>333</v>
      </c>
      <c r="C15" s="1601" t="s">
        <v>332</v>
      </c>
      <c r="D15" s="1600" t="s">
        <v>101</v>
      </c>
      <c r="E15" s="1601" t="s">
        <v>545</v>
      </c>
      <c r="F15" s="1602">
        <f>+C4*2</f>
        <v>3555</v>
      </c>
    </row>
    <row r="16" spans="1:9" ht="69.75" customHeight="1">
      <c r="A16" s="1598" t="s">
        <v>112</v>
      </c>
      <c r="B16" s="1605" t="s">
        <v>125</v>
      </c>
      <c r="C16" s="1605" t="s">
        <v>332</v>
      </c>
      <c r="D16" s="1600" t="s">
        <v>101</v>
      </c>
      <c r="E16" s="1601" t="s">
        <v>893</v>
      </c>
      <c r="F16" s="1602">
        <f>+C4*2</f>
        <v>3555</v>
      </c>
    </row>
    <row r="17" spans="1:6" ht="52.5" customHeight="1">
      <c r="A17" s="2088" t="s">
        <v>113</v>
      </c>
      <c r="B17" s="2085" t="s">
        <v>354</v>
      </c>
      <c r="C17" s="2085" t="s">
        <v>1071</v>
      </c>
      <c r="D17" s="2089" t="s">
        <v>1072</v>
      </c>
      <c r="E17" s="1601" t="s">
        <v>355</v>
      </c>
      <c r="F17" s="1602">
        <f>+C4*12</f>
        <v>21330</v>
      </c>
    </row>
    <row r="18" spans="1:6" ht="75" customHeight="1">
      <c r="A18" s="2088"/>
      <c r="B18" s="2085"/>
      <c r="C18" s="2085"/>
      <c r="D18" s="2089"/>
      <c r="E18" s="1601" t="s">
        <v>334</v>
      </c>
      <c r="F18" s="1602">
        <f>+C4*6</f>
        <v>10665</v>
      </c>
    </row>
    <row r="19" spans="1:6" ht="51.75" customHeight="1">
      <c r="A19" s="2088"/>
      <c r="B19" s="2085"/>
      <c r="C19" s="2085"/>
      <c r="D19" s="2089"/>
      <c r="E19" s="1601" t="s">
        <v>335</v>
      </c>
      <c r="F19" s="1602">
        <f>+C4*3</f>
        <v>5332.5</v>
      </c>
    </row>
    <row r="20" spans="1:6" ht="61.5" customHeight="1">
      <c r="A20" s="1598" t="s">
        <v>105</v>
      </c>
      <c r="B20" s="1605" t="s">
        <v>336</v>
      </c>
      <c r="C20" s="2085" t="s">
        <v>94</v>
      </c>
      <c r="D20" s="1601" t="s">
        <v>337</v>
      </c>
      <c r="E20" s="2085" t="s">
        <v>338</v>
      </c>
      <c r="F20" s="2086">
        <f>+C4*0.5</f>
        <v>888.75</v>
      </c>
    </row>
    <row r="21" spans="1:6" ht="77.25" customHeight="1">
      <c r="A21" s="1598" t="s">
        <v>105</v>
      </c>
      <c r="B21" s="1605" t="s">
        <v>339</v>
      </c>
      <c r="C21" s="2085"/>
      <c r="D21" s="1601" t="s">
        <v>850</v>
      </c>
      <c r="E21" s="2085"/>
      <c r="F21" s="2087"/>
    </row>
    <row r="22" spans="1:6" s="1607" customFormat="1" ht="70.5" customHeight="1">
      <c r="A22" s="1606" t="s">
        <v>105</v>
      </c>
      <c r="B22" s="1599" t="s">
        <v>340</v>
      </c>
      <c r="C22" s="2085"/>
      <c r="D22" s="1601" t="s">
        <v>829</v>
      </c>
      <c r="E22" s="2085"/>
      <c r="F22" s="2087"/>
    </row>
    <row r="23" spans="1:6" ht="65.25" customHeight="1">
      <c r="A23" s="1598" t="s">
        <v>864</v>
      </c>
      <c r="B23" s="1605" t="s">
        <v>341</v>
      </c>
      <c r="C23" s="1605"/>
      <c r="D23" s="1601" t="s">
        <v>873</v>
      </c>
      <c r="E23" s="1601" t="s">
        <v>546</v>
      </c>
      <c r="F23" s="1602">
        <f>+C4*0.5</f>
        <v>888.75</v>
      </c>
    </row>
    <row r="24" spans="1:6" s="1609" customFormat="1" ht="60.75" customHeight="1">
      <c r="A24" s="1606" t="s">
        <v>632</v>
      </c>
      <c r="B24" s="1608" t="s">
        <v>342</v>
      </c>
      <c r="C24" s="1608" t="s">
        <v>96</v>
      </c>
      <c r="D24" s="1601" t="s">
        <v>97</v>
      </c>
      <c r="E24" s="1601" t="s">
        <v>29</v>
      </c>
      <c r="F24" s="1602">
        <f>+C4*2</f>
        <v>3555</v>
      </c>
    </row>
    <row r="25" spans="1:6" s="1609" customFormat="1" ht="46.5" customHeight="1">
      <c r="A25" s="1606" t="s">
        <v>817</v>
      </c>
      <c r="B25" s="1608" t="s">
        <v>343</v>
      </c>
      <c r="C25" s="1608" t="s">
        <v>344</v>
      </c>
      <c r="D25" s="1601" t="s">
        <v>425</v>
      </c>
      <c r="E25" s="1601" t="s">
        <v>653</v>
      </c>
      <c r="F25" s="1602">
        <f>+C4</f>
        <v>1777.5</v>
      </c>
    </row>
    <row r="26" spans="1:6" s="1609" customFormat="1" ht="56.25" customHeight="1">
      <c r="A26" s="1606" t="s">
        <v>817</v>
      </c>
      <c r="B26" s="1608" t="s">
        <v>591</v>
      </c>
      <c r="C26" s="1608" t="s">
        <v>891</v>
      </c>
      <c r="D26" s="1601" t="s">
        <v>863</v>
      </c>
      <c r="E26" s="1601" t="s">
        <v>653</v>
      </c>
      <c r="F26" s="1602">
        <f>+C4</f>
        <v>1777.5</v>
      </c>
    </row>
    <row r="27" spans="1:6" s="1609" customFormat="1" ht="72" customHeight="1">
      <c r="A27" s="1606" t="s">
        <v>817</v>
      </c>
      <c r="B27" s="1608" t="s">
        <v>162</v>
      </c>
      <c r="C27" s="1608"/>
      <c r="D27" s="1610"/>
      <c r="E27" s="1611" t="s">
        <v>728</v>
      </c>
      <c r="F27" s="1602">
        <f>+C4*0.1</f>
        <v>177.75</v>
      </c>
    </row>
    <row r="28" spans="1:6" ht="73.5" customHeight="1">
      <c r="A28" s="1598" t="s">
        <v>163</v>
      </c>
      <c r="B28" s="1605" t="s">
        <v>356</v>
      </c>
      <c r="C28" s="1605" t="s">
        <v>826</v>
      </c>
      <c r="D28" s="1601" t="s">
        <v>129</v>
      </c>
      <c r="E28" s="1601" t="s">
        <v>827</v>
      </c>
      <c r="F28" s="1602">
        <f>+C4</f>
        <v>1777.5</v>
      </c>
    </row>
    <row r="29" spans="1:6" ht="74.25" customHeight="1">
      <c r="A29" s="1598" t="s">
        <v>163</v>
      </c>
      <c r="B29" s="1612" t="s">
        <v>740</v>
      </c>
      <c r="C29" s="1605" t="s">
        <v>741</v>
      </c>
      <c r="D29" s="1601" t="s">
        <v>650</v>
      </c>
      <c r="E29" s="1601" t="s">
        <v>827</v>
      </c>
      <c r="F29" s="1613">
        <f>+C4</f>
        <v>1777.5</v>
      </c>
    </row>
    <row r="30" spans="1:6" ht="79.5" customHeight="1">
      <c r="A30" s="2098" t="s">
        <v>251</v>
      </c>
      <c r="B30" s="1612" t="s">
        <v>252</v>
      </c>
      <c r="C30" s="2100" t="s">
        <v>729</v>
      </c>
      <c r="D30" s="2102"/>
      <c r="E30" s="2102" t="s">
        <v>357</v>
      </c>
      <c r="F30" s="1613">
        <f>+C4*5</f>
        <v>8887.5</v>
      </c>
    </row>
    <row r="31" spans="1:6" s="1615" customFormat="1" ht="33" customHeight="1">
      <c r="A31" s="2099"/>
      <c r="B31" s="1614"/>
      <c r="C31" s="2101"/>
      <c r="D31" s="2103"/>
      <c r="E31" s="2103"/>
      <c r="F31" s="1613">
        <f>+C4*2</f>
        <v>3555</v>
      </c>
    </row>
    <row r="32" spans="1:6" s="1615" customFormat="1" ht="45.75" customHeight="1">
      <c r="A32" s="2104" t="s">
        <v>251</v>
      </c>
      <c r="B32" s="2106" t="s">
        <v>345</v>
      </c>
      <c r="C32" s="2108" t="s">
        <v>346</v>
      </c>
      <c r="D32" s="2108" t="s">
        <v>347</v>
      </c>
      <c r="E32" s="2108" t="s">
        <v>253</v>
      </c>
      <c r="F32" s="1613">
        <f>+C4/10</f>
        <v>177.75</v>
      </c>
    </row>
    <row r="33" spans="1:6" s="1615" customFormat="1" ht="52.5" customHeight="1">
      <c r="A33" s="2105"/>
      <c r="B33" s="2107"/>
      <c r="C33" s="2107"/>
      <c r="D33" s="2107"/>
      <c r="E33" s="2107"/>
      <c r="F33" s="1613">
        <f>+C4/2</f>
        <v>888.75</v>
      </c>
    </row>
    <row r="34" spans="1:6" s="1615" customFormat="1" ht="108" customHeight="1">
      <c r="A34" s="1598" t="s">
        <v>348</v>
      </c>
      <c r="B34" s="1616" t="s">
        <v>349</v>
      </c>
      <c r="C34" s="1617"/>
      <c r="D34" s="1618"/>
      <c r="E34" s="1601" t="s">
        <v>203</v>
      </c>
      <c r="F34" s="1613">
        <f>+C4*0.1</f>
        <v>177.75</v>
      </c>
    </row>
    <row r="35" spans="1:6" s="1615" customFormat="1" ht="52.5" customHeight="1">
      <c r="A35" s="1598" t="s">
        <v>350</v>
      </c>
      <c r="B35" s="1616" t="s">
        <v>204</v>
      </c>
      <c r="C35" s="1616"/>
      <c r="D35" s="1618"/>
      <c r="E35" s="1601" t="s">
        <v>205</v>
      </c>
      <c r="F35" s="1613">
        <f>+C4*1/2</f>
        <v>888.75</v>
      </c>
    </row>
    <row r="36" spans="1:6" s="1615" customFormat="1" ht="47.25" customHeight="1" thickBot="1">
      <c r="A36" s="1619" t="s">
        <v>351</v>
      </c>
      <c r="B36" s="1620" t="s">
        <v>133</v>
      </c>
      <c r="C36" s="1620"/>
      <c r="D36" s="1621"/>
      <c r="E36" s="1622" t="s">
        <v>134</v>
      </c>
      <c r="F36" s="1623">
        <f>+C4</f>
        <v>1777.5</v>
      </c>
    </row>
    <row r="37" spans="1:6" ht="63.75" customHeight="1">
      <c r="A37" s="2096" t="s">
        <v>1030</v>
      </c>
      <c r="B37" s="2097"/>
      <c r="C37" s="2097"/>
      <c r="D37" s="2097"/>
      <c r="E37" s="2097"/>
      <c r="F37" s="2097"/>
    </row>
    <row r="38" spans="1:6" ht="20.25" customHeight="1"/>
    <row r="39" spans="1:6" ht="20.25" customHeight="1"/>
    <row r="40" spans="1:6" ht="20.25" customHeight="1"/>
    <row r="41" spans="1:6" ht="20.25" customHeight="1"/>
    <row r="42" spans="1:6" ht="20.25" customHeight="1"/>
    <row r="43" spans="1:6" ht="20.25" customHeight="1"/>
    <row r="44" spans="1:6" ht="20.25" customHeight="1"/>
    <row r="45" spans="1:6" ht="20.25" customHeight="1"/>
    <row r="46" spans="1:6" ht="20.25" customHeight="1"/>
    <row r="47" spans="1:6" ht="20.25" customHeight="1"/>
    <row r="48" spans="1:6" ht="20.25" customHeight="1"/>
    <row r="49" spans="3:6" ht="20.25" customHeight="1"/>
    <row r="50" spans="3:6" ht="20.25" customHeight="1">
      <c r="F50" s="1222" t="s">
        <v>729</v>
      </c>
    </row>
    <row r="51" spans="3:6" ht="20.25" customHeight="1"/>
    <row r="52" spans="3:6" ht="20.25" customHeight="1"/>
    <row r="53" spans="3:6" ht="20.25" customHeight="1"/>
    <row r="54" spans="3:6" ht="20.25" customHeight="1">
      <c r="C54" s="195" t="s">
        <v>729</v>
      </c>
    </row>
    <row r="55" spans="3:6" ht="20.25" customHeight="1"/>
    <row r="56" spans="3:6" ht="20.25" customHeight="1"/>
    <row r="57" spans="3:6" ht="20.25" customHeight="1"/>
    <row r="58" spans="3:6" ht="20.25" customHeight="1"/>
    <row r="59" spans="3:6" ht="20.25" customHeight="1">
      <c r="C59" s="195" t="s">
        <v>729</v>
      </c>
    </row>
    <row r="60" spans="3:6" ht="20.25" customHeight="1"/>
    <row r="61" spans="3:6" ht="20.25" customHeight="1"/>
    <row r="62" spans="3:6" ht="20.25" customHeight="1"/>
    <row r="63" spans="3:6" ht="20.25" customHeight="1"/>
    <row r="64" spans="3:6" ht="20.25" customHeight="1"/>
    <row r="65" ht="20.25" customHeight="1"/>
    <row r="66" ht="20.25" customHeight="1"/>
    <row r="67" ht="20.25" customHeight="1"/>
    <row r="68" ht="20.25" customHeight="1"/>
    <row r="69" ht="20.25" customHeight="1"/>
    <row r="70" ht="20.25" customHeight="1"/>
    <row r="71" ht="20.25" customHeight="1"/>
    <row r="72" ht="20.25" customHeight="1"/>
    <row r="73" ht="20.25" customHeight="1"/>
    <row r="74" ht="20.25" customHeight="1"/>
    <row r="75" ht="20.25" customHeight="1"/>
    <row r="76" ht="20.25" customHeight="1"/>
    <row r="77" ht="20.25" customHeight="1"/>
    <row r="78" ht="20.25" customHeight="1"/>
    <row r="79" ht="20.25" customHeight="1"/>
    <row r="80" ht="20.25" customHeight="1"/>
    <row r="81" ht="20.25" customHeight="1"/>
    <row r="82" ht="20.25" customHeight="1"/>
    <row r="83" ht="20.25" customHeight="1"/>
    <row r="84" ht="20.25" customHeight="1"/>
    <row r="85" ht="20.25" customHeight="1"/>
    <row r="86" ht="20.25" customHeight="1"/>
    <row r="87" ht="20.25" customHeight="1"/>
    <row r="88" ht="20.25" customHeight="1"/>
    <row r="89" ht="20.25" customHeight="1"/>
    <row r="90" ht="20.25" customHeight="1"/>
    <row r="91" ht="20.25" customHeight="1"/>
    <row r="92" ht="20.25" customHeight="1"/>
    <row r="93" ht="20.25" customHeight="1"/>
    <row r="94" ht="20.25" customHeight="1"/>
    <row r="95" ht="20.25" customHeight="1"/>
    <row r="96" ht="20.25" customHeight="1"/>
    <row r="97" ht="20.25" customHeight="1"/>
    <row r="98" ht="20.25" customHeight="1"/>
    <row r="99" ht="20.25" customHeight="1"/>
    <row r="100" ht="20.25" customHeight="1"/>
    <row r="101" ht="20.25" customHeight="1"/>
    <row r="102" ht="20.25" customHeight="1"/>
    <row r="103" ht="20.25" customHeight="1"/>
    <row r="104" ht="20.25" customHeight="1"/>
    <row r="105" ht="20.25" customHeight="1"/>
    <row r="106" ht="20.25" customHeight="1"/>
    <row r="107" ht="20.25" customHeight="1"/>
    <row r="108" ht="20.25" customHeight="1"/>
    <row r="109" ht="20.25" customHeight="1"/>
    <row r="110" ht="20.25" customHeight="1"/>
    <row r="111" ht="20.25" customHeight="1"/>
    <row r="112" ht="20.25" customHeight="1"/>
    <row r="113" ht="20.25" customHeight="1"/>
    <row r="114" ht="20.25" customHeight="1"/>
    <row r="115" ht="20.25" customHeight="1"/>
    <row r="116" ht="20.25" customHeight="1"/>
    <row r="117" ht="20.25" customHeight="1"/>
    <row r="118" ht="20.25" customHeight="1"/>
    <row r="119" ht="20.25" customHeight="1"/>
    <row r="120" ht="20.25" customHeight="1"/>
    <row r="121" ht="20.25" customHeight="1"/>
    <row r="122" ht="20.25" customHeight="1"/>
    <row r="123" ht="20.25" customHeight="1"/>
    <row r="124" ht="20.25" customHeight="1"/>
    <row r="125" ht="20.25" customHeight="1"/>
    <row r="126" ht="20.25" customHeight="1"/>
    <row r="127" ht="20.25" customHeight="1"/>
    <row r="128" ht="20.25" customHeight="1"/>
    <row r="129" ht="20.25" customHeight="1"/>
    <row r="130" ht="20.25" customHeight="1"/>
    <row r="131" ht="20.25" customHeight="1"/>
    <row r="132" ht="20.25" customHeight="1"/>
    <row r="133" ht="20.25" customHeight="1"/>
    <row r="134" ht="20.25" customHeight="1"/>
    <row r="135" ht="20.25" customHeight="1"/>
    <row r="136" ht="20.25" customHeight="1"/>
    <row r="137" ht="20.25" customHeight="1"/>
    <row r="138" ht="20.25" customHeight="1"/>
    <row r="139" ht="20.25" customHeight="1"/>
    <row r="140" ht="20.25" customHeight="1"/>
    <row r="141" ht="20.25" customHeight="1"/>
    <row r="142" ht="20.25" customHeight="1"/>
    <row r="143" ht="20.25" customHeight="1"/>
    <row r="144" ht="20.25" customHeight="1"/>
    <row r="145" ht="20.25" customHeight="1"/>
    <row r="146" ht="20.25" customHeight="1"/>
    <row r="147" ht="20.25" customHeight="1"/>
    <row r="148" ht="20.25" customHeight="1"/>
    <row r="149" ht="20.25" customHeight="1"/>
    <row r="150" ht="20.25" customHeight="1"/>
    <row r="151" ht="20.25" customHeight="1"/>
    <row r="152" ht="20.25" customHeight="1"/>
    <row r="153" ht="20.25" customHeight="1"/>
    <row r="154" ht="20.25" customHeight="1"/>
    <row r="155" ht="20.25" customHeight="1"/>
    <row r="156" ht="20.25" customHeight="1"/>
    <row r="157" ht="20.25" customHeight="1"/>
    <row r="158" ht="20.25" customHeight="1"/>
    <row r="159" ht="20.25" customHeight="1"/>
    <row r="160" ht="20.25" customHeight="1"/>
    <row r="161" ht="20.25" customHeight="1"/>
  </sheetData>
  <mergeCells count="28">
    <mergeCell ref="A37:F37"/>
    <mergeCell ref="A30:A31"/>
    <mergeCell ref="C30:C31"/>
    <mergeCell ref="D30:D31"/>
    <mergeCell ref="E30:E31"/>
    <mergeCell ref="A32:A33"/>
    <mergeCell ref="B32:B33"/>
    <mergeCell ref="C32:C33"/>
    <mergeCell ref="D32:D33"/>
    <mergeCell ref="E32:E33"/>
    <mergeCell ref="B12:B13"/>
    <mergeCell ref="D12:D13"/>
    <mergeCell ref="A1:F1"/>
    <mergeCell ref="A2:F2"/>
    <mergeCell ref="A3:F3"/>
    <mergeCell ref="A9:A11"/>
    <mergeCell ref="B9:B11"/>
    <mergeCell ref="C9:C11"/>
    <mergeCell ref="D9:D11"/>
    <mergeCell ref="A12:A13"/>
    <mergeCell ref="C12:C13"/>
    <mergeCell ref="E20:E22"/>
    <mergeCell ref="F20:F22"/>
    <mergeCell ref="A17:A19"/>
    <mergeCell ref="B17:B19"/>
    <mergeCell ref="C17:C19"/>
    <mergeCell ref="D17:D19"/>
    <mergeCell ref="C20:C22"/>
  </mergeCells>
  <phoneticPr fontId="7" type="noConversion"/>
  <pageMargins left="0.59055118110236227" right="0" top="0.27559055118110237" bottom="0" header="0" footer="0"/>
  <pageSetup paperSize="9" scale="37" orientation="portrait"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2"/>
  </sheetPr>
  <dimension ref="A1:AA99"/>
  <sheetViews>
    <sheetView showGridLines="0" zoomScaleNormal="100" workbookViewId="0">
      <selection activeCell="J6" sqref="J6"/>
    </sheetView>
  </sheetViews>
  <sheetFormatPr defaultRowHeight="12.75"/>
  <cols>
    <col min="1" max="1" width="4.28515625" style="5" customWidth="1"/>
    <col min="2" max="2" width="33.28515625" customWidth="1"/>
    <col min="3" max="3" width="12.85546875" bestFit="1" customWidth="1"/>
    <col min="4" max="5" width="14" style="14" bestFit="1" customWidth="1"/>
    <col min="6" max="6" width="14" bestFit="1" customWidth="1"/>
    <col min="7" max="7" width="12.85546875" bestFit="1" customWidth="1"/>
    <col min="8" max="8" width="14" style="14" bestFit="1" customWidth="1"/>
    <col min="9" max="9" width="9.85546875" customWidth="1"/>
    <col min="10" max="10" width="9.140625" style="1718"/>
    <col min="13" max="13" width="9.140625" style="1715"/>
  </cols>
  <sheetData>
    <row r="1" spans="1:27" s="14" customFormat="1" ht="15.75" customHeight="1">
      <c r="A1" s="2013" t="s">
        <v>1081</v>
      </c>
      <c r="B1" s="2013"/>
      <c r="C1" s="2013"/>
      <c r="D1" s="2013"/>
      <c r="E1" s="2013"/>
      <c r="F1" s="2013"/>
      <c r="G1" s="2013"/>
      <c r="H1" s="2013"/>
      <c r="I1" s="2013"/>
      <c r="J1" s="1718"/>
      <c r="M1" s="1715"/>
    </row>
    <row r="2" spans="1:27" s="14" customFormat="1" ht="14.25" customHeight="1" thickBot="1">
      <c r="A2" s="556" t="s">
        <v>1082</v>
      </c>
      <c r="B2" s="557"/>
      <c r="C2" s="558"/>
      <c r="D2" s="559"/>
      <c r="E2" s="559"/>
      <c r="F2" s="6"/>
      <c r="G2" s="1978" t="e">
        <v>#VALUE!</v>
      </c>
      <c r="H2" s="1979"/>
      <c r="I2" s="1979"/>
      <c r="J2" s="1718"/>
      <c r="M2" s="1715"/>
    </row>
    <row r="3" spans="1:27" ht="14.25" customHeight="1">
      <c r="A3" s="2014" t="s">
        <v>461</v>
      </c>
      <c r="B3" s="2005" t="s">
        <v>1004</v>
      </c>
      <c r="C3" s="2018"/>
      <c r="D3" s="2018"/>
      <c r="E3" s="2018"/>
      <c r="F3" s="2018"/>
      <c r="G3" s="2018"/>
      <c r="H3" s="2019"/>
      <c r="I3" s="2023" t="s">
        <v>1006</v>
      </c>
    </row>
    <row r="4" spans="1:27" ht="16.5" customHeight="1">
      <c r="A4" s="2015"/>
      <c r="B4" s="2006"/>
      <c r="C4" s="2021"/>
      <c r="D4" s="2021"/>
      <c r="E4" s="2021"/>
      <c r="F4" s="2021"/>
      <c r="G4" s="2021"/>
      <c r="H4" s="2022"/>
      <c r="I4" s="2024"/>
    </row>
    <row r="5" spans="1:27" ht="27.75" customHeight="1">
      <c r="A5" s="2016"/>
      <c r="B5" s="2007"/>
      <c r="C5" s="587" t="s">
        <v>260</v>
      </c>
      <c r="D5" s="587" t="s">
        <v>383</v>
      </c>
      <c r="E5" s="587" t="s">
        <v>384</v>
      </c>
      <c r="F5" s="587" t="s">
        <v>385</v>
      </c>
      <c r="G5" s="587" t="s">
        <v>727</v>
      </c>
      <c r="H5" s="591" t="s">
        <v>640</v>
      </c>
      <c r="I5" s="2025"/>
    </row>
    <row r="6" spans="1:27" ht="17.100000000000001" customHeight="1">
      <c r="A6" s="560" t="s">
        <v>195</v>
      </c>
      <c r="B6" s="561" t="s">
        <v>672</v>
      </c>
      <c r="C6" s="982">
        <v>12024</v>
      </c>
      <c r="D6" s="982">
        <v>13570</v>
      </c>
      <c r="E6" s="982">
        <v>4385</v>
      </c>
      <c r="F6" s="982">
        <v>1641</v>
      </c>
      <c r="G6" s="982">
        <v>0</v>
      </c>
      <c r="H6" s="982">
        <v>1795</v>
      </c>
      <c r="I6" s="562">
        <f t="shared" ref="I6:I37" si="0">SUM(C6:H6)</f>
        <v>33415</v>
      </c>
      <c r="J6" s="1718">
        <v>107416</v>
      </c>
      <c r="K6" s="792">
        <f>+J6-I6</f>
        <v>74001</v>
      </c>
      <c r="L6" s="792">
        <v>1951</v>
      </c>
      <c r="M6" s="1716">
        <f t="shared" ref="M6:M8" si="1">+L6-H6</f>
        <v>156</v>
      </c>
      <c r="P6">
        <v>10320</v>
      </c>
      <c r="Q6">
        <v>8773</v>
      </c>
      <c r="R6">
        <v>6082</v>
      </c>
      <c r="S6">
        <v>13574</v>
      </c>
      <c r="T6">
        <v>8906</v>
      </c>
      <c r="U6">
        <v>11069</v>
      </c>
      <c r="V6">
        <v>12024</v>
      </c>
      <c r="W6">
        <v>13570</v>
      </c>
      <c r="X6">
        <v>4385</v>
      </c>
      <c r="Y6">
        <v>1641</v>
      </c>
      <c r="Z6">
        <v>0</v>
      </c>
      <c r="AA6">
        <v>1795</v>
      </c>
    </row>
    <row r="7" spans="1:27" ht="17.100000000000001" customHeight="1">
      <c r="A7" s="563" t="s">
        <v>197</v>
      </c>
      <c r="B7" s="564" t="s">
        <v>833</v>
      </c>
      <c r="C7" s="982">
        <v>9780</v>
      </c>
      <c r="D7" s="982">
        <v>8171</v>
      </c>
      <c r="E7" s="982">
        <v>2295</v>
      </c>
      <c r="F7" s="982">
        <v>0</v>
      </c>
      <c r="G7" s="982">
        <v>0</v>
      </c>
      <c r="H7" s="982">
        <v>0</v>
      </c>
      <c r="I7" s="565">
        <f t="shared" si="0"/>
        <v>20246</v>
      </c>
      <c r="J7" s="1718">
        <v>39553</v>
      </c>
      <c r="K7" s="792">
        <f t="shared" ref="K7:K70" si="2">+J7-I7</f>
        <v>19307</v>
      </c>
      <c r="L7" s="792">
        <v>0</v>
      </c>
      <c r="M7" s="1716">
        <f t="shared" si="1"/>
        <v>0</v>
      </c>
      <c r="P7">
        <v>1436</v>
      </c>
      <c r="Q7">
        <v>1765</v>
      </c>
      <c r="R7">
        <v>1494</v>
      </c>
      <c r="S7">
        <v>4490</v>
      </c>
      <c r="T7">
        <v>3857</v>
      </c>
      <c r="U7">
        <v>6384</v>
      </c>
      <c r="V7">
        <v>9780</v>
      </c>
      <c r="W7">
        <v>8171</v>
      </c>
      <c r="X7">
        <v>2295</v>
      </c>
      <c r="Y7">
        <v>0</v>
      </c>
      <c r="Z7">
        <v>0</v>
      </c>
      <c r="AA7">
        <v>0</v>
      </c>
    </row>
    <row r="8" spans="1:27" ht="17.100000000000001" customHeight="1">
      <c r="A8" s="563" t="s">
        <v>199</v>
      </c>
      <c r="B8" s="564" t="s">
        <v>641</v>
      </c>
      <c r="C8" s="982">
        <v>726</v>
      </c>
      <c r="D8" s="982">
        <v>685</v>
      </c>
      <c r="E8" s="982">
        <v>239</v>
      </c>
      <c r="F8" s="982">
        <v>0</v>
      </c>
      <c r="G8" s="982">
        <v>0</v>
      </c>
      <c r="H8" s="982">
        <v>0</v>
      </c>
      <c r="I8" s="565">
        <f t="shared" si="0"/>
        <v>1650</v>
      </c>
      <c r="J8" s="1718">
        <v>8063</v>
      </c>
      <c r="K8" s="792">
        <f t="shared" si="2"/>
        <v>6413</v>
      </c>
      <c r="L8" s="792">
        <v>0</v>
      </c>
      <c r="M8" s="1716">
        <f t="shared" si="1"/>
        <v>0</v>
      </c>
      <c r="P8">
        <v>792</v>
      </c>
      <c r="Q8">
        <v>975</v>
      </c>
      <c r="R8">
        <v>686</v>
      </c>
      <c r="S8">
        <v>1245</v>
      </c>
      <c r="T8">
        <v>1008</v>
      </c>
      <c r="U8">
        <v>850</v>
      </c>
      <c r="V8">
        <v>726</v>
      </c>
      <c r="W8">
        <v>685</v>
      </c>
      <c r="X8">
        <v>239</v>
      </c>
      <c r="Y8">
        <v>0</v>
      </c>
      <c r="Z8">
        <v>0</v>
      </c>
      <c r="AA8">
        <v>0</v>
      </c>
    </row>
    <row r="9" spans="1:27" s="2" customFormat="1" ht="17.100000000000001" customHeight="1">
      <c r="A9" s="563" t="s">
        <v>185</v>
      </c>
      <c r="B9" s="564" t="s">
        <v>556</v>
      </c>
      <c r="C9" s="982">
        <v>3103</v>
      </c>
      <c r="D9" s="982">
        <v>5454</v>
      </c>
      <c r="E9" s="982">
        <v>5234</v>
      </c>
      <c r="F9" s="982">
        <v>3286</v>
      </c>
      <c r="G9" s="982">
        <v>4866</v>
      </c>
      <c r="H9" s="982">
        <v>8008</v>
      </c>
      <c r="I9" s="565">
        <f t="shared" si="0"/>
        <v>29951</v>
      </c>
      <c r="J9" s="1719">
        <v>37794</v>
      </c>
      <c r="K9" s="792">
        <f t="shared" si="2"/>
        <v>7843</v>
      </c>
      <c r="L9" s="792">
        <v>16524</v>
      </c>
      <c r="M9" s="1716">
        <f>+L9-H9</f>
        <v>8516</v>
      </c>
      <c r="N9"/>
      <c r="P9" s="2">
        <v>261</v>
      </c>
      <c r="Q9" s="2">
        <v>353</v>
      </c>
      <c r="R9" s="2">
        <v>339</v>
      </c>
      <c r="S9" s="2">
        <v>863</v>
      </c>
      <c r="T9" s="2">
        <v>1066</v>
      </c>
      <c r="U9" s="2">
        <v>1806</v>
      </c>
      <c r="V9" s="2">
        <v>3103</v>
      </c>
      <c r="W9" s="2">
        <v>5454</v>
      </c>
      <c r="X9" s="2">
        <v>5234</v>
      </c>
      <c r="Y9" s="2">
        <v>3286</v>
      </c>
      <c r="Z9" s="2">
        <v>4866</v>
      </c>
      <c r="AA9" s="2">
        <v>8008</v>
      </c>
    </row>
    <row r="10" spans="1:27" ht="17.100000000000001" customHeight="1">
      <c r="A10" s="563" t="s">
        <v>187</v>
      </c>
      <c r="B10" s="564" t="s">
        <v>88</v>
      </c>
      <c r="C10" s="982">
        <v>200</v>
      </c>
      <c r="D10" s="982">
        <v>433</v>
      </c>
      <c r="E10" s="982">
        <v>508</v>
      </c>
      <c r="F10" s="982">
        <v>0</v>
      </c>
      <c r="G10" s="982">
        <v>858</v>
      </c>
      <c r="H10" s="982">
        <v>0</v>
      </c>
      <c r="I10" s="565">
        <f t="shared" si="0"/>
        <v>1999</v>
      </c>
      <c r="J10" s="1718">
        <v>2670</v>
      </c>
      <c r="K10" s="792">
        <f t="shared" si="2"/>
        <v>671</v>
      </c>
      <c r="L10" s="792">
        <v>1106</v>
      </c>
      <c r="M10" s="1716">
        <f t="shared" ref="M10:M73" si="3">+L10-H10</f>
        <v>1106</v>
      </c>
      <c r="P10">
        <v>6</v>
      </c>
      <c r="Q10">
        <v>15</v>
      </c>
      <c r="R10">
        <v>8</v>
      </c>
      <c r="S10">
        <v>68</v>
      </c>
      <c r="T10">
        <v>84</v>
      </c>
      <c r="U10">
        <v>191</v>
      </c>
      <c r="V10">
        <v>200</v>
      </c>
      <c r="W10">
        <v>433</v>
      </c>
      <c r="X10">
        <v>508</v>
      </c>
      <c r="Y10">
        <v>0</v>
      </c>
      <c r="Z10">
        <v>858</v>
      </c>
      <c r="AA10">
        <v>0</v>
      </c>
    </row>
    <row r="11" spans="1:27" ht="17.100000000000001" customHeight="1">
      <c r="A11" s="563" t="s">
        <v>189</v>
      </c>
      <c r="B11" s="564" t="s">
        <v>89</v>
      </c>
      <c r="C11" s="982">
        <v>3345</v>
      </c>
      <c r="D11" s="982">
        <v>5080</v>
      </c>
      <c r="E11" s="982">
        <v>4041</v>
      </c>
      <c r="F11" s="982">
        <v>2133</v>
      </c>
      <c r="G11" s="982">
        <v>1424</v>
      </c>
      <c r="H11" s="982">
        <v>0</v>
      </c>
      <c r="I11" s="565">
        <f t="shared" si="0"/>
        <v>16023</v>
      </c>
      <c r="J11" s="1718">
        <v>24702</v>
      </c>
      <c r="K11" s="792">
        <f t="shared" si="2"/>
        <v>8679</v>
      </c>
      <c r="L11" s="792">
        <v>0</v>
      </c>
      <c r="M11" s="1716">
        <f t="shared" si="3"/>
        <v>0</v>
      </c>
      <c r="P11">
        <v>340</v>
      </c>
      <c r="Q11">
        <v>603</v>
      </c>
      <c r="R11">
        <v>489</v>
      </c>
      <c r="S11">
        <v>1664</v>
      </c>
      <c r="T11">
        <v>1563</v>
      </c>
      <c r="U11">
        <v>2382</v>
      </c>
      <c r="V11">
        <v>3345</v>
      </c>
      <c r="W11">
        <v>5080</v>
      </c>
      <c r="X11">
        <v>4041</v>
      </c>
      <c r="Y11">
        <v>2133</v>
      </c>
      <c r="Z11">
        <v>1424</v>
      </c>
      <c r="AA11">
        <v>0</v>
      </c>
    </row>
    <row r="12" spans="1:27" ht="17.100000000000001" customHeight="1">
      <c r="A12" s="563" t="s">
        <v>643</v>
      </c>
      <c r="B12" s="564" t="s">
        <v>90</v>
      </c>
      <c r="C12" s="982">
        <v>7982</v>
      </c>
      <c r="D12" s="982">
        <v>7912</v>
      </c>
      <c r="E12" s="982">
        <v>1542</v>
      </c>
      <c r="F12" s="982">
        <v>2182</v>
      </c>
      <c r="G12" s="982">
        <v>0</v>
      </c>
      <c r="H12" s="982">
        <v>1020</v>
      </c>
      <c r="I12" s="565">
        <f t="shared" si="0"/>
        <v>20638</v>
      </c>
      <c r="J12" s="1718">
        <v>67352</v>
      </c>
      <c r="K12" s="792">
        <f t="shared" si="2"/>
        <v>46714</v>
      </c>
      <c r="L12" s="792">
        <v>1106</v>
      </c>
      <c r="M12" s="1716">
        <f t="shared" si="3"/>
        <v>86</v>
      </c>
      <c r="P12">
        <v>1883</v>
      </c>
      <c r="Q12">
        <v>3237</v>
      </c>
      <c r="R12">
        <v>3992</v>
      </c>
      <c r="S12">
        <v>12599</v>
      </c>
      <c r="T12">
        <v>9008</v>
      </c>
      <c r="U12">
        <v>9863</v>
      </c>
      <c r="V12">
        <v>7982</v>
      </c>
      <c r="W12">
        <v>7912</v>
      </c>
      <c r="X12">
        <v>1542</v>
      </c>
      <c r="Y12">
        <v>2182</v>
      </c>
      <c r="Z12">
        <v>0</v>
      </c>
      <c r="AA12">
        <v>1020</v>
      </c>
    </row>
    <row r="13" spans="1:27" ht="17.100000000000001" customHeight="1">
      <c r="A13" s="563" t="s">
        <v>645</v>
      </c>
      <c r="B13" s="564" t="s">
        <v>91</v>
      </c>
      <c r="C13" s="982">
        <v>653</v>
      </c>
      <c r="D13" s="982">
        <v>972</v>
      </c>
      <c r="E13" s="982">
        <v>435</v>
      </c>
      <c r="F13" s="982">
        <v>610</v>
      </c>
      <c r="G13" s="982">
        <v>0</v>
      </c>
      <c r="H13" s="982">
        <v>0</v>
      </c>
      <c r="I13" s="565">
        <f t="shared" si="0"/>
        <v>2670</v>
      </c>
      <c r="J13" s="1718">
        <v>7325</v>
      </c>
      <c r="K13" s="792">
        <f t="shared" si="2"/>
        <v>4655</v>
      </c>
      <c r="L13" s="792">
        <v>0</v>
      </c>
      <c r="M13" s="1716">
        <f t="shared" si="3"/>
        <v>0</v>
      </c>
      <c r="P13">
        <v>267</v>
      </c>
      <c r="Q13">
        <v>386</v>
      </c>
      <c r="R13">
        <v>340</v>
      </c>
      <c r="S13">
        <v>942</v>
      </c>
      <c r="T13">
        <v>727</v>
      </c>
      <c r="U13">
        <v>1263</v>
      </c>
      <c r="V13">
        <v>653</v>
      </c>
      <c r="W13">
        <v>972</v>
      </c>
      <c r="X13">
        <v>435</v>
      </c>
      <c r="Y13">
        <v>610</v>
      </c>
      <c r="Z13">
        <v>0</v>
      </c>
      <c r="AA13">
        <v>0</v>
      </c>
    </row>
    <row r="14" spans="1:27" ht="17.100000000000001" customHeight="1">
      <c r="A14" s="563">
        <v>10</v>
      </c>
      <c r="B14" s="564" t="s">
        <v>92</v>
      </c>
      <c r="C14" s="982">
        <v>35112</v>
      </c>
      <c r="D14" s="982">
        <v>66498</v>
      </c>
      <c r="E14" s="982">
        <v>33721</v>
      </c>
      <c r="F14" s="982">
        <v>15859</v>
      </c>
      <c r="G14" s="982">
        <v>17799</v>
      </c>
      <c r="H14" s="982">
        <v>26200</v>
      </c>
      <c r="I14" s="565">
        <f t="shared" si="0"/>
        <v>195189</v>
      </c>
      <c r="J14" s="1718">
        <v>425845</v>
      </c>
      <c r="K14" s="792">
        <f t="shared" si="2"/>
        <v>230656</v>
      </c>
      <c r="L14" s="792">
        <v>26165</v>
      </c>
      <c r="M14" s="1716">
        <f t="shared" si="3"/>
        <v>-35</v>
      </c>
      <c r="P14">
        <v>27851</v>
      </c>
      <c r="Q14">
        <v>37722</v>
      </c>
      <c r="R14">
        <v>27952</v>
      </c>
      <c r="S14">
        <v>46860</v>
      </c>
      <c r="T14">
        <v>26151</v>
      </c>
      <c r="U14">
        <v>32221</v>
      </c>
      <c r="V14">
        <v>35112</v>
      </c>
      <c r="W14">
        <v>66498</v>
      </c>
      <c r="X14">
        <v>33721</v>
      </c>
      <c r="Y14">
        <v>15859</v>
      </c>
      <c r="Z14">
        <v>17799</v>
      </c>
      <c r="AA14">
        <v>23200</v>
      </c>
    </row>
    <row r="15" spans="1:27" ht="17.100000000000001" customHeight="1">
      <c r="A15" s="563">
        <v>11</v>
      </c>
      <c r="B15" s="564" t="s">
        <v>93</v>
      </c>
      <c r="C15" s="982">
        <v>2957</v>
      </c>
      <c r="D15" s="982">
        <v>3717</v>
      </c>
      <c r="E15" s="982">
        <v>1713</v>
      </c>
      <c r="F15" s="982">
        <v>0</v>
      </c>
      <c r="G15" s="982">
        <v>0</v>
      </c>
      <c r="H15" s="982">
        <v>0</v>
      </c>
      <c r="I15" s="565">
        <f t="shared" si="0"/>
        <v>8387</v>
      </c>
      <c r="J15" s="1718">
        <v>15402</v>
      </c>
      <c r="K15" s="792">
        <f t="shared" si="2"/>
        <v>7015</v>
      </c>
      <c r="L15" s="792">
        <v>0</v>
      </c>
      <c r="M15" s="1716">
        <f t="shared" si="3"/>
        <v>0</v>
      </c>
      <c r="P15">
        <v>260</v>
      </c>
      <c r="Q15">
        <v>403</v>
      </c>
      <c r="R15">
        <v>399</v>
      </c>
      <c r="S15">
        <v>1249</v>
      </c>
      <c r="T15">
        <v>1203</v>
      </c>
      <c r="U15">
        <v>2229</v>
      </c>
      <c r="V15">
        <v>2957</v>
      </c>
      <c r="W15">
        <v>3717</v>
      </c>
      <c r="X15">
        <v>1713</v>
      </c>
      <c r="Y15">
        <v>0</v>
      </c>
      <c r="Z15">
        <v>0</v>
      </c>
      <c r="AA15">
        <v>0</v>
      </c>
    </row>
    <row r="16" spans="1:27" ht="17.100000000000001" customHeight="1">
      <c r="A16" s="563">
        <v>12</v>
      </c>
      <c r="B16" s="564" t="s">
        <v>27</v>
      </c>
      <c r="C16" s="982">
        <v>348</v>
      </c>
      <c r="D16" s="982">
        <v>424</v>
      </c>
      <c r="E16" s="982">
        <v>781</v>
      </c>
      <c r="F16" s="982">
        <v>477</v>
      </c>
      <c r="G16" s="982">
        <v>694</v>
      </c>
      <c r="H16" s="982">
        <v>1066</v>
      </c>
      <c r="I16" s="565">
        <f t="shared" si="0"/>
        <v>3790</v>
      </c>
      <c r="J16" s="1718">
        <v>4517</v>
      </c>
      <c r="K16" s="792">
        <f t="shared" si="2"/>
        <v>727</v>
      </c>
      <c r="L16" s="792">
        <v>1163</v>
      </c>
      <c r="M16" s="1716">
        <f t="shared" si="3"/>
        <v>97</v>
      </c>
      <c r="P16">
        <v>21</v>
      </c>
      <c r="Q16">
        <v>29</v>
      </c>
      <c r="R16">
        <v>15</v>
      </c>
      <c r="S16">
        <v>100</v>
      </c>
      <c r="T16">
        <v>65</v>
      </c>
      <c r="U16">
        <v>160</v>
      </c>
      <c r="V16">
        <v>348</v>
      </c>
      <c r="W16">
        <v>424</v>
      </c>
      <c r="X16">
        <v>781</v>
      </c>
      <c r="Y16">
        <v>477</v>
      </c>
      <c r="Z16">
        <v>694</v>
      </c>
      <c r="AA16">
        <v>1066</v>
      </c>
    </row>
    <row r="17" spans="1:27" s="2" customFormat="1" ht="17.100000000000001" customHeight="1">
      <c r="A17" s="563">
        <v>13</v>
      </c>
      <c r="B17" s="564" t="s">
        <v>28</v>
      </c>
      <c r="C17" s="982">
        <v>42127</v>
      </c>
      <c r="D17" s="982">
        <v>97579</v>
      </c>
      <c r="E17" s="982">
        <v>65299</v>
      </c>
      <c r="F17" s="982">
        <v>29576</v>
      </c>
      <c r="G17" s="982">
        <v>13182</v>
      </c>
      <c r="H17" s="982">
        <v>29834</v>
      </c>
      <c r="I17" s="565">
        <f t="shared" si="0"/>
        <v>277597</v>
      </c>
      <c r="J17" s="1719">
        <v>405052</v>
      </c>
      <c r="K17" s="792">
        <f t="shared" si="2"/>
        <v>127455</v>
      </c>
      <c r="L17" s="792">
        <v>29146</v>
      </c>
      <c r="M17" s="1716">
        <f t="shared" si="3"/>
        <v>-688</v>
      </c>
      <c r="N17"/>
      <c r="P17" s="2">
        <v>8764</v>
      </c>
      <c r="Q17" s="2">
        <v>11693</v>
      </c>
      <c r="R17" s="2">
        <v>9479</v>
      </c>
      <c r="S17" s="2">
        <v>22645</v>
      </c>
      <c r="T17" s="2">
        <v>17229</v>
      </c>
      <c r="U17" s="2">
        <v>30395</v>
      </c>
      <c r="V17" s="2">
        <v>42127</v>
      </c>
      <c r="W17" s="2">
        <v>97579</v>
      </c>
      <c r="X17" s="2">
        <v>65299</v>
      </c>
      <c r="Y17" s="2">
        <v>29576</v>
      </c>
      <c r="Z17" s="2">
        <v>13182</v>
      </c>
      <c r="AA17" s="2">
        <v>25834</v>
      </c>
    </row>
    <row r="18" spans="1:27" ht="17.100000000000001" customHeight="1">
      <c r="A18" s="563">
        <v>14</v>
      </c>
      <c r="B18" s="564" t="s">
        <v>256</v>
      </c>
      <c r="C18" s="982">
        <v>63496</v>
      </c>
      <c r="D18" s="982">
        <v>90162</v>
      </c>
      <c r="E18" s="982">
        <v>51057</v>
      </c>
      <c r="F18" s="982">
        <v>18305</v>
      </c>
      <c r="G18" s="982">
        <v>7230</v>
      </c>
      <c r="H18" s="982">
        <v>21819</v>
      </c>
      <c r="I18" s="565">
        <f t="shared" si="0"/>
        <v>252069</v>
      </c>
      <c r="J18" s="1718">
        <v>467720</v>
      </c>
      <c r="K18" s="792">
        <f t="shared" si="2"/>
        <v>215651</v>
      </c>
      <c r="L18" s="792">
        <v>21549</v>
      </c>
      <c r="M18" s="1716">
        <f t="shared" si="3"/>
        <v>-270</v>
      </c>
      <c r="P18">
        <v>18822</v>
      </c>
      <c r="Q18">
        <v>25376</v>
      </c>
      <c r="R18">
        <v>19389</v>
      </c>
      <c r="S18">
        <v>42273</v>
      </c>
      <c r="T18">
        <v>30600</v>
      </c>
      <c r="U18">
        <v>48883</v>
      </c>
      <c r="V18">
        <v>63496</v>
      </c>
      <c r="W18">
        <v>90162</v>
      </c>
      <c r="X18">
        <v>51057</v>
      </c>
      <c r="Y18">
        <v>18305</v>
      </c>
      <c r="Z18">
        <v>7230</v>
      </c>
      <c r="AA18">
        <v>18819</v>
      </c>
    </row>
    <row r="19" spans="1:27" ht="17.100000000000001" customHeight="1">
      <c r="A19" s="563">
        <v>15</v>
      </c>
      <c r="B19" s="564" t="s">
        <v>767</v>
      </c>
      <c r="C19" s="982">
        <v>7315</v>
      </c>
      <c r="D19" s="982">
        <v>6595</v>
      </c>
      <c r="E19" s="982">
        <v>4073</v>
      </c>
      <c r="F19" s="982">
        <v>1044</v>
      </c>
      <c r="G19" s="982">
        <v>699</v>
      </c>
      <c r="H19" s="982">
        <v>1167</v>
      </c>
      <c r="I19" s="565">
        <f t="shared" si="0"/>
        <v>20893</v>
      </c>
      <c r="J19" s="1718">
        <v>61437</v>
      </c>
      <c r="K19" s="792">
        <f t="shared" si="2"/>
        <v>40544</v>
      </c>
      <c r="L19" s="792">
        <v>1277</v>
      </c>
      <c r="M19" s="1716">
        <f t="shared" si="3"/>
        <v>110</v>
      </c>
      <c r="P19">
        <v>3973</v>
      </c>
      <c r="Q19">
        <v>4984</v>
      </c>
      <c r="R19">
        <v>3898</v>
      </c>
      <c r="S19">
        <v>7731</v>
      </c>
      <c r="T19">
        <v>5902</v>
      </c>
      <c r="U19">
        <v>7828</v>
      </c>
      <c r="V19">
        <v>7315</v>
      </c>
      <c r="W19">
        <v>6595</v>
      </c>
      <c r="X19">
        <v>4073</v>
      </c>
      <c r="Y19">
        <v>1044</v>
      </c>
      <c r="Z19">
        <v>699</v>
      </c>
      <c r="AA19">
        <v>1167</v>
      </c>
    </row>
    <row r="20" spans="1:27" ht="17.100000000000001" customHeight="1">
      <c r="A20" s="563">
        <v>16</v>
      </c>
      <c r="B20" s="564" t="s">
        <v>128</v>
      </c>
      <c r="C20" s="982">
        <v>4814</v>
      </c>
      <c r="D20" s="982">
        <v>6247</v>
      </c>
      <c r="E20" s="982">
        <v>5540</v>
      </c>
      <c r="F20" s="982">
        <v>1247</v>
      </c>
      <c r="G20" s="982">
        <v>1614</v>
      </c>
      <c r="H20" s="982">
        <v>1008</v>
      </c>
      <c r="I20" s="565">
        <f t="shared" si="0"/>
        <v>20470</v>
      </c>
      <c r="J20" s="1718">
        <v>63926</v>
      </c>
      <c r="K20" s="792">
        <f t="shared" si="2"/>
        <v>43456</v>
      </c>
      <c r="L20" s="792">
        <v>1113</v>
      </c>
      <c r="M20" s="1716">
        <f t="shared" si="3"/>
        <v>105</v>
      </c>
      <c r="P20">
        <v>7171</v>
      </c>
      <c r="Q20">
        <v>7204</v>
      </c>
      <c r="R20">
        <v>4436</v>
      </c>
      <c r="S20">
        <v>7566</v>
      </c>
      <c r="T20">
        <v>4668</v>
      </c>
      <c r="U20">
        <v>4964</v>
      </c>
      <c r="V20">
        <v>4814</v>
      </c>
      <c r="W20">
        <v>6247</v>
      </c>
      <c r="X20">
        <v>5540</v>
      </c>
      <c r="Y20">
        <v>1247</v>
      </c>
      <c r="Z20">
        <v>1614</v>
      </c>
      <c r="AA20">
        <v>1008</v>
      </c>
    </row>
    <row r="21" spans="1:27" ht="17.100000000000001" customHeight="1">
      <c r="A21" s="563">
        <v>17</v>
      </c>
      <c r="B21" s="564" t="s">
        <v>814</v>
      </c>
      <c r="C21" s="982">
        <v>7031</v>
      </c>
      <c r="D21" s="982">
        <v>14991</v>
      </c>
      <c r="E21" s="982">
        <v>6427</v>
      </c>
      <c r="F21" s="982">
        <v>2711</v>
      </c>
      <c r="G21" s="982">
        <v>0</v>
      </c>
      <c r="H21" s="982">
        <v>1220</v>
      </c>
      <c r="I21" s="565">
        <f t="shared" si="0"/>
        <v>32380</v>
      </c>
      <c r="J21" s="1718">
        <v>53718</v>
      </c>
      <c r="K21" s="792">
        <f t="shared" si="2"/>
        <v>21338</v>
      </c>
      <c r="L21" s="792">
        <v>1316</v>
      </c>
      <c r="M21" s="1716">
        <f t="shared" si="3"/>
        <v>96</v>
      </c>
      <c r="P21">
        <v>1268</v>
      </c>
      <c r="Q21">
        <v>1774</v>
      </c>
      <c r="R21">
        <v>1785</v>
      </c>
      <c r="S21">
        <v>3875</v>
      </c>
      <c r="T21">
        <v>3133</v>
      </c>
      <c r="U21">
        <v>4839</v>
      </c>
      <c r="V21">
        <v>7031</v>
      </c>
      <c r="W21">
        <v>14991</v>
      </c>
      <c r="X21">
        <v>6427</v>
      </c>
      <c r="Y21">
        <v>2711</v>
      </c>
      <c r="Z21">
        <v>0</v>
      </c>
      <c r="AA21">
        <v>1220</v>
      </c>
    </row>
    <row r="22" spans="1:27" ht="17.100000000000001" customHeight="1">
      <c r="A22" s="563">
        <v>18</v>
      </c>
      <c r="B22" s="564" t="s">
        <v>213</v>
      </c>
      <c r="C22" s="982">
        <v>5837</v>
      </c>
      <c r="D22" s="982">
        <v>6847</v>
      </c>
      <c r="E22" s="982">
        <v>2278</v>
      </c>
      <c r="F22" s="982">
        <v>523</v>
      </c>
      <c r="G22" s="982">
        <v>0</v>
      </c>
      <c r="H22" s="982">
        <v>0</v>
      </c>
      <c r="I22" s="565">
        <f t="shared" si="0"/>
        <v>15485</v>
      </c>
      <c r="J22" s="1718">
        <v>53906</v>
      </c>
      <c r="K22" s="792">
        <f t="shared" si="2"/>
        <v>38421</v>
      </c>
      <c r="L22" s="792">
        <v>0</v>
      </c>
      <c r="M22" s="1716">
        <f t="shared" si="3"/>
        <v>0</v>
      </c>
      <c r="P22">
        <v>5489</v>
      </c>
      <c r="Q22">
        <v>6735</v>
      </c>
      <c r="R22">
        <v>4090</v>
      </c>
      <c r="S22">
        <v>6872</v>
      </c>
      <c r="T22">
        <v>4198</v>
      </c>
      <c r="U22">
        <v>5602</v>
      </c>
      <c r="V22">
        <v>5837</v>
      </c>
      <c r="W22">
        <v>6847</v>
      </c>
      <c r="X22">
        <v>2278</v>
      </c>
      <c r="Y22">
        <v>523</v>
      </c>
      <c r="Z22">
        <v>0</v>
      </c>
      <c r="AA22">
        <v>0</v>
      </c>
    </row>
    <row r="23" spans="1:27" ht="17.100000000000001" customHeight="1">
      <c r="A23" s="563">
        <v>19</v>
      </c>
      <c r="B23" s="564" t="s">
        <v>214</v>
      </c>
      <c r="C23" s="982">
        <v>484</v>
      </c>
      <c r="D23" s="982">
        <v>349</v>
      </c>
      <c r="E23" s="982">
        <v>767</v>
      </c>
      <c r="F23" s="982">
        <v>0</v>
      </c>
      <c r="G23" s="982">
        <v>846</v>
      </c>
      <c r="H23" s="982">
        <v>3214</v>
      </c>
      <c r="I23" s="565">
        <f t="shared" si="0"/>
        <v>5660</v>
      </c>
      <c r="J23" s="1718">
        <v>7963</v>
      </c>
      <c r="K23" s="792">
        <f t="shared" si="2"/>
        <v>2303</v>
      </c>
      <c r="L23" s="792">
        <v>3215</v>
      </c>
      <c r="M23" s="1716">
        <f t="shared" si="3"/>
        <v>1</v>
      </c>
      <c r="P23">
        <v>122</v>
      </c>
      <c r="Q23">
        <v>232</v>
      </c>
      <c r="R23">
        <v>193</v>
      </c>
      <c r="S23">
        <v>651</v>
      </c>
      <c r="T23">
        <v>263</v>
      </c>
      <c r="U23">
        <v>441</v>
      </c>
      <c r="V23">
        <v>484</v>
      </c>
      <c r="W23">
        <v>349</v>
      </c>
      <c r="X23">
        <v>767</v>
      </c>
      <c r="Y23">
        <v>0</v>
      </c>
      <c r="Z23">
        <v>846</v>
      </c>
      <c r="AA23">
        <v>2958</v>
      </c>
    </row>
    <row r="24" spans="1:27" ht="17.100000000000001" customHeight="1">
      <c r="A24" s="563">
        <v>20</v>
      </c>
      <c r="B24" s="564" t="s">
        <v>892</v>
      </c>
      <c r="C24" s="982">
        <v>9706</v>
      </c>
      <c r="D24" s="982">
        <v>14272</v>
      </c>
      <c r="E24" s="982">
        <v>9264</v>
      </c>
      <c r="F24" s="982">
        <v>2641</v>
      </c>
      <c r="G24" s="982">
        <v>1524</v>
      </c>
      <c r="H24" s="982">
        <v>5278</v>
      </c>
      <c r="I24" s="565">
        <f t="shared" si="0"/>
        <v>42685</v>
      </c>
      <c r="J24" s="1718">
        <v>76269</v>
      </c>
      <c r="K24" s="792">
        <f t="shared" si="2"/>
        <v>33584</v>
      </c>
      <c r="L24" s="792">
        <v>5744</v>
      </c>
      <c r="M24" s="1716">
        <f t="shared" si="3"/>
        <v>466</v>
      </c>
      <c r="P24">
        <v>2376</v>
      </c>
      <c r="Q24">
        <v>3403</v>
      </c>
      <c r="R24">
        <v>3016</v>
      </c>
      <c r="S24">
        <v>6938</v>
      </c>
      <c r="T24">
        <v>5038</v>
      </c>
      <c r="U24">
        <v>6376</v>
      </c>
      <c r="V24">
        <v>9706</v>
      </c>
      <c r="W24">
        <v>14272</v>
      </c>
      <c r="X24">
        <v>9264</v>
      </c>
      <c r="Y24">
        <v>2641</v>
      </c>
      <c r="Z24">
        <v>1524</v>
      </c>
      <c r="AA24">
        <v>5278</v>
      </c>
    </row>
    <row r="25" spans="1:27" ht="17.100000000000001" customHeight="1">
      <c r="A25" s="563">
        <v>21</v>
      </c>
      <c r="B25" s="564" t="s">
        <v>380</v>
      </c>
      <c r="C25" s="982">
        <v>1830</v>
      </c>
      <c r="D25" s="982">
        <v>4522</v>
      </c>
      <c r="E25" s="982">
        <v>5880</v>
      </c>
      <c r="F25" s="982">
        <v>3948</v>
      </c>
      <c r="G25" s="982">
        <v>749</v>
      </c>
      <c r="H25" s="982">
        <v>0</v>
      </c>
      <c r="I25" s="565">
        <f t="shared" si="0"/>
        <v>16929</v>
      </c>
      <c r="J25" s="1718">
        <v>21413</v>
      </c>
      <c r="K25" s="792">
        <f t="shared" si="2"/>
        <v>4484</v>
      </c>
      <c r="L25" s="792">
        <v>0</v>
      </c>
      <c r="M25" s="1716">
        <f t="shared" si="3"/>
        <v>0</v>
      </c>
      <c r="P25">
        <v>152</v>
      </c>
      <c r="Q25">
        <v>218</v>
      </c>
      <c r="R25">
        <v>195</v>
      </c>
      <c r="S25">
        <v>406</v>
      </c>
      <c r="T25">
        <v>718</v>
      </c>
      <c r="U25">
        <v>1123</v>
      </c>
      <c r="V25">
        <v>1830</v>
      </c>
      <c r="W25">
        <v>4522</v>
      </c>
      <c r="X25">
        <v>5880</v>
      </c>
      <c r="Y25">
        <v>3948</v>
      </c>
      <c r="Z25">
        <v>749</v>
      </c>
      <c r="AA25">
        <v>0</v>
      </c>
    </row>
    <row r="26" spans="1:27" ht="17.100000000000001" customHeight="1">
      <c r="A26" s="563">
        <v>22</v>
      </c>
      <c r="B26" s="564" t="s">
        <v>386</v>
      </c>
      <c r="C26" s="982">
        <v>23794</v>
      </c>
      <c r="D26" s="982">
        <v>40233</v>
      </c>
      <c r="E26" s="982">
        <v>14267</v>
      </c>
      <c r="F26" s="982">
        <v>9440</v>
      </c>
      <c r="G26" s="982">
        <v>3016</v>
      </c>
      <c r="H26" s="982">
        <v>18344</v>
      </c>
      <c r="I26" s="565">
        <f t="shared" si="0"/>
        <v>109094</v>
      </c>
      <c r="J26" s="1718">
        <v>201523</v>
      </c>
      <c r="K26" s="792">
        <f t="shared" si="2"/>
        <v>92429</v>
      </c>
      <c r="L26" s="792">
        <v>18055</v>
      </c>
      <c r="M26" s="1716">
        <f t="shared" si="3"/>
        <v>-289</v>
      </c>
      <c r="P26">
        <v>7552</v>
      </c>
      <c r="Q26">
        <v>9926</v>
      </c>
      <c r="R26">
        <v>7673</v>
      </c>
      <c r="S26">
        <v>18383</v>
      </c>
      <c r="T26">
        <v>12718</v>
      </c>
      <c r="U26">
        <v>20062</v>
      </c>
      <c r="V26">
        <v>23794</v>
      </c>
      <c r="W26">
        <v>40233</v>
      </c>
      <c r="X26">
        <v>14267</v>
      </c>
      <c r="Y26">
        <v>9440</v>
      </c>
      <c r="Z26">
        <v>3016</v>
      </c>
      <c r="AA26">
        <v>16344</v>
      </c>
    </row>
    <row r="27" spans="1:27" ht="17.100000000000001" customHeight="1">
      <c r="A27" s="563">
        <v>23</v>
      </c>
      <c r="B27" s="564" t="s">
        <v>403</v>
      </c>
      <c r="C27" s="982">
        <v>33605</v>
      </c>
      <c r="D27" s="982">
        <v>36220</v>
      </c>
      <c r="E27" s="982">
        <v>18885</v>
      </c>
      <c r="F27" s="982">
        <v>12178</v>
      </c>
      <c r="G27" s="982">
        <v>4942</v>
      </c>
      <c r="H27" s="982">
        <v>10804</v>
      </c>
      <c r="I27" s="565">
        <f t="shared" si="0"/>
        <v>116634</v>
      </c>
      <c r="J27" s="1718">
        <v>225826</v>
      </c>
      <c r="K27" s="792">
        <f t="shared" si="2"/>
        <v>109192</v>
      </c>
      <c r="L27" s="792">
        <v>11878</v>
      </c>
      <c r="M27" s="1716">
        <f t="shared" si="3"/>
        <v>1074</v>
      </c>
      <c r="P27">
        <v>7902</v>
      </c>
      <c r="Q27">
        <v>9297</v>
      </c>
      <c r="R27">
        <v>7382</v>
      </c>
      <c r="S27">
        <v>21668</v>
      </c>
      <c r="T27">
        <v>18657</v>
      </c>
      <c r="U27">
        <v>25300</v>
      </c>
      <c r="V27">
        <v>33605</v>
      </c>
      <c r="W27">
        <v>36220</v>
      </c>
      <c r="X27">
        <v>18885</v>
      </c>
      <c r="Y27">
        <v>12178</v>
      </c>
      <c r="Z27">
        <v>4942</v>
      </c>
      <c r="AA27">
        <v>9804</v>
      </c>
    </row>
    <row r="28" spans="1:27" ht="17.100000000000001" customHeight="1">
      <c r="A28" s="563">
        <v>24</v>
      </c>
      <c r="B28" s="564" t="s">
        <v>404</v>
      </c>
      <c r="C28" s="982">
        <v>13127</v>
      </c>
      <c r="D28" s="982">
        <v>23500</v>
      </c>
      <c r="E28" s="982">
        <v>19832</v>
      </c>
      <c r="F28" s="982">
        <v>10384</v>
      </c>
      <c r="G28" s="982">
        <v>6394</v>
      </c>
      <c r="H28" s="982">
        <v>28809</v>
      </c>
      <c r="I28" s="565">
        <f t="shared" si="0"/>
        <v>102046</v>
      </c>
      <c r="J28" s="1718">
        <v>146093</v>
      </c>
      <c r="K28" s="792">
        <f t="shared" si="2"/>
        <v>44047</v>
      </c>
      <c r="L28" s="792">
        <v>28373</v>
      </c>
      <c r="M28" s="1716">
        <f t="shared" si="3"/>
        <v>-436</v>
      </c>
      <c r="P28">
        <v>3931</v>
      </c>
      <c r="Q28">
        <v>5595</v>
      </c>
      <c r="R28">
        <v>4460</v>
      </c>
      <c r="S28">
        <v>9146</v>
      </c>
      <c r="T28">
        <v>6139</v>
      </c>
      <c r="U28">
        <v>10753</v>
      </c>
      <c r="V28">
        <v>13127</v>
      </c>
      <c r="W28">
        <v>23500</v>
      </c>
      <c r="X28">
        <v>19832</v>
      </c>
      <c r="Y28">
        <v>10384</v>
      </c>
      <c r="Z28">
        <v>6394</v>
      </c>
      <c r="AA28">
        <v>20809</v>
      </c>
    </row>
    <row r="29" spans="1:27" ht="17.100000000000001" customHeight="1">
      <c r="A29" s="563">
        <v>25</v>
      </c>
      <c r="B29" s="564" t="s">
        <v>524</v>
      </c>
      <c r="C29" s="982">
        <v>40833</v>
      </c>
      <c r="D29" s="982">
        <v>66921</v>
      </c>
      <c r="E29" s="982">
        <v>47855</v>
      </c>
      <c r="F29" s="982">
        <v>24859</v>
      </c>
      <c r="G29" s="982">
        <v>25135</v>
      </c>
      <c r="H29" s="982">
        <v>12152</v>
      </c>
      <c r="I29" s="565">
        <f t="shared" si="0"/>
        <v>217755</v>
      </c>
      <c r="J29" s="1718">
        <v>369665</v>
      </c>
      <c r="K29" s="792">
        <f t="shared" si="2"/>
        <v>151910</v>
      </c>
      <c r="L29" s="792">
        <v>10907</v>
      </c>
      <c r="M29" s="1716">
        <f t="shared" si="3"/>
        <v>-1245</v>
      </c>
      <c r="P29">
        <v>22352</v>
      </c>
      <c r="Q29">
        <v>27735</v>
      </c>
      <c r="R29">
        <v>19280</v>
      </c>
      <c r="S29">
        <v>43039</v>
      </c>
      <c r="T29">
        <v>27728</v>
      </c>
      <c r="U29">
        <v>37592</v>
      </c>
      <c r="V29">
        <v>40833</v>
      </c>
      <c r="W29">
        <v>66921</v>
      </c>
      <c r="X29">
        <v>47855</v>
      </c>
      <c r="Y29">
        <v>24859</v>
      </c>
      <c r="Z29">
        <v>25135</v>
      </c>
      <c r="AA29">
        <v>32152</v>
      </c>
    </row>
    <row r="30" spans="1:27" ht="17.100000000000001" customHeight="1">
      <c r="A30" s="563">
        <v>26</v>
      </c>
      <c r="B30" s="564" t="s">
        <v>32</v>
      </c>
      <c r="C30" s="982">
        <v>2608</v>
      </c>
      <c r="D30" s="982">
        <v>4674</v>
      </c>
      <c r="E30" s="982">
        <v>3121</v>
      </c>
      <c r="F30" s="982">
        <v>2222</v>
      </c>
      <c r="G30" s="982">
        <v>2206</v>
      </c>
      <c r="H30" s="982">
        <v>7976</v>
      </c>
      <c r="I30" s="565">
        <f t="shared" si="0"/>
        <v>22807</v>
      </c>
      <c r="J30" s="1718">
        <v>32274</v>
      </c>
      <c r="K30" s="792">
        <f t="shared" si="2"/>
        <v>9467</v>
      </c>
      <c r="L30" s="792">
        <v>8564</v>
      </c>
      <c r="M30" s="1716">
        <f t="shared" si="3"/>
        <v>588</v>
      </c>
      <c r="P30">
        <v>1017</v>
      </c>
      <c r="Q30">
        <v>1151</v>
      </c>
      <c r="R30">
        <v>941</v>
      </c>
      <c r="S30">
        <v>1904</v>
      </c>
      <c r="T30">
        <v>1610</v>
      </c>
      <c r="U30">
        <v>2620</v>
      </c>
      <c r="V30">
        <v>2608</v>
      </c>
      <c r="W30">
        <v>4674</v>
      </c>
      <c r="X30">
        <v>3121</v>
      </c>
      <c r="Y30">
        <v>2222</v>
      </c>
      <c r="Z30">
        <v>2206</v>
      </c>
      <c r="AA30">
        <v>7976</v>
      </c>
    </row>
    <row r="31" spans="1:27" ht="17.100000000000001" customHeight="1">
      <c r="A31" s="563">
        <v>27</v>
      </c>
      <c r="B31" s="564" t="s">
        <v>768</v>
      </c>
      <c r="C31" s="982">
        <v>11819</v>
      </c>
      <c r="D31" s="982">
        <v>19268</v>
      </c>
      <c r="E31" s="982">
        <v>17771</v>
      </c>
      <c r="F31" s="982">
        <v>5440</v>
      </c>
      <c r="G31" s="982">
        <v>5939</v>
      </c>
      <c r="H31" s="982">
        <v>32282</v>
      </c>
      <c r="I31" s="565">
        <f t="shared" si="0"/>
        <v>92519</v>
      </c>
      <c r="J31" s="1718">
        <v>136865</v>
      </c>
      <c r="K31" s="792">
        <f t="shared" si="2"/>
        <v>44346</v>
      </c>
      <c r="L31" s="792">
        <v>32278</v>
      </c>
      <c r="M31" s="1716">
        <f t="shared" si="3"/>
        <v>-4</v>
      </c>
      <c r="P31">
        <v>3392</v>
      </c>
      <c r="Q31">
        <v>4295</v>
      </c>
      <c r="R31">
        <v>3331</v>
      </c>
      <c r="S31">
        <v>7825</v>
      </c>
      <c r="T31">
        <v>6196</v>
      </c>
      <c r="U31">
        <v>10086</v>
      </c>
      <c r="V31">
        <v>11819</v>
      </c>
      <c r="W31">
        <v>19268</v>
      </c>
      <c r="X31">
        <v>17771</v>
      </c>
      <c r="Y31">
        <v>5440</v>
      </c>
      <c r="Z31">
        <v>5939</v>
      </c>
      <c r="AA31">
        <v>32282</v>
      </c>
    </row>
    <row r="32" spans="1:27" ht="17.100000000000001" customHeight="1">
      <c r="A32" s="563">
        <v>28</v>
      </c>
      <c r="B32" s="564" t="s">
        <v>61</v>
      </c>
      <c r="C32" s="982">
        <v>19599</v>
      </c>
      <c r="D32" s="982">
        <v>20756</v>
      </c>
      <c r="E32" s="982">
        <v>8732</v>
      </c>
      <c r="F32" s="982">
        <v>2711</v>
      </c>
      <c r="G32" s="982">
        <v>854</v>
      </c>
      <c r="H32" s="982">
        <v>11642</v>
      </c>
      <c r="I32" s="565">
        <f t="shared" si="0"/>
        <v>64294</v>
      </c>
      <c r="J32" s="1718">
        <v>147017</v>
      </c>
      <c r="K32" s="792">
        <f t="shared" si="2"/>
        <v>82723</v>
      </c>
      <c r="L32" s="792">
        <v>12776</v>
      </c>
      <c r="M32" s="1716">
        <f t="shared" si="3"/>
        <v>1134</v>
      </c>
      <c r="P32">
        <v>5771</v>
      </c>
      <c r="Q32">
        <v>8801</v>
      </c>
      <c r="R32">
        <v>7544</v>
      </c>
      <c r="S32">
        <v>18845</v>
      </c>
      <c r="T32">
        <v>12197</v>
      </c>
      <c r="U32">
        <v>16665</v>
      </c>
      <c r="V32">
        <v>19599</v>
      </c>
      <c r="W32">
        <v>20756</v>
      </c>
      <c r="X32">
        <v>8732</v>
      </c>
      <c r="Y32">
        <v>2711</v>
      </c>
      <c r="Z32">
        <v>854</v>
      </c>
      <c r="AA32">
        <v>11642</v>
      </c>
    </row>
    <row r="33" spans="1:27" ht="17.100000000000001" customHeight="1">
      <c r="A33" s="563">
        <v>29</v>
      </c>
      <c r="B33" s="564" t="s">
        <v>52</v>
      </c>
      <c r="C33" s="982">
        <v>11472</v>
      </c>
      <c r="D33" s="982">
        <v>25126</v>
      </c>
      <c r="E33" s="982">
        <v>22126</v>
      </c>
      <c r="F33" s="982">
        <v>19087</v>
      </c>
      <c r="G33" s="982">
        <v>7052</v>
      </c>
      <c r="H33" s="982">
        <v>78693</v>
      </c>
      <c r="I33" s="565">
        <f t="shared" si="0"/>
        <v>163556</v>
      </c>
      <c r="J33" s="1718">
        <v>194035</v>
      </c>
      <c r="K33" s="792">
        <f t="shared" si="2"/>
        <v>30479</v>
      </c>
      <c r="L33" s="792">
        <v>76720</v>
      </c>
      <c r="M33" s="1716">
        <f t="shared" si="3"/>
        <v>-1973</v>
      </c>
      <c r="P33">
        <v>1741</v>
      </c>
      <c r="Q33">
        <v>2619</v>
      </c>
      <c r="R33">
        <v>1827</v>
      </c>
      <c r="S33">
        <v>5131</v>
      </c>
      <c r="T33">
        <v>4118</v>
      </c>
      <c r="U33">
        <v>7460</v>
      </c>
      <c r="V33">
        <v>11472</v>
      </c>
      <c r="W33">
        <v>25126</v>
      </c>
      <c r="X33">
        <v>22126</v>
      </c>
      <c r="Y33">
        <v>19087</v>
      </c>
      <c r="Z33">
        <v>7052</v>
      </c>
      <c r="AA33">
        <v>68693</v>
      </c>
    </row>
    <row r="34" spans="1:27" ht="17.100000000000001" customHeight="1">
      <c r="A34" s="563">
        <v>30</v>
      </c>
      <c r="B34" s="564" t="s">
        <v>593</v>
      </c>
      <c r="C34" s="982">
        <v>3411</v>
      </c>
      <c r="D34" s="982">
        <v>5906</v>
      </c>
      <c r="E34" s="982">
        <v>5590</v>
      </c>
      <c r="F34" s="982">
        <v>2929</v>
      </c>
      <c r="G34" s="982">
        <v>2214</v>
      </c>
      <c r="H34" s="982">
        <v>16358</v>
      </c>
      <c r="I34" s="565">
        <f t="shared" si="0"/>
        <v>36408</v>
      </c>
      <c r="J34" s="1718">
        <v>47667</v>
      </c>
      <c r="K34" s="792">
        <f t="shared" si="2"/>
        <v>11259</v>
      </c>
      <c r="L34" s="792">
        <v>18030</v>
      </c>
      <c r="M34" s="1716">
        <f t="shared" si="3"/>
        <v>1672</v>
      </c>
      <c r="P34">
        <v>559</v>
      </c>
      <c r="Q34">
        <v>683</v>
      </c>
      <c r="R34">
        <v>676</v>
      </c>
      <c r="S34">
        <v>1619</v>
      </c>
      <c r="T34">
        <v>1391</v>
      </c>
      <c r="U34">
        <v>1980</v>
      </c>
      <c r="V34">
        <v>3411</v>
      </c>
      <c r="W34">
        <v>5906</v>
      </c>
      <c r="X34">
        <v>5590</v>
      </c>
      <c r="Y34">
        <v>2929</v>
      </c>
      <c r="Z34">
        <v>2214</v>
      </c>
      <c r="AA34">
        <v>16358</v>
      </c>
    </row>
    <row r="35" spans="1:27" ht="17.100000000000001" customHeight="1">
      <c r="A35" s="563">
        <v>31</v>
      </c>
      <c r="B35" s="564" t="s">
        <v>139</v>
      </c>
      <c r="C35" s="982">
        <v>17057</v>
      </c>
      <c r="D35" s="982">
        <v>18240</v>
      </c>
      <c r="E35" s="982">
        <v>9769</v>
      </c>
      <c r="F35" s="982">
        <v>3375</v>
      </c>
      <c r="G35" s="982">
        <v>823</v>
      </c>
      <c r="H35" s="982">
        <v>5103</v>
      </c>
      <c r="I35" s="565">
        <f t="shared" si="0"/>
        <v>54367</v>
      </c>
      <c r="J35" s="1718">
        <v>160318</v>
      </c>
      <c r="K35" s="792">
        <f t="shared" si="2"/>
        <v>105951</v>
      </c>
      <c r="L35" s="792">
        <v>5553</v>
      </c>
      <c r="M35" s="1716">
        <f t="shared" si="3"/>
        <v>450</v>
      </c>
      <c r="P35">
        <v>14968</v>
      </c>
      <c r="Q35">
        <v>15123</v>
      </c>
      <c r="R35">
        <v>9555</v>
      </c>
      <c r="S35">
        <v>19188</v>
      </c>
      <c r="T35">
        <v>12659</v>
      </c>
      <c r="U35">
        <v>16807</v>
      </c>
      <c r="V35">
        <v>17057</v>
      </c>
      <c r="W35">
        <v>18240</v>
      </c>
      <c r="X35">
        <v>9769</v>
      </c>
      <c r="Y35">
        <v>3375</v>
      </c>
      <c r="Z35">
        <v>823</v>
      </c>
      <c r="AA35">
        <v>5103</v>
      </c>
    </row>
    <row r="36" spans="1:27" ht="17.100000000000001" customHeight="1">
      <c r="A36" s="563">
        <v>32</v>
      </c>
      <c r="B36" s="564" t="s">
        <v>140</v>
      </c>
      <c r="C36" s="982">
        <v>6021</v>
      </c>
      <c r="D36" s="982">
        <v>5624</v>
      </c>
      <c r="E36" s="982">
        <v>2225</v>
      </c>
      <c r="F36" s="982">
        <v>2293</v>
      </c>
      <c r="G36" s="982">
        <v>2573</v>
      </c>
      <c r="H36" s="982">
        <v>0</v>
      </c>
      <c r="I36" s="565">
        <f t="shared" si="0"/>
        <v>18736</v>
      </c>
      <c r="J36" s="1718">
        <v>55581</v>
      </c>
      <c r="K36" s="792">
        <f t="shared" si="2"/>
        <v>36845</v>
      </c>
      <c r="L36" s="792">
        <v>0</v>
      </c>
      <c r="M36" s="1716">
        <f t="shared" si="3"/>
        <v>0</v>
      </c>
      <c r="P36">
        <v>4117</v>
      </c>
      <c r="Q36">
        <v>5183</v>
      </c>
      <c r="R36">
        <v>3884</v>
      </c>
      <c r="S36">
        <v>7851</v>
      </c>
      <c r="T36">
        <v>4987</v>
      </c>
      <c r="U36">
        <v>6220</v>
      </c>
      <c r="V36">
        <v>6021</v>
      </c>
      <c r="W36">
        <v>5624</v>
      </c>
      <c r="X36">
        <v>2225</v>
      </c>
      <c r="Y36">
        <v>2293</v>
      </c>
      <c r="Z36">
        <v>2573</v>
      </c>
      <c r="AA36">
        <v>0</v>
      </c>
    </row>
    <row r="37" spans="1:27" ht="17.100000000000001" customHeight="1">
      <c r="A37" s="563">
        <v>33</v>
      </c>
      <c r="B37" s="564" t="s">
        <v>86</v>
      </c>
      <c r="C37" s="982">
        <v>12880</v>
      </c>
      <c r="D37" s="982">
        <v>13373</v>
      </c>
      <c r="E37" s="982">
        <v>7201</v>
      </c>
      <c r="F37" s="982">
        <v>2559</v>
      </c>
      <c r="G37" s="982">
        <v>2382</v>
      </c>
      <c r="H37" s="982">
        <v>11758</v>
      </c>
      <c r="I37" s="565">
        <f t="shared" si="0"/>
        <v>50153</v>
      </c>
      <c r="J37" s="1718">
        <v>143105</v>
      </c>
      <c r="K37" s="792">
        <f t="shared" si="2"/>
        <v>92952</v>
      </c>
      <c r="L37" s="792">
        <v>12820</v>
      </c>
      <c r="M37" s="1716">
        <f t="shared" si="3"/>
        <v>1062</v>
      </c>
      <c r="P37">
        <v>13712</v>
      </c>
      <c r="Q37">
        <v>15148</v>
      </c>
      <c r="R37">
        <v>10591</v>
      </c>
      <c r="S37">
        <v>18995</v>
      </c>
      <c r="T37">
        <v>11193</v>
      </c>
      <c r="U37">
        <v>14087</v>
      </c>
      <c r="V37">
        <v>12880</v>
      </c>
      <c r="W37">
        <v>13373</v>
      </c>
      <c r="X37">
        <v>7201</v>
      </c>
      <c r="Y37">
        <v>2559</v>
      </c>
      <c r="Z37">
        <v>2382</v>
      </c>
      <c r="AA37">
        <v>11758</v>
      </c>
    </row>
    <row r="38" spans="1:27" s="2" customFormat="1" ht="17.100000000000001" customHeight="1">
      <c r="A38" s="563">
        <v>35</v>
      </c>
      <c r="B38" s="564" t="s">
        <v>466</v>
      </c>
      <c r="C38" s="982">
        <v>9310</v>
      </c>
      <c r="D38" s="982">
        <v>12279</v>
      </c>
      <c r="E38" s="982">
        <v>13038</v>
      </c>
      <c r="F38" s="982">
        <v>8291</v>
      </c>
      <c r="G38" s="982">
        <v>2444</v>
      </c>
      <c r="H38" s="982">
        <v>0</v>
      </c>
      <c r="I38" s="565">
        <f t="shared" ref="I38:I69" si="4">SUM(C38:H38)</f>
        <v>45362</v>
      </c>
      <c r="J38" s="1719">
        <v>98422</v>
      </c>
      <c r="K38" s="792">
        <f t="shared" si="2"/>
        <v>53060</v>
      </c>
      <c r="L38" s="792">
        <v>0</v>
      </c>
      <c r="M38" s="1716">
        <f t="shared" si="3"/>
        <v>0</v>
      </c>
      <c r="N38"/>
      <c r="P38" s="2">
        <v>3736</v>
      </c>
      <c r="Q38" s="2">
        <v>4368</v>
      </c>
      <c r="R38" s="2">
        <v>3715</v>
      </c>
      <c r="S38" s="2">
        <v>9447</v>
      </c>
      <c r="T38" s="2">
        <v>6226</v>
      </c>
      <c r="U38" s="2">
        <v>7359</v>
      </c>
      <c r="V38" s="2">
        <v>9310</v>
      </c>
      <c r="W38" s="2">
        <v>12279</v>
      </c>
      <c r="X38" s="2">
        <v>13038</v>
      </c>
      <c r="Y38" s="2">
        <v>8291</v>
      </c>
      <c r="Z38" s="2">
        <v>2444</v>
      </c>
      <c r="AA38" s="2">
        <v>0</v>
      </c>
    </row>
    <row r="39" spans="1:27" ht="17.100000000000001" customHeight="1">
      <c r="A39" s="563">
        <v>36</v>
      </c>
      <c r="B39" s="564" t="s">
        <v>682</v>
      </c>
      <c r="C39" s="982">
        <v>1835</v>
      </c>
      <c r="D39" s="982">
        <v>4174</v>
      </c>
      <c r="E39" s="982">
        <v>2414</v>
      </c>
      <c r="F39" s="982">
        <v>1575</v>
      </c>
      <c r="G39" s="982">
        <v>0</v>
      </c>
      <c r="H39" s="982">
        <v>0</v>
      </c>
      <c r="I39" s="565">
        <f t="shared" si="4"/>
        <v>9998</v>
      </c>
      <c r="J39" s="1718">
        <v>17191</v>
      </c>
      <c r="K39" s="792">
        <f t="shared" si="2"/>
        <v>7193</v>
      </c>
      <c r="L39" s="792">
        <v>0</v>
      </c>
      <c r="M39" s="1716">
        <f t="shared" si="3"/>
        <v>0</v>
      </c>
      <c r="P39">
        <v>375</v>
      </c>
      <c r="Q39">
        <v>659</v>
      </c>
      <c r="R39">
        <v>568</v>
      </c>
      <c r="S39">
        <v>1389</v>
      </c>
      <c r="T39">
        <v>937</v>
      </c>
      <c r="U39">
        <v>1105</v>
      </c>
      <c r="V39">
        <v>1835</v>
      </c>
      <c r="W39">
        <v>4174</v>
      </c>
      <c r="X39">
        <v>2414</v>
      </c>
      <c r="Y39">
        <v>1575</v>
      </c>
      <c r="Z39">
        <v>0</v>
      </c>
      <c r="AA39">
        <v>0</v>
      </c>
    </row>
    <row r="40" spans="1:27" s="2" customFormat="1" ht="17.100000000000001" customHeight="1">
      <c r="A40" s="563">
        <v>37</v>
      </c>
      <c r="B40" s="564" t="s">
        <v>683</v>
      </c>
      <c r="C40" s="982">
        <v>1060</v>
      </c>
      <c r="D40" s="982">
        <v>2665</v>
      </c>
      <c r="E40" s="982">
        <v>2671</v>
      </c>
      <c r="F40" s="982">
        <v>2006</v>
      </c>
      <c r="G40" s="982">
        <v>1523</v>
      </c>
      <c r="H40" s="982">
        <v>1495</v>
      </c>
      <c r="I40" s="565">
        <f t="shared" si="4"/>
        <v>11420</v>
      </c>
      <c r="J40" s="1719">
        <v>15169</v>
      </c>
      <c r="K40" s="792">
        <f t="shared" si="2"/>
        <v>3749</v>
      </c>
      <c r="L40" s="792">
        <v>0</v>
      </c>
      <c r="M40" s="1716">
        <f t="shared" si="3"/>
        <v>-1495</v>
      </c>
      <c r="N40"/>
      <c r="P40" s="2">
        <v>252</v>
      </c>
      <c r="Q40" s="2">
        <v>289</v>
      </c>
      <c r="R40" s="2">
        <v>325</v>
      </c>
      <c r="S40" s="2">
        <v>934</v>
      </c>
      <c r="T40" s="2">
        <v>694</v>
      </c>
      <c r="U40" s="2">
        <v>1353</v>
      </c>
      <c r="V40" s="2">
        <v>1060</v>
      </c>
      <c r="W40" s="2">
        <v>2665</v>
      </c>
      <c r="X40" s="2">
        <v>2671</v>
      </c>
      <c r="Y40" s="2">
        <v>2006</v>
      </c>
      <c r="Z40" s="2">
        <v>1523</v>
      </c>
      <c r="AA40" s="2">
        <v>1495</v>
      </c>
    </row>
    <row r="41" spans="1:27" ht="17.100000000000001" customHeight="1">
      <c r="A41" s="563">
        <v>38</v>
      </c>
      <c r="B41" s="564" t="s">
        <v>684</v>
      </c>
      <c r="C41" s="982">
        <v>9288</v>
      </c>
      <c r="D41" s="982">
        <v>17056</v>
      </c>
      <c r="E41" s="982">
        <v>19431</v>
      </c>
      <c r="F41" s="982">
        <v>10319</v>
      </c>
      <c r="G41" s="982">
        <v>4351</v>
      </c>
      <c r="H41" s="982">
        <v>1848</v>
      </c>
      <c r="I41" s="565">
        <f t="shared" si="4"/>
        <v>62293</v>
      </c>
      <c r="J41" s="1718">
        <v>94885</v>
      </c>
      <c r="K41" s="792">
        <f t="shared" si="2"/>
        <v>32592</v>
      </c>
      <c r="L41" s="792">
        <v>1003</v>
      </c>
      <c r="M41" s="1716">
        <f t="shared" si="3"/>
        <v>-845</v>
      </c>
      <c r="P41">
        <v>1631</v>
      </c>
      <c r="Q41">
        <v>2430</v>
      </c>
      <c r="R41">
        <v>2390</v>
      </c>
      <c r="S41">
        <v>5601</v>
      </c>
      <c r="T41">
        <v>4346</v>
      </c>
      <c r="U41">
        <v>6877</v>
      </c>
      <c r="V41">
        <v>9288</v>
      </c>
      <c r="W41">
        <v>17056</v>
      </c>
      <c r="X41">
        <v>19431</v>
      </c>
      <c r="Y41">
        <v>10319</v>
      </c>
      <c r="Z41">
        <v>4351</v>
      </c>
      <c r="AA41">
        <v>1848</v>
      </c>
    </row>
    <row r="42" spans="1:27" ht="17.100000000000001" customHeight="1">
      <c r="A42" s="563">
        <v>39</v>
      </c>
      <c r="B42" s="564" t="s">
        <v>155</v>
      </c>
      <c r="C42" s="982">
        <v>350</v>
      </c>
      <c r="D42" s="982">
        <v>279</v>
      </c>
      <c r="E42" s="982">
        <v>0</v>
      </c>
      <c r="F42" s="982">
        <v>0</v>
      </c>
      <c r="G42" s="982">
        <v>0</v>
      </c>
      <c r="H42" s="982">
        <v>0</v>
      </c>
      <c r="I42" s="565">
        <f t="shared" si="4"/>
        <v>629</v>
      </c>
      <c r="J42" s="1718">
        <v>1495</v>
      </c>
      <c r="K42" s="792">
        <f t="shared" si="2"/>
        <v>866</v>
      </c>
      <c r="L42" s="792">
        <v>0</v>
      </c>
      <c r="M42" s="1716">
        <f t="shared" si="3"/>
        <v>0</v>
      </c>
      <c r="P42">
        <v>86</v>
      </c>
      <c r="Q42">
        <v>102</v>
      </c>
      <c r="R42">
        <v>63</v>
      </c>
      <c r="S42">
        <v>235</v>
      </c>
      <c r="T42">
        <v>87</v>
      </c>
      <c r="U42">
        <v>106</v>
      </c>
      <c r="V42">
        <v>350</v>
      </c>
      <c r="W42">
        <v>279</v>
      </c>
      <c r="X42">
        <v>0</v>
      </c>
      <c r="Y42">
        <v>0</v>
      </c>
      <c r="Z42">
        <v>0</v>
      </c>
      <c r="AA42">
        <v>0</v>
      </c>
    </row>
    <row r="43" spans="1:27" s="2" customFormat="1" ht="17.100000000000001" customHeight="1">
      <c r="A43" s="563">
        <v>41</v>
      </c>
      <c r="B43" s="564" t="s">
        <v>156</v>
      </c>
      <c r="C43" s="982">
        <v>114144</v>
      </c>
      <c r="D43" s="982">
        <v>110303</v>
      </c>
      <c r="E43" s="982">
        <v>81121</v>
      </c>
      <c r="F43" s="982">
        <v>38452</v>
      </c>
      <c r="G43" s="982">
        <v>15212</v>
      </c>
      <c r="H43" s="982">
        <v>102097</v>
      </c>
      <c r="I43" s="565">
        <f t="shared" si="4"/>
        <v>461329</v>
      </c>
      <c r="J43" s="1719">
        <v>1300028</v>
      </c>
      <c r="K43" s="792">
        <f t="shared" si="2"/>
        <v>838699</v>
      </c>
      <c r="L43" s="792">
        <v>103033</v>
      </c>
      <c r="M43" s="1716">
        <f t="shared" si="3"/>
        <v>936</v>
      </c>
      <c r="N43"/>
      <c r="P43" s="2">
        <v>68946</v>
      </c>
      <c r="Q43" s="2">
        <v>112333</v>
      </c>
      <c r="R43" s="2">
        <v>101340</v>
      </c>
      <c r="S43" s="2">
        <v>202780</v>
      </c>
      <c r="T43" s="2">
        <v>106966</v>
      </c>
      <c r="U43" s="2">
        <v>115935</v>
      </c>
      <c r="V43" s="2">
        <v>114144</v>
      </c>
      <c r="W43" s="2">
        <v>110303</v>
      </c>
      <c r="X43" s="2">
        <v>81121</v>
      </c>
      <c r="Y43" s="2">
        <v>38452</v>
      </c>
      <c r="Z43" s="2">
        <v>15212</v>
      </c>
      <c r="AA43" s="2">
        <v>92097</v>
      </c>
    </row>
    <row r="44" spans="1:27" ht="17.100000000000001" customHeight="1">
      <c r="A44" s="563">
        <v>42</v>
      </c>
      <c r="B44" s="564" t="s">
        <v>497</v>
      </c>
      <c r="C44" s="982">
        <v>60763</v>
      </c>
      <c r="D44" s="982">
        <v>65323</v>
      </c>
      <c r="E44" s="982">
        <v>30135</v>
      </c>
      <c r="F44" s="982">
        <v>14880</v>
      </c>
      <c r="G44" s="982">
        <v>4985</v>
      </c>
      <c r="H44" s="982">
        <v>82059</v>
      </c>
      <c r="I44" s="565">
        <f t="shared" si="4"/>
        <v>258145</v>
      </c>
      <c r="J44" s="1718">
        <v>397853</v>
      </c>
      <c r="K44" s="792">
        <f t="shared" si="2"/>
        <v>139708</v>
      </c>
      <c r="L44" s="792">
        <v>83112</v>
      </c>
      <c r="M44" s="1716">
        <f t="shared" si="3"/>
        <v>1053</v>
      </c>
      <c r="P44">
        <v>5937</v>
      </c>
      <c r="Q44">
        <v>9214</v>
      </c>
      <c r="R44">
        <v>8841</v>
      </c>
      <c r="S44">
        <v>25418</v>
      </c>
      <c r="T44">
        <v>22519</v>
      </c>
      <c r="U44">
        <v>35217</v>
      </c>
      <c r="V44">
        <v>60763</v>
      </c>
      <c r="W44">
        <v>65323</v>
      </c>
      <c r="X44">
        <v>30135</v>
      </c>
      <c r="Y44">
        <v>14880</v>
      </c>
      <c r="Z44">
        <v>4985</v>
      </c>
      <c r="AA44">
        <v>72059</v>
      </c>
    </row>
    <row r="45" spans="1:27" s="2" customFormat="1" ht="17.100000000000001" customHeight="1">
      <c r="A45" s="563">
        <v>43</v>
      </c>
      <c r="B45" s="564" t="s">
        <v>856</v>
      </c>
      <c r="C45" s="982">
        <v>27658</v>
      </c>
      <c r="D45" s="982">
        <v>23680</v>
      </c>
      <c r="E45" s="982">
        <v>15246</v>
      </c>
      <c r="F45" s="982">
        <v>9726</v>
      </c>
      <c r="G45" s="982">
        <v>6017</v>
      </c>
      <c r="H45" s="982">
        <v>4962</v>
      </c>
      <c r="I45" s="565">
        <f t="shared" si="4"/>
        <v>87289</v>
      </c>
      <c r="J45" s="1719">
        <v>322655</v>
      </c>
      <c r="K45" s="792">
        <f t="shared" si="2"/>
        <v>235366</v>
      </c>
      <c r="L45" s="792">
        <v>0</v>
      </c>
      <c r="M45" s="1716">
        <f t="shared" si="3"/>
        <v>-4962</v>
      </c>
      <c r="N45"/>
      <c r="P45" s="2">
        <v>37733</v>
      </c>
      <c r="Q45" s="2">
        <v>45243</v>
      </c>
      <c r="R45" s="2">
        <v>30028</v>
      </c>
      <c r="S45" s="2">
        <v>52799</v>
      </c>
      <c r="T45" s="2">
        <v>25393</v>
      </c>
      <c r="U45" s="2">
        <v>27211</v>
      </c>
      <c r="V45" s="2">
        <v>27658</v>
      </c>
      <c r="W45" s="2">
        <v>23680</v>
      </c>
      <c r="X45" s="2">
        <v>15246</v>
      </c>
      <c r="Y45" s="2">
        <v>9726</v>
      </c>
      <c r="Z45" s="2">
        <v>6017</v>
      </c>
      <c r="AA45" s="2">
        <v>4962</v>
      </c>
    </row>
    <row r="46" spans="1:27" ht="17.100000000000001" customHeight="1">
      <c r="A46" s="563">
        <v>45</v>
      </c>
      <c r="B46" s="564" t="s">
        <v>127</v>
      </c>
      <c r="C46" s="982">
        <v>14559</v>
      </c>
      <c r="D46" s="982">
        <v>10458</v>
      </c>
      <c r="E46" s="982">
        <v>4560</v>
      </c>
      <c r="F46" s="982">
        <v>1028</v>
      </c>
      <c r="G46" s="982">
        <v>0</v>
      </c>
      <c r="H46" s="982">
        <v>963</v>
      </c>
      <c r="I46" s="565">
        <f t="shared" si="4"/>
        <v>31568</v>
      </c>
      <c r="J46" s="1718">
        <v>207064</v>
      </c>
      <c r="K46" s="792">
        <f t="shared" si="2"/>
        <v>175496</v>
      </c>
      <c r="L46" s="792">
        <v>1043</v>
      </c>
      <c r="M46" s="1716">
        <f t="shared" si="3"/>
        <v>80</v>
      </c>
      <c r="P46">
        <v>35516</v>
      </c>
      <c r="Q46">
        <v>27241</v>
      </c>
      <c r="R46">
        <v>15435</v>
      </c>
      <c r="S46">
        <v>26052</v>
      </c>
      <c r="T46">
        <v>14755</v>
      </c>
      <c r="U46">
        <v>18701</v>
      </c>
      <c r="V46">
        <v>14559</v>
      </c>
      <c r="W46">
        <v>10458</v>
      </c>
      <c r="X46">
        <v>4560</v>
      </c>
      <c r="Y46">
        <v>1028</v>
      </c>
      <c r="Z46">
        <v>0</v>
      </c>
      <c r="AA46">
        <v>963</v>
      </c>
    </row>
    <row r="47" spans="1:27" ht="17.100000000000001" customHeight="1">
      <c r="A47" s="563">
        <v>46</v>
      </c>
      <c r="B47" s="564" t="s">
        <v>115</v>
      </c>
      <c r="C47" s="982">
        <v>39897</v>
      </c>
      <c r="D47" s="982">
        <v>39796</v>
      </c>
      <c r="E47" s="982">
        <v>11847</v>
      </c>
      <c r="F47" s="982">
        <v>1096</v>
      </c>
      <c r="G47" s="982">
        <v>1661</v>
      </c>
      <c r="H47" s="982">
        <v>964</v>
      </c>
      <c r="I47" s="565">
        <f t="shared" si="4"/>
        <v>95261</v>
      </c>
      <c r="J47" s="1718">
        <v>684688</v>
      </c>
      <c r="K47" s="792">
        <f t="shared" si="2"/>
        <v>589427</v>
      </c>
      <c r="L47" s="792">
        <v>1049</v>
      </c>
      <c r="M47" s="1716">
        <f t="shared" si="3"/>
        <v>85</v>
      </c>
      <c r="P47">
        <v>91851</v>
      </c>
      <c r="Q47">
        <v>106329</v>
      </c>
      <c r="R47">
        <v>66810</v>
      </c>
      <c r="S47">
        <v>111924</v>
      </c>
      <c r="T47">
        <v>55477</v>
      </c>
      <c r="U47">
        <v>64484</v>
      </c>
      <c r="V47">
        <v>39897</v>
      </c>
      <c r="W47">
        <v>39796</v>
      </c>
      <c r="X47">
        <v>11847</v>
      </c>
      <c r="Y47">
        <v>1096</v>
      </c>
      <c r="Z47">
        <v>1661</v>
      </c>
      <c r="AA47">
        <v>964</v>
      </c>
    </row>
    <row r="48" spans="1:27" ht="17.100000000000001" customHeight="1">
      <c r="A48" s="563">
        <v>47</v>
      </c>
      <c r="B48" s="564" t="s">
        <v>116</v>
      </c>
      <c r="C48" s="982">
        <v>47025</v>
      </c>
      <c r="D48" s="982">
        <v>26035</v>
      </c>
      <c r="E48" s="982">
        <v>15186</v>
      </c>
      <c r="F48" s="982">
        <v>3350</v>
      </c>
      <c r="G48" s="982">
        <v>819</v>
      </c>
      <c r="H48" s="982">
        <v>3978</v>
      </c>
      <c r="I48" s="565">
        <f t="shared" si="4"/>
        <v>96393</v>
      </c>
      <c r="J48" s="1718">
        <v>1262489</v>
      </c>
      <c r="K48" s="792">
        <f t="shared" si="2"/>
        <v>1166096</v>
      </c>
      <c r="L48" s="792">
        <v>4399</v>
      </c>
      <c r="M48" s="1716">
        <f t="shared" si="3"/>
        <v>421</v>
      </c>
      <c r="P48">
        <v>215994</v>
      </c>
      <c r="Q48">
        <v>254819</v>
      </c>
      <c r="R48">
        <v>124518</v>
      </c>
      <c r="S48">
        <v>198596</v>
      </c>
      <c r="T48">
        <v>85271</v>
      </c>
      <c r="U48">
        <v>82802</v>
      </c>
      <c r="V48">
        <v>47025</v>
      </c>
      <c r="W48">
        <v>26035</v>
      </c>
      <c r="X48">
        <v>15186</v>
      </c>
      <c r="Y48">
        <v>3350</v>
      </c>
      <c r="Z48">
        <v>819</v>
      </c>
      <c r="AA48">
        <v>3978</v>
      </c>
    </row>
    <row r="49" spans="1:27" s="2" customFormat="1" ht="17.100000000000001" customHeight="1">
      <c r="A49" s="563">
        <v>49</v>
      </c>
      <c r="B49" s="564" t="s">
        <v>126</v>
      </c>
      <c r="C49" s="982">
        <v>37487</v>
      </c>
      <c r="D49" s="982">
        <v>36500</v>
      </c>
      <c r="E49" s="982">
        <v>21932</v>
      </c>
      <c r="F49" s="982">
        <v>8274</v>
      </c>
      <c r="G49" s="982">
        <v>4793</v>
      </c>
      <c r="H49" s="982">
        <v>10838</v>
      </c>
      <c r="I49" s="565">
        <f t="shared" si="4"/>
        <v>119824</v>
      </c>
      <c r="J49" s="1719">
        <v>538495</v>
      </c>
      <c r="K49" s="792">
        <f t="shared" si="2"/>
        <v>418671</v>
      </c>
      <c r="L49" s="792">
        <v>12911</v>
      </c>
      <c r="M49" s="1716">
        <f t="shared" si="3"/>
        <v>2073</v>
      </c>
      <c r="N49"/>
      <c r="P49" s="2">
        <v>66428</v>
      </c>
      <c r="Q49" s="2">
        <v>49957</v>
      </c>
      <c r="R49" s="2">
        <v>33144</v>
      </c>
      <c r="S49" s="2">
        <v>73618</v>
      </c>
      <c r="T49" s="2">
        <v>41765</v>
      </c>
      <c r="U49" s="2">
        <v>48762</v>
      </c>
      <c r="V49" s="2">
        <v>37487</v>
      </c>
      <c r="W49" s="2">
        <v>36500</v>
      </c>
      <c r="X49" s="2">
        <v>21932</v>
      </c>
      <c r="Y49" s="2">
        <v>8274</v>
      </c>
      <c r="Z49" s="2">
        <v>4793</v>
      </c>
      <c r="AA49" s="2">
        <v>10838</v>
      </c>
    </row>
    <row r="50" spans="1:27" ht="17.100000000000001" customHeight="1">
      <c r="A50" s="563">
        <v>50</v>
      </c>
      <c r="B50" s="564" t="s">
        <v>866</v>
      </c>
      <c r="C50" s="982">
        <v>848</v>
      </c>
      <c r="D50" s="982">
        <v>692</v>
      </c>
      <c r="E50" s="982">
        <v>1492</v>
      </c>
      <c r="F50" s="982">
        <v>0</v>
      </c>
      <c r="G50" s="982">
        <v>0</v>
      </c>
      <c r="H50" s="982">
        <v>0</v>
      </c>
      <c r="I50" s="565">
        <f t="shared" si="4"/>
        <v>3032</v>
      </c>
      <c r="J50" s="1718">
        <v>15294</v>
      </c>
      <c r="K50" s="792">
        <f t="shared" si="2"/>
        <v>12262</v>
      </c>
      <c r="L50" s="792">
        <v>0</v>
      </c>
      <c r="M50" s="1716">
        <f t="shared" si="3"/>
        <v>0</v>
      </c>
      <c r="P50">
        <v>1460</v>
      </c>
      <c r="Q50">
        <v>1399</v>
      </c>
      <c r="R50">
        <v>1016</v>
      </c>
      <c r="S50">
        <v>3216</v>
      </c>
      <c r="T50">
        <v>2392</v>
      </c>
      <c r="U50">
        <v>1381</v>
      </c>
      <c r="V50">
        <v>848</v>
      </c>
      <c r="W50">
        <v>692</v>
      </c>
      <c r="X50">
        <v>1492</v>
      </c>
      <c r="Y50">
        <v>0</v>
      </c>
      <c r="Z50">
        <v>0</v>
      </c>
      <c r="AA50">
        <v>0</v>
      </c>
    </row>
    <row r="51" spans="1:27" ht="17.100000000000001" customHeight="1">
      <c r="A51" s="563">
        <v>51</v>
      </c>
      <c r="B51" s="564" t="s">
        <v>867</v>
      </c>
      <c r="C51" s="982">
        <v>767</v>
      </c>
      <c r="D51" s="982">
        <v>1309</v>
      </c>
      <c r="E51" s="982">
        <v>2668</v>
      </c>
      <c r="F51" s="982">
        <v>554</v>
      </c>
      <c r="G51" s="982">
        <v>730</v>
      </c>
      <c r="H51" s="982">
        <v>15186</v>
      </c>
      <c r="I51" s="565">
        <f t="shared" si="4"/>
        <v>21214</v>
      </c>
      <c r="J51" s="1718">
        <v>24449</v>
      </c>
      <c r="K51" s="792">
        <f t="shared" si="2"/>
        <v>3235</v>
      </c>
      <c r="L51" s="792">
        <v>16566</v>
      </c>
      <c r="M51" s="1716">
        <f t="shared" si="3"/>
        <v>1380</v>
      </c>
      <c r="P51">
        <v>131</v>
      </c>
      <c r="Q51">
        <v>224</v>
      </c>
      <c r="R51">
        <v>208</v>
      </c>
      <c r="S51">
        <v>487</v>
      </c>
      <c r="T51">
        <v>520</v>
      </c>
      <c r="U51">
        <v>489</v>
      </c>
      <c r="V51">
        <v>767</v>
      </c>
      <c r="W51">
        <v>1309</v>
      </c>
      <c r="X51">
        <v>2668</v>
      </c>
      <c r="Y51">
        <v>554</v>
      </c>
      <c r="Z51">
        <v>730</v>
      </c>
      <c r="AA51">
        <v>15186</v>
      </c>
    </row>
    <row r="52" spans="1:27" ht="17.100000000000001" customHeight="1">
      <c r="A52" s="563">
        <v>52</v>
      </c>
      <c r="B52" s="564" t="s">
        <v>822</v>
      </c>
      <c r="C52" s="982">
        <v>27993</v>
      </c>
      <c r="D52" s="982">
        <v>39784</v>
      </c>
      <c r="E52" s="982">
        <v>14917</v>
      </c>
      <c r="F52" s="982">
        <v>5816</v>
      </c>
      <c r="G52" s="982">
        <v>4791</v>
      </c>
      <c r="H52" s="982">
        <v>20590</v>
      </c>
      <c r="I52" s="565">
        <f t="shared" si="4"/>
        <v>113891</v>
      </c>
      <c r="J52" s="1718">
        <v>234996</v>
      </c>
      <c r="K52" s="792">
        <f t="shared" si="2"/>
        <v>121105</v>
      </c>
      <c r="L52" s="792">
        <v>20750</v>
      </c>
      <c r="M52" s="1716">
        <f t="shared" si="3"/>
        <v>160</v>
      </c>
      <c r="P52">
        <v>10016</v>
      </c>
      <c r="Q52">
        <v>14700</v>
      </c>
      <c r="R52">
        <v>12723</v>
      </c>
      <c r="S52">
        <v>26755</v>
      </c>
      <c r="T52">
        <v>15224</v>
      </c>
      <c r="U52">
        <v>20193</v>
      </c>
      <c r="V52">
        <v>27993</v>
      </c>
      <c r="W52">
        <v>39784</v>
      </c>
      <c r="X52">
        <v>14917</v>
      </c>
      <c r="Y52">
        <v>5816</v>
      </c>
      <c r="Z52">
        <v>4791</v>
      </c>
      <c r="AA52">
        <v>20590</v>
      </c>
    </row>
    <row r="53" spans="1:27" s="2" customFormat="1" ht="17.100000000000001" customHeight="1">
      <c r="A53" s="563">
        <v>53</v>
      </c>
      <c r="B53" s="564" t="s">
        <v>19</v>
      </c>
      <c r="C53" s="982">
        <v>3200</v>
      </c>
      <c r="D53" s="982">
        <v>4143</v>
      </c>
      <c r="E53" s="982">
        <v>3233</v>
      </c>
      <c r="F53" s="982">
        <v>1633</v>
      </c>
      <c r="G53" s="982">
        <v>2405</v>
      </c>
      <c r="H53" s="982">
        <v>1370</v>
      </c>
      <c r="I53" s="565">
        <f t="shared" si="4"/>
        <v>15984</v>
      </c>
      <c r="J53" s="1719">
        <v>34397</v>
      </c>
      <c r="K53" s="792">
        <f t="shared" si="2"/>
        <v>18413</v>
      </c>
      <c r="L53" s="792">
        <v>1494</v>
      </c>
      <c r="M53" s="1716">
        <f t="shared" si="3"/>
        <v>124</v>
      </c>
      <c r="N53"/>
      <c r="P53" s="2">
        <v>1229</v>
      </c>
      <c r="Q53" s="2">
        <v>2558</v>
      </c>
      <c r="R53" s="2">
        <v>2733</v>
      </c>
      <c r="S53" s="2">
        <v>4665</v>
      </c>
      <c r="T53" s="2">
        <v>1455</v>
      </c>
      <c r="U53" s="2">
        <v>2345</v>
      </c>
      <c r="V53" s="2">
        <v>3200</v>
      </c>
      <c r="W53" s="2">
        <v>4143</v>
      </c>
      <c r="X53" s="2">
        <v>3233</v>
      </c>
      <c r="Y53" s="2">
        <v>1633</v>
      </c>
      <c r="Z53" s="2">
        <v>2405</v>
      </c>
      <c r="AA53" s="2">
        <v>1370</v>
      </c>
    </row>
    <row r="54" spans="1:27" ht="17.100000000000001" customHeight="1">
      <c r="A54" s="563">
        <v>55</v>
      </c>
      <c r="B54" s="564" t="s">
        <v>20</v>
      </c>
      <c r="C54" s="982">
        <v>31502</v>
      </c>
      <c r="D54" s="982">
        <v>62372</v>
      </c>
      <c r="E54" s="982">
        <v>37162</v>
      </c>
      <c r="F54" s="982">
        <v>8201</v>
      </c>
      <c r="G54" s="982">
        <v>1565</v>
      </c>
      <c r="H54" s="982">
        <v>2261</v>
      </c>
      <c r="I54" s="565">
        <f t="shared" si="4"/>
        <v>143063</v>
      </c>
      <c r="J54" s="1718">
        <v>250096</v>
      </c>
      <c r="K54" s="792">
        <f t="shared" si="2"/>
        <v>107033</v>
      </c>
      <c r="L54" s="792">
        <v>2793</v>
      </c>
      <c r="M54" s="1716">
        <f t="shared" si="3"/>
        <v>532</v>
      </c>
      <c r="P54">
        <v>10609</v>
      </c>
      <c r="Q54">
        <v>16686</v>
      </c>
      <c r="R54">
        <v>10977</v>
      </c>
      <c r="S54">
        <v>21269</v>
      </c>
      <c r="T54">
        <v>13094</v>
      </c>
      <c r="U54">
        <v>16913</v>
      </c>
      <c r="V54">
        <v>31502</v>
      </c>
      <c r="W54">
        <v>62372</v>
      </c>
      <c r="X54">
        <v>37162</v>
      </c>
      <c r="Y54">
        <v>8201</v>
      </c>
      <c r="Z54">
        <v>1565</v>
      </c>
      <c r="AA54">
        <v>2261</v>
      </c>
    </row>
    <row r="55" spans="1:27" ht="17.100000000000001" customHeight="1">
      <c r="A55" s="563">
        <v>56</v>
      </c>
      <c r="B55" s="564" t="s">
        <v>21</v>
      </c>
      <c r="C55" s="982">
        <v>40662</v>
      </c>
      <c r="D55" s="982">
        <v>31647</v>
      </c>
      <c r="E55" s="982">
        <v>9109</v>
      </c>
      <c r="F55" s="982">
        <v>4080</v>
      </c>
      <c r="G55" s="982">
        <v>1602</v>
      </c>
      <c r="H55" s="982">
        <v>4748</v>
      </c>
      <c r="I55" s="565">
        <f t="shared" si="4"/>
        <v>91848</v>
      </c>
      <c r="J55" s="1718">
        <v>619072</v>
      </c>
      <c r="K55" s="792">
        <f t="shared" si="2"/>
        <v>527224</v>
      </c>
      <c r="L55" s="792">
        <v>4700</v>
      </c>
      <c r="M55" s="1716">
        <f t="shared" si="3"/>
        <v>-48</v>
      </c>
      <c r="P55">
        <v>72020</v>
      </c>
      <c r="Q55">
        <v>76347</v>
      </c>
      <c r="R55">
        <v>55808</v>
      </c>
      <c r="S55">
        <v>122576</v>
      </c>
      <c r="T55">
        <v>62308</v>
      </c>
      <c r="U55">
        <v>57404</v>
      </c>
      <c r="V55">
        <v>40662</v>
      </c>
      <c r="W55">
        <v>31647</v>
      </c>
      <c r="X55">
        <v>9109</v>
      </c>
      <c r="Y55">
        <v>4080</v>
      </c>
      <c r="Z55">
        <v>1602</v>
      </c>
      <c r="AA55">
        <v>4148</v>
      </c>
    </row>
    <row r="56" spans="1:27" ht="17.100000000000001" customHeight="1">
      <c r="A56" s="563">
        <v>58</v>
      </c>
      <c r="B56" s="564" t="s">
        <v>99</v>
      </c>
      <c r="C56" s="982">
        <v>1889</v>
      </c>
      <c r="D56" s="982">
        <v>1362</v>
      </c>
      <c r="E56" s="982">
        <v>1338</v>
      </c>
      <c r="F56" s="982">
        <v>1222</v>
      </c>
      <c r="G56" s="982">
        <v>0</v>
      </c>
      <c r="H56" s="982">
        <v>0</v>
      </c>
      <c r="I56" s="565">
        <f t="shared" si="4"/>
        <v>5811</v>
      </c>
      <c r="J56" s="1718">
        <v>20989</v>
      </c>
      <c r="K56" s="792">
        <f t="shared" si="2"/>
        <v>15178</v>
      </c>
      <c r="L56" s="792">
        <v>0</v>
      </c>
      <c r="M56" s="1716">
        <f t="shared" si="3"/>
        <v>0</v>
      </c>
      <c r="P56">
        <v>1602</v>
      </c>
      <c r="Q56">
        <v>2359</v>
      </c>
      <c r="R56">
        <v>1905</v>
      </c>
      <c r="S56">
        <v>3276</v>
      </c>
      <c r="T56">
        <v>1770</v>
      </c>
      <c r="U56">
        <v>1934</v>
      </c>
      <c r="V56">
        <v>1889</v>
      </c>
      <c r="W56">
        <v>1362</v>
      </c>
      <c r="X56">
        <v>1338</v>
      </c>
      <c r="Y56">
        <v>1222</v>
      </c>
      <c r="Z56">
        <v>0</v>
      </c>
      <c r="AA56">
        <v>0</v>
      </c>
    </row>
    <row r="57" spans="1:27" ht="17.100000000000001" customHeight="1">
      <c r="A57" s="563">
        <v>59</v>
      </c>
      <c r="B57" s="564" t="s">
        <v>100</v>
      </c>
      <c r="C57" s="982">
        <v>1107</v>
      </c>
      <c r="D57" s="982">
        <v>2015</v>
      </c>
      <c r="E57" s="982">
        <v>1203</v>
      </c>
      <c r="F57" s="982">
        <v>0</v>
      </c>
      <c r="G57" s="982">
        <v>0</v>
      </c>
      <c r="H57" s="982">
        <v>0</v>
      </c>
      <c r="I57" s="565">
        <f t="shared" si="4"/>
        <v>4325</v>
      </c>
      <c r="J57" s="1718">
        <v>17413</v>
      </c>
      <c r="K57" s="792">
        <f t="shared" si="2"/>
        <v>13088</v>
      </c>
      <c r="L57" s="792">
        <v>0</v>
      </c>
      <c r="M57" s="1716">
        <f t="shared" si="3"/>
        <v>0</v>
      </c>
      <c r="P57">
        <v>1289</v>
      </c>
      <c r="Q57">
        <v>1356</v>
      </c>
      <c r="R57">
        <v>1082</v>
      </c>
      <c r="S57">
        <v>3216</v>
      </c>
      <c r="T57">
        <v>2079</v>
      </c>
      <c r="U57">
        <v>2196</v>
      </c>
      <c r="V57">
        <v>1107</v>
      </c>
      <c r="W57">
        <v>2015</v>
      </c>
      <c r="X57">
        <v>1203</v>
      </c>
      <c r="Y57">
        <v>0</v>
      </c>
      <c r="Z57">
        <v>0</v>
      </c>
      <c r="AA57">
        <v>0</v>
      </c>
    </row>
    <row r="58" spans="1:27" ht="17.100000000000001" customHeight="1">
      <c r="A58" s="563">
        <v>60</v>
      </c>
      <c r="B58" s="564" t="s">
        <v>755</v>
      </c>
      <c r="C58" s="982">
        <v>1150</v>
      </c>
      <c r="D58" s="982">
        <v>2095</v>
      </c>
      <c r="E58" s="982">
        <v>1153</v>
      </c>
      <c r="F58" s="982">
        <v>0</v>
      </c>
      <c r="G58" s="982">
        <v>0</v>
      </c>
      <c r="H58" s="982">
        <v>0</v>
      </c>
      <c r="I58" s="565">
        <f t="shared" si="4"/>
        <v>4398</v>
      </c>
      <c r="J58" s="1718">
        <v>9923</v>
      </c>
      <c r="K58" s="792">
        <f t="shared" si="2"/>
        <v>5525</v>
      </c>
      <c r="L58" s="792">
        <v>0</v>
      </c>
      <c r="M58" s="1716">
        <f t="shared" si="3"/>
        <v>0</v>
      </c>
      <c r="P58">
        <v>498</v>
      </c>
      <c r="Q58">
        <v>512</v>
      </c>
      <c r="R58">
        <v>477</v>
      </c>
      <c r="S58">
        <v>1248</v>
      </c>
      <c r="T58">
        <v>862</v>
      </c>
      <c r="U58">
        <v>983</v>
      </c>
      <c r="V58">
        <v>1150</v>
      </c>
      <c r="W58">
        <v>2095</v>
      </c>
      <c r="X58">
        <v>1153</v>
      </c>
      <c r="Y58">
        <v>0</v>
      </c>
      <c r="Z58">
        <v>0</v>
      </c>
      <c r="AA58">
        <v>0</v>
      </c>
    </row>
    <row r="59" spans="1:27" ht="17.100000000000001" customHeight="1">
      <c r="A59" s="563">
        <v>61</v>
      </c>
      <c r="B59" s="564" t="s">
        <v>756</v>
      </c>
      <c r="C59" s="982">
        <v>2996</v>
      </c>
      <c r="D59" s="982">
        <v>1729</v>
      </c>
      <c r="E59" s="982">
        <v>1736</v>
      </c>
      <c r="F59" s="982">
        <v>537</v>
      </c>
      <c r="G59" s="982">
        <v>1521</v>
      </c>
      <c r="H59" s="982">
        <v>1227</v>
      </c>
      <c r="I59" s="565">
        <f t="shared" si="4"/>
        <v>9746</v>
      </c>
      <c r="J59" s="1718">
        <v>23978</v>
      </c>
      <c r="K59" s="792">
        <f t="shared" si="2"/>
        <v>14232</v>
      </c>
      <c r="L59" s="792">
        <v>1331</v>
      </c>
      <c r="M59" s="1716">
        <f t="shared" si="3"/>
        <v>104</v>
      </c>
      <c r="P59">
        <v>1858</v>
      </c>
      <c r="Q59">
        <v>1826</v>
      </c>
      <c r="R59">
        <v>1165</v>
      </c>
      <c r="S59">
        <v>2528</v>
      </c>
      <c r="T59">
        <v>1804</v>
      </c>
      <c r="U59">
        <v>2338</v>
      </c>
      <c r="V59">
        <v>2996</v>
      </c>
      <c r="W59">
        <v>1729</v>
      </c>
      <c r="X59">
        <v>1736</v>
      </c>
      <c r="Y59">
        <v>537</v>
      </c>
      <c r="Z59">
        <v>1521</v>
      </c>
      <c r="AA59">
        <v>1227</v>
      </c>
    </row>
    <row r="60" spans="1:27" ht="17.100000000000001" customHeight="1">
      <c r="A60" s="563">
        <v>62</v>
      </c>
      <c r="B60" s="564" t="s">
        <v>757</v>
      </c>
      <c r="C60" s="982">
        <v>7542</v>
      </c>
      <c r="D60" s="982">
        <v>9494</v>
      </c>
      <c r="E60" s="982">
        <v>5438</v>
      </c>
      <c r="F60" s="982">
        <v>3975</v>
      </c>
      <c r="G60" s="982">
        <v>3191</v>
      </c>
      <c r="H60" s="982">
        <v>2047</v>
      </c>
      <c r="I60" s="565">
        <f t="shared" si="4"/>
        <v>31687</v>
      </c>
      <c r="J60" s="1718">
        <v>75001</v>
      </c>
      <c r="K60" s="792">
        <f t="shared" si="2"/>
        <v>43314</v>
      </c>
      <c r="L60" s="792">
        <v>2199</v>
      </c>
      <c r="M60" s="1716">
        <f t="shared" si="3"/>
        <v>152</v>
      </c>
      <c r="P60">
        <v>5024</v>
      </c>
      <c r="Q60">
        <v>5727</v>
      </c>
      <c r="R60">
        <v>3988</v>
      </c>
      <c r="S60">
        <v>9289</v>
      </c>
      <c r="T60">
        <v>5765</v>
      </c>
      <c r="U60">
        <v>6847</v>
      </c>
      <c r="V60">
        <v>7542</v>
      </c>
      <c r="W60">
        <v>9494</v>
      </c>
      <c r="X60">
        <v>5438</v>
      </c>
      <c r="Y60">
        <v>3975</v>
      </c>
      <c r="Z60">
        <v>3191</v>
      </c>
      <c r="AA60">
        <v>2047</v>
      </c>
    </row>
    <row r="61" spans="1:27" ht="17.100000000000001" customHeight="1">
      <c r="A61" s="563">
        <v>63</v>
      </c>
      <c r="B61" s="564" t="s">
        <v>758</v>
      </c>
      <c r="C61" s="982">
        <v>3512</v>
      </c>
      <c r="D61" s="982">
        <v>10244</v>
      </c>
      <c r="E61" s="982">
        <v>9499</v>
      </c>
      <c r="F61" s="982">
        <v>7673</v>
      </c>
      <c r="G61" s="982">
        <v>3879</v>
      </c>
      <c r="H61" s="982">
        <v>6613</v>
      </c>
      <c r="I61" s="565">
        <f t="shared" si="4"/>
        <v>41420</v>
      </c>
      <c r="J61" s="1718">
        <v>54942</v>
      </c>
      <c r="K61" s="792">
        <f t="shared" si="2"/>
        <v>13522</v>
      </c>
      <c r="L61" s="792">
        <v>6215</v>
      </c>
      <c r="M61" s="1716">
        <f t="shared" si="3"/>
        <v>-398</v>
      </c>
      <c r="P61">
        <v>948</v>
      </c>
      <c r="Q61">
        <v>1178</v>
      </c>
      <c r="R61">
        <v>977</v>
      </c>
      <c r="S61">
        <v>2140</v>
      </c>
      <c r="T61">
        <v>1603</v>
      </c>
      <c r="U61">
        <v>2818</v>
      </c>
      <c r="V61">
        <v>3512</v>
      </c>
      <c r="W61">
        <v>10244</v>
      </c>
      <c r="X61">
        <v>9499</v>
      </c>
      <c r="Y61">
        <v>7673</v>
      </c>
      <c r="Z61">
        <v>3879</v>
      </c>
      <c r="AA61">
        <v>6613</v>
      </c>
    </row>
    <row r="62" spans="1:27" ht="17.100000000000001" customHeight="1">
      <c r="A62" s="563">
        <v>64</v>
      </c>
      <c r="B62" s="564" t="s">
        <v>823</v>
      </c>
      <c r="C62" s="982">
        <v>3679</v>
      </c>
      <c r="D62" s="982">
        <v>5444</v>
      </c>
      <c r="E62" s="982">
        <v>5322</v>
      </c>
      <c r="F62" s="982">
        <v>2126</v>
      </c>
      <c r="G62" s="982">
        <v>2299</v>
      </c>
      <c r="H62" s="982">
        <v>15077</v>
      </c>
      <c r="I62" s="565">
        <f t="shared" si="4"/>
        <v>33947</v>
      </c>
      <c r="J62" s="1718">
        <v>88181</v>
      </c>
      <c r="K62" s="792">
        <f t="shared" si="2"/>
        <v>54234</v>
      </c>
      <c r="L62" s="792">
        <v>15405</v>
      </c>
      <c r="M62" s="1716">
        <f t="shared" si="3"/>
        <v>328</v>
      </c>
      <c r="P62">
        <v>3208</v>
      </c>
      <c r="Q62">
        <v>5015</v>
      </c>
      <c r="R62">
        <v>10666</v>
      </c>
      <c r="S62">
        <v>20060</v>
      </c>
      <c r="T62">
        <v>3785</v>
      </c>
      <c r="U62">
        <v>3885</v>
      </c>
      <c r="V62">
        <v>3679</v>
      </c>
      <c r="W62">
        <v>5444</v>
      </c>
      <c r="X62">
        <v>5322</v>
      </c>
      <c r="Y62">
        <v>2126</v>
      </c>
      <c r="Z62">
        <v>2299</v>
      </c>
      <c r="AA62">
        <v>15077</v>
      </c>
    </row>
    <row r="63" spans="1:27" ht="17.100000000000001" customHeight="1">
      <c r="A63" s="563">
        <v>65</v>
      </c>
      <c r="B63" s="564" t="s">
        <v>830</v>
      </c>
      <c r="C63" s="982">
        <v>2314</v>
      </c>
      <c r="D63" s="982">
        <v>2446</v>
      </c>
      <c r="E63" s="982">
        <v>3442</v>
      </c>
      <c r="F63" s="982">
        <v>527</v>
      </c>
      <c r="G63" s="982">
        <v>0</v>
      </c>
      <c r="H63" s="982">
        <v>0</v>
      </c>
      <c r="I63" s="565">
        <f t="shared" si="4"/>
        <v>8729</v>
      </c>
      <c r="J63" s="1718">
        <v>24259</v>
      </c>
      <c r="K63" s="792">
        <f t="shared" si="2"/>
        <v>15530</v>
      </c>
      <c r="L63" s="792">
        <v>0</v>
      </c>
      <c r="M63" s="1716">
        <f t="shared" si="3"/>
        <v>0</v>
      </c>
      <c r="P63">
        <v>3530</v>
      </c>
      <c r="Q63">
        <v>3104</v>
      </c>
      <c r="R63">
        <v>1450</v>
      </c>
      <c r="S63">
        <v>2031</v>
      </c>
      <c r="T63">
        <v>892</v>
      </c>
      <c r="U63">
        <v>1633</v>
      </c>
      <c r="V63">
        <v>2314</v>
      </c>
      <c r="W63">
        <v>2446</v>
      </c>
      <c r="X63">
        <v>3442</v>
      </c>
      <c r="Y63">
        <v>527</v>
      </c>
      <c r="Z63">
        <v>0</v>
      </c>
      <c r="AA63">
        <v>0</v>
      </c>
    </row>
    <row r="64" spans="1:27" ht="17.100000000000001" customHeight="1">
      <c r="A64" s="563">
        <v>66</v>
      </c>
      <c r="B64" s="564" t="s">
        <v>671</v>
      </c>
      <c r="C64" s="982">
        <v>2348</v>
      </c>
      <c r="D64" s="982">
        <v>2322</v>
      </c>
      <c r="E64" s="982">
        <v>2286</v>
      </c>
      <c r="F64" s="982">
        <v>0</v>
      </c>
      <c r="G64" s="982">
        <v>691</v>
      </c>
      <c r="H64" s="982">
        <v>947</v>
      </c>
      <c r="I64" s="565">
        <f t="shared" si="4"/>
        <v>8594</v>
      </c>
      <c r="J64" s="1718">
        <v>49766</v>
      </c>
      <c r="K64" s="792">
        <f t="shared" si="2"/>
        <v>41172</v>
      </c>
      <c r="L64" s="792">
        <v>1027</v>
      </c>
      <c r="M64" s="1716">
        <f t="shared" si="3"/>
        <v>80</v>
      </c>
      <c r="P64">
        <v>10634</v>
      </c>
      <c r="Q64">
        <v>9284</v>
      </c>
      <c r="R64">
        <v>4623</v>
      </c>
      <c r="S64">
        <v>4875</v>
      </c>
      <c r="T64">
        <v>2110</v>
      </c>
      <c r="U64">
        <v>2447</v>
      </c>
      <c r="V64">
        <v>2348</v>
      </c>
      <c r="W64">
        <v>2322</v>
      </c>
      <c r="X64">
        <v>2286</v>
      </c>
      <c r="Y64">
        <v>0</v>
      </c>
      <c r="Z64">
        <v>691</v>
      </c>
      <c r="AA64">
        <v>947</v>
      </c>
    </row>
    <row r="65" spans="1:27" ht="17.100000000000001" customHeight="1">
      <c r="A65" s="563">
        <v>68</v>
      </c>
      <c r="B65" s="564" t="s">
        <v>635</v>
      </c>
      <c r="C65" s="982">
        <v>4082</v>
      </c>
      <c r="D65" s="982">
        <v>2552</v>
      </c>
      <c r="E65" s="982">
        <v>568</v>
      </c>
      <c r="F65" s="982">
        <v>0</v>
      </c>
      <c r="G65" s="982">
        <v>0</v>
      </c>
      <c r="H65" s="982">
        <v>0</v>
      </c>
      <c r="I65" s="565">
        <f t="shared" si="4"/>
        <v>7202</v>
      </c>
      <c r="J65" s="1718">
        <v>117815</v>
      </c>
      <c r="K65" s="792">
        <f t="shared" si="2"/>
        <v>110613</v>
      </c>
      <c r="L65" s="792">
        <v>0</v>
      </c>
      <c r="M65" s="1716">
        <f t="shared" si="3"/>
        <v>0</v>
      </c>
      <c r="P65">
        <v>16706</v>
      </c>
      <c r="Q65">
        <v>13298</v>
      </c>
      <c r="R65">
        <v>6982</v>
      </c>
      <c r="S65">
        <v>12006</v>
      </c>
      <c r="T65">
        <v>5488</v>
      </c>
      <c r="U65">
        <v>4939</v>
      </c>
      <c r="V65">
        <v>4082</v>
      </c>
      <c r="W65">
        <v>2552</v>
      </c>
      <c r="X65">
        <v>568</v>
      </c>
      <c r="Y65">
        <v>0</v>
      </c>
      <c r="Z65">
        <v>0</v>
      </c>
      <c r="AA65">
        <v>0</v>
      </c>
    </row>
    <row r="66" spans="1:27" ht="17.100000000000001" customHeight="1">
      <c r="A66" s="563">
        <v>69</v>
      </c>
      <c r="B66" s="564" t="s">
        <v>521</v>
      </c>
      <c r="C66" s="982">
        <v>2591</v>
      </c>
      <c r="D66" s="982">
        <v>3364</v>
      </c>
      <c r="E66" s="982">
        <v>3169</v>
      </c>
      <c r="F66" s="982">
        <v>2034</v>
      </c>
      <c r="G66" s="982">
        <v>0</v>
      </c>
      <c r="H66" s="982">
        <v>0</v>
      </c>
      <c r="I66" s="565">
        <f t="shared" si="4"/>
        <v>11158</v>
      </c>
      <c r="J66" s="1718">
        <v>141444</v>
      </c>
      <c r="K66" s="792">
        <f t="shared" si="2"/>
        <v>130286</v>
      </c>
      <c r="L66" s="792">
        <v>0</v>
      </c>
      <c r="M66" s="1716">
        <f t="shared" si="3"/>
        <v>0</v>
      </c>
      <c r="P66">
        <v>41573</v>
      </c>
      <c r="Q66">
        <v>34683</v>
      </c>
      <c r="R66">
        <v>13166</v>
      </c>
      <c r="S66">
        <v>10377</v>
      </c>
      <c r="T66">
        <v>4176</v>
      </c>
      <c r="U66">
        <v>4011</v>
      </c>
      <c r="V66">
        <v>2591</v>
      </c>
      <c r="W66">
        <v>3364</v>
      </c>
      <c r="X66">
        <v>3169</v>
      </c>
      <c r="Y66">
        <v>2034</v>
      </c>
      <c r="Z66">
        <v>0</v>
      </c>
      <c r="AA66">
        <v>0</v>
      </c>
    </row>
    <row r="67" spans="1:27" ht="17.100000000000001" customHeight="1">
      <c r="A67" s="563">
        <v>70</v>
      </c>
      <c r="B67" s="564" t="s">
        <v>450</v>
      </c>
      <c r="C67" s="982">
        <v>24341</v>
      </c>
      <c r="D67" s="982">
        <v>34682</v>
      </c>
      <c r="E67" s="982">
        <v>27993</v>
      </c>
      <c r="F67" s="982">
        <v>7659</v>
      </c>
      <c r="G67" s="982">
        <v>4848</v>
      </c>
      <c r="H67" s="982">
        <v>17639</v>
      </c>
      <c r="I67" s="565">
        <f t="shared" si="4"/>
        <v>117162</v>
      </c>
      <c r="J67" s="1718">
        <v>215826</v>
      </c>
      <c r="K67" s="792">
        <f t="shared" si="2"/>
        <v>98664</v>
      </c>
      <c r="L67" s="792">
        <v>16118</v>
      </c>
      <c r="M67" s="1716">
        <f t="shared" si="3"/>
        <v>-1521</v>
      </c>
      <c r="P67">
        <v>13508</v>
      </c>
      <c r="Q67">
        <v>15813</v>
      </c>
      <c r="R67">
        <v>10758</v>
      </c>
      <c r="S67">
        <v>21903</v>
      </c>
      <c r="T67">
        <v>13966</v>
      </c>
      <c r="U67">
        <v>21117</v>
      </c>
      <c r="V67">
        <v>24341</v>
      </c>
      <c r="W67">
        <v>34682</v>
      </c>
      <c r="X67">
        <v>27993</v>
      </c>
      <c r="Y67">
        <v>7659</v>
      </c>
      <c r="Z67">
        <v>4848</v>
      </c>
      <c r="AA67">
        <v>10639</v>
      </c>
    </row>
    <row r="68" spans="1:27" ht="17.100000000000001" customHeight="1">
      <c r="A68" s="563">
        <v>71</v>
      </c>
      <c r="B68" s="564" t="s">
        <v>451</v>
      </c>
      <c r="C68" s="982">
        <v>11658</v>
      </c>
      <c r="D68" s="982">
        <v>10431</v>
      </c>
      <c r="E68" s="982">
        <v>4638</v>
      </c>
      <c r="F68" s="982">
        <v>4267</v>
      </c>
      <c r="G68" s="982">
        <v>1580</v>
      </c>
      <c r="H68" s="982">
        <v>0</v>
      </c>
      <c r="I68" s="565">
        <f t="shared" si="4"/>
        <v>32574</v>
      </c>
      <c r="J68" s="1718">
        <v>152063</v>
      </c>
      <c r="K68" s="792">
        <f t="shared" si="2"/>
        <v>119489</v>
      </c>
      <c r="L68" s="792">
        <v>0</v>
      </c>
      <c r="M68" s="1716">
        <f t="shared" si="3"/>
        <v>0</v>
      </c>
      <c r="P68">
        <v>15005</v>
      </c>
      <c r="Q68">
        <v>17851</v>
      </c>
      <c r="R68">
        <v>12603</v>
      </c>
      <c r="S68">
        <v>29332</v>
      </c>
      <c r="T68">
        <v>14876</v>
      </c>
      <c r="U68">
        <v>12062</v>
      </c>
      <c r="V68">
        <v>11658</v>
      </c>
      <c r="W68">
        <v>10431</v>
      </c>
      <c r="X68">
        <v>4638</v>
      </c>
      <c r="Y68">
        <v>4267</v>
      </c>
      <c r="Z68">
        <v>1580</v>
      </c>
      <c r="AA68">
        <v>0</v>
      </c>
    </row>
    <row r="69" spans="1:27" ht="17.100000000000001" customHeight="1">
      <c r="A69" s="563">
        <v>72</v>
      </c>
      <c r="B69" s="564" t="s">
        <v>143</v>
      </c>
      <c r="C69" s="982">
        <v>916</v>
      </c>
      <c r="D69" s="982">
        <v>1903</v>
      </c>
      <c r="E69" s="982">
        <v>1943</v>
      </c>
      <c r="F69" s="982">
        <v>639</v>
      </c>
      <c r="G69" s="982">
        <v>785</v>
      </c>
      <c r="H69" s="982">
        <v>1021</v>
      </c>
      <c r="I69" s="565">
        <f t="shared" si="4"/>
        <v>7207</v>
      </c>
      <c r="J69" s="1718">
        <v>12141</v>
      </c>
      <c r="K69" s="792">
        <f t="shared" si="2"/>
        <v>4934</v>
      </c>
      <c r="L69" s="792">
        <v>1127</v>
      </c>
      <c r="M69" s="1716">
        <f t="shared" si="3"/>
        <v>106</v>
      </c>
      <c r="P69">
        <v>539</v>
      </c>
      <c r="Q69">
        <v>587</v>
      </c>
      <c r="R69">
        <v>524</v>
      </c>
      <c r="S69">
        <v>957</v>
      </c>
      <c r="T69">
        <v>607</v>
      </c>
      <c r="U69">
        <v>878</v>
      </c>
      <c r="V69">
        <v>916</v>
      </c>
      <c r="W69">
        <v>1903</v>
      </c>
      <c r="X69">
        <v>1943</v>
      </c>
      <c r="Y69">
        <v>639</v>
      </c>
      <c r="Z69">
        <v>785</v>
      </c>
      <c r="AA69">
        <v>1021</v>
      </c>
    </row>
    <row r="70" spans="1:27" ht="17.100000000000001" customHeight="1">
      <c r="A70" s="563">
        <v>73</v>
      </c>
      <c r="B70" s="564" t="s">
        <v>144</v>
      </c>
      <c r="C70" s="982">
        <v>5565</v>
      </c>
      <c r="D70" s="982">
        <v>5438</v>
      </c>
      <c r="E70" s="982">
        <v>3882</v>
      </c>
      <c r="F70" s="982">
        <v>1115</v>
      </c>
      <c r="G70" s="982">
        <v>0</v>
      </c>
      <c r="H70" s="982">
        <v>4658</v>
      </c>
      <c r="I70" s="565">
        <f t="shared" ref="I70:I92" si="5">SUM(C70:H70)</f>
        <v>20658</v>
      </c>
      <c r="J70" s="1718">
        <v>56466</v>
      </c>
      <c r="K70" s="792">
        <f t="shared" si="2"/>
        <v>35808</v>
      </c>
      <c r="L70" s="792">
        <v>4482</v>
      </c>
      <c r="M70" s="1716">
        <f t="shared" si="3"/>
        <v>-176</v>
      </c>
      <c r="P70">
        <v>5071</v>
      </c>
      <c r="Q70">
        <v>5464</v>
      </c>
      <c r="R70">
        <v>3617</v>
      </c>
      <c r="S70">
        <v>6119</v>
      </c>
      <c r="T70">
        <v>3629</v>
      </c>
      <c r="U70">
        <v>6478</v>
      </c>
      <c r="V70">
        <v>5565</v>
      </c>
      <c r="W70">
        <v>5438</v>
      </c>
      <c r="X70">
        <v>3882</v>
      </c>
      <c r="Y70">
        <v>1115</v>
      </c>
      <c r="Z70">
        <v>0</v>
      </c>
      <c r="AA70">
        <v>3658</v>
      </c>
    </row>
    <row r="71" spans="1:27" ht="17.100000000000001" customHeight="1">
      <c r="A71" s="563">
        <v>74</v>
      </c>
      <c r="B71" s="564" t="s">
        <v>770</v>
      </c>
      <c r="C71" s="982">
        <v>1938</v>
      </c>
      <c r="D71" s="982">
        <v>921</v>
      </c>
      <c r="E71" s="982">
        <v>1047</v>
      </c>
      <c r="F71" s="982">
        <v>1135</v>
      </c>
      <c r="G71" s="982">
        <v>705</v>
      </c>
      <c r="H71" s="982">
        <v>6138</v>
      </c>
      <c r="I71" s="565">
        <f t="shared" si="5"/>
        <v>11884</v>
      </c>
      <c r="J71" s="1718">
        <v>43054</v>
      </c>
      <c r="K71" s="792">
        <f t="shared" ref="K71:K92" si="6">+J71-I71</f>
        <v>31170</v>
      </c>
      <c r="L71" s="792">
        <v>6769</v>
      </c>
      <c r="M71" s="1716">
        <f t="shared" si="3"/>
        <v>631</v>
      </c>
      <c r="P71">
        <v>5120</v>
      </c>
      <c r="Q71">
        <v>5402</v>
      </c>
      <c r="R71">
        <v>3612</v>
      </c>
      <c r="S71">
        <v>6437</v>
      </c>
      <c r="T71">
        <v>2569</v>
      </c>
      <c r="U71">
        <v>2775</v>
      </c>
      <c r="V71">
        <v>1938</v>
      </c>
      <c r="W71">
        <v>921</v>
      </c>
      <c r="X71">
        <v>1047</v>
      </c>
      <c r="Y71">
        <v>1135</v>
      </c>
      <c r="Z71">
        <v>705</v>
      </c>
      <c r="AA71">
        <v>6138</v>
      </c>
    </row>
    <row r="72" spans="1:27" ht="17.100000000000001" customHeight="1">
      <c r="A72" s="563">
        <v>75</v>
      </c>
      <c r="B72" s="564" t="s">
        <v>723</v>
      </c>
      <c r="C72" s="982">
        <v>454</v>
      </c>
      <c r="D72" s="982">
        <v>1095</v>
      </c>
      <c r="E72" s="982">
        <v>563</v>
      </c>
      <c r="F72" s="982">
        <v>0</v>
      </c>
      <c r="G72" s="982">
        <v>0</v>
      </c>
      <c r="H72" s="982">
        <v>0</v>
      </c>
      <c r="I72" s="565">
        <f t="shared" si="5"/>
        <v>2112</v>
      </c>
      <c r="J72" s="1718">
        <v>6872</v>
      </c>
      <c r="K72" s="792">
        <f t="shared" si="6"/>
        <v>4760</v>
      </c>
      <c r="L72" s="792">
        <v>0</v>
      </c>
      <c r="M72" s="1716">
        <f t="shared" si="3"/>
        <v>0</v>
      </c>
      <c r="P72">
        <v>1604</v>
      </c>
      <c r="Q72">
        <v>893</v>
      </c>
      <c r="R72">
        <v>409</v>
      </c>
      <c r="S72">
        <v>811</v>
      </c>
      <c r="T72">
        <v>327</v>
      </c>
      <c r="U72">
        <v>388</v>
      </c>
      <c r="V72">
        <v>454</v>
      </c>
      <c r="W72">
        <v>1095</v>
      </c>
      <c r="X72">
        <v>563</v>
      </c>
      <c r="Y72">
        <v>0</v>
      </c>
      <c r="Z72">
        <v>0</v>
      </c>
      <c r="AA72">
        <v>0</v>
      </c>
    </row>
    <row r="73" spans="1:27" ht="17.100000000000001" customHeight="1">
      <c r="A73" s="563">
        <v>77</v>
      </c>
      <c r="B73" s="564" t="s">
        <v>462</v>
      </c>
      <c r="C73" s="982">
        <v>2213</v>
      </c>
      <c r="D73" s="982">
        <v>2990</v>
      </c>
      <c r="E73" s="982">
        <v>641</v>
      </c>
      <c r="F73" s="982">
        <v>0</v>
      </c>
      <c r="G73" s="982">
        <v>0</v>
      </c>
      <c r="H73" s="982">
        <v>2485</v>
      </c>
      <c r="I73" s="565">
        <f t="shared" si="5"/>
        <v>8329</v>
      </c>
      <c r="J73" s="1718">
        <v>29513</v>
      </c>
      <c r="K73" s="792">
        <f t="shared" si="6"/>
        <v>21184</v>
      </c>
      <c r="L73" s="792">
        <v>2685</v>
      </c>
      <c r="M73" s="1716">
        <f t="shared" si="3"/>
        <v>200</v>
      </c>
      <c r="P73">
        <v>3690</v>
      </c>
      <c r="Q73">
        <v>3080</v>
      </c>
      <c r="R73">
        <v>2057</v>
      </c>
      <c r="S73">
        <v>3789</v>
      </c>
      <c r="T73">
        <v>1603</v>
      </c>
      <c r="U73">
        <v>2099</v>
      </c>
      <c r="V73">
        <v>2213</v>
      </c>
      <c r="W73">
        <v>2990</v>
      </c>
      <c r="X73">
        <v>641</v>
      </c>
      <c r="Y73">
        <v>0</v>
      </c>
      <c r="Z73">
        <v>0</v>
      </c>
      <c r="AA73">
        <v>2485</v>
      </c>
    </row>
    <row r="74" spans="1:27" ht="17.100000000000001" customHeight="1">
      <c r="A74" s="563">
        <v>78</v>
      </c>
      <c r="B74" s="564" t="s">
        <v>520</v>
      </c>
      <c r="C74" s="982">
        <v>8465</v>
      </c>
      <c r="D74" s="982">
        <v>12592</v>
      </c>
      <c r="E74" s="982">
        <v>12331</v>
      </c>
      <c r="F74" s="982">
        <v>3185</v>
      </c>
      <c r="G74" s="982">
        <v>1606</v>
      </c>
      <c r="H74" s="982">
        <v>14948</v>
      </c>
      <c r="I74" s="565">
        <f t="shared" si="5"/>
        <v>53127</v>
      </c>
      <c r="J74" s="1718">
        <v>70162</v>
      </c>
      <c r="K74" s="792">
        <f t="shared" si="6"/>
        <v>17035</v>
      </c>
      <c r="L74" s="792">
        <v>14854</v>
      </c>
      <c r="M74" s="1716">
        <f t="shared" ref="M74:M93" si="7">+L74-H74</f>
        <v>-94</v>
      </c>
      <c r="P74">
        <v>751</v>
      </c>
      <c r="Q74">
        <v>1146</v>
      </c>
      <c r="R74">
        <v>911</v>
      </c>
      <c r="S74">
        <v>2432</v>
      </c>
      <c r="T74">
        <v>2866</v>
      </c>
      <c r="U74">
        <v>6064</v>
      </c>
      <c r="V74">
        <v>8465</v>
      </c>
      <c r="W74">
        <v>12592</v>
      </c>
      <c r="X74">
        <v>12331</v>
      </c>
      <c r="Y74">
        <v>3185</v>
      </c>
      <c r="Z74">
        <v>1606</v>
      </c>
      <c r="AA74">
        <v>11948</v>
      </c>
    </row>
    <row r="75" spans="1:27" ht="17.100000000000001" customHeight="1">
      <c r="A75" s="563">
        <v>79</v>
      </c>
      <c r="B75" s="564" t="s">
        <v>426</v>
      </c>
      <c r="C75" s="982">
        <v>3460</v>
      </c>
      <c r="D75" s="982">
        <v>3928</v>
      </c>
      <c r="E75" s="982">
        <v>2712</v>
      </c>
      <c r="F75" s="982">
        <v>1205</v>
      </c>
      <c r="G75" s="982">
        <v>0</v>
      </c>
      <c r="H75" s="982">
        <v>0</v>
      </c>
      <c r="I75" s="565">
        <f t="shared" si="5"/>
        <v>11305</v>
      </c>
      <c r="J75" s="1718">
        <v>45467</v>
      </c>
      <c r="K75" s="792">
        <f t="shared" si="6"/>
        <v>34162</v>
      </c>
      <c r="L75" s="792">
        <v>0</v>
      </c>
      <c r="M75" s="1716">
        <f t="shared" si="7"/>
        <v>0</v>
      </c>
      <c r="P75">
        <v>5458</v>
      </c>
      <c r="Q75">
        <v>5656</v>
      </c>
      <c r="R75">
        <v>3576</v>
      </c>
      <c r="S75">
        <v>6570</v>
      </c>
      <c r="T75">
        <v>3578</v>
      </c>
      <c r="U75">
        <v>4128</v>
      </c>
      <c r="V75">
        <v>3460</v>
      </c>
      <c r="W75">
        <v>3928</v>
      </c>
      <c r="X75">
        <v>2712</v>
      </c>
      <c r="Y75">
        <v>1205</v>
      </c>
      <c r="Z75">
        <v>0</v>
      </c>
      <c r="AA75">
        <v>0</v>
      </c>
    </row>
    <row r="76" spans="1:27" ht="17.100000000000001" customHeight="1">
      <c r="A76" s="563">
        <v>80</v>
      </c>
      <c r="B76" s="564" t="s">
        <v>602</v>
      </c>
      <c r="C76" s="982">
        <v>37911</v>
      </c>
      <c r="D76" s="982">
        <v>47731</v>
      </c>
      <c r="E76" s="982">
        <v>36646</v>
      </c>
      <c r="F76" s="982">
        <v>11777</v>
      </c>
      <c r="G76" s="982">
        <v>4684</v>
      </c>
      <c r="H76" s="982">
        <v>18410</v>
      </c>
      <c r="I76" s="565">
        <f t="shared" si="5"/>
        <v>157159</v>
      </c>
      <c r="J76" s="1718">
        <v>297498</v>
      </c>
      <c r="K76" s="792">
        <f t="shared" si="6"/>
        <v>140339</v>
      </c>
      <c r="L76" s="792">
        <v>21773</v>
      </c>
      <c r="M76" s="1716">
        <f t="shared" si="7"/>
        <v>3363</v>
      </c>
      <c r="P76">
        <v>12359</v>
      </c>
      <c r="Q76">
        <v>18973</v>
      </c>
      <c r="R76">
        <v>14217</v>
      </c>
      <c r="S76">
        <v>27407</v>
      </c>
      <c r="T76">
        <v>16595</v>
      </c>
      <c r="U76">
        <v>23806</v>
      </c>
      <c r="V76">
        <v>37911</v>
      </c>
      <c r="W76">
        <v>47731</v>
      </c>
      <c r="X76">
        <v>36646</v>
      </c>
      <c r="Y76">
        <v>11777</v>
      </c>
      <c r="Z76">
        <v>4684</v>
      </c>
      <c r="AA76">
        <v>18410</v>
      </c>
    </row>
    <row r="77" spans="1:27" ht="17.100000000000001" customHeight="1">
      <c r="A77" s="563">
        <v>81</v>
      </c>
      <c r="B77" s="564" t="s">
        <v>603</v>
      </c>
      <c r="C77" s="982">
        <v>96576</v>
      </c>
      <c r="D77" s="982">
        <v>120506</v>
      </c>
      <c r="E77" s="982">
        <v>96821</v>
      </c>
      <c r="F77" s="982">
        <v>33871</v>
      </c>
      <c r="G77" s="982">
        <v>17257</v>
      </c>
      <c r="H77" s="982">
        <v>45263</v>
      </c>
      <c r="I77" s="565">
        <f t="shared" si="5"/>
        <v>410294</v>
      </c>
      <c r="J77" s="1718">
        <v>718739</v>
      </c>
      <c r="K77" s="792">
        <f t="shared" si="6"/>
        <v>308445</v>
      </c>
      <c r="L77" s="792">
        <v>45379</v>
      </c>
      <c r="M77" s="1716">
        <f t="shared" si="7"/>
        <v>116</v>
      </c>
      <c r="P77">
        <v>23040</v>
      </c>
      <c r="Q77">
        <v>30640</v>
      </c>
      <c r="R77">
        <v>20172</v>
      </c>
      <c r="S77">
        <v>51479</v>
      </c>
      <c r="T77">
        <v>39904</v>
      </c>
      <c r="U77">
        <v>62989</v>
      </c>
      <c r="V77">
        <v>96576</v>
      </c>
      <c r="W77">
        <v>120506</v>
      </c>
      <c r="X77">
        <v>96821</v>
      </c>
      <c r="Y77">
        <v>33871</v>
      </c>
      <c r="Z77">
        <v>17257</v>
      </c>
      <c r="AA77">
        <v>41263</v>
      </c>
    </row>
    <row r="78" spans="1:27" ht="17.100000000000001" customHeight="1">
      <c r="A78" s="563">
        <v>82</v>
      </c>
      <c r="B78" s="564" t="s">
        <v>364</v>
      </c>
      <c r="C78" s="982">
        <v>36118</v>
      </c>
      <c r="D78" s="982">
        <v>47943</v>
      </c>
      <c r="E78" s="982">
        <v>32352</v>
      </c>
      <c r="F78" s="982">
        <v>24977</v>
      </c>
      <c r="G78" s="982">
        <v>11474</v>
      </c>
      <c r="H78" s="982">
        <v>28507</v>
      </c>
      <c r="I78" s="565">
        <f t="shared" si="5"/>
        <v>181371</v>
      </c>
      <c r="J78" s="1718">
        <v>406830</v>
      </c>
      <c r="K78" s="792">
        <f t="shared" si="6"/>
        <v>225459</v>
      </c>
      <c r="L78" s="792">
        <v>27704</v>
      </c>
      <c r="M78" s="1716">
        <f t="shared" si="7"/>
        <v>-803</v>
      </c>
      <c r="P78">
        <v>33870</v>
      </c>
      <c r="Q78">
        <v>33965</v>
      </c>
      <c r="R78">
        <v>20719</v>
      </c>
      <c r="S78">
        <v>40634</v>
      </c>
      <c r="T78">
        <v>25402</v>
      </c>
      <c r="U78">
        <v>34757</v>
      </c>
      <c r="V78">
        <v>36118</v>
      </c>
      <c r="W78">
        <v>47943</v>
      </c>
      <c r="X78">
        <v>32352</v>
      </c>
      <c r="Y78">
        <v>24977</v>
      </c>
      <c r="Z78">
        <v>11474</v>
      </c>
      <c r="AA78">
        <v>28507</v>
      </c>
    </row>
    <row r="79" spans="1:27" ht="17.100000000000001" customHeight="1">
      <c r="A79" s="563">
        <v>84</v>
      </c>
      <c r="B79" s="564" t="s">
        <v>766</v>
      </c>
      <c r="C79" s="982">
        <v>13542</v>
      </c>
      <c r="D79" s="982">
        <v>21645</v>
      </c>
      <c r="E79" s="982">
        <v>16194</v>
      </c>
      <c r="F79" s="982">
        <v>7810</v>
      </c>
      <c r="G79" s="982">
        <v>9835</v>
      </c>
      <c r="H79" s="982">
        <v>11010</v>
      </c>
      <c r="I79" s="565">
        <f t="shared" si="5"/>
        <v>80036</v>
      </c>
      <c r="J79" s="1718">
        <v>77909</v>
      </c>
      <c r="K79" s="792">
        <f t="shared" si="6"/>
        <v>-2127</v>
      </c>
      <c r="L79" s="792">
        <v>19397</v>
      </c>
      <c r="M79" s="1716">
        <f t="shared" si="7"/>
        <v>8387</v>
      </c>
      <c r="P79">
        <v>1560</v>
      </c>
      <c r="Q79">
        <v>2026</v>
      </c>
      <c r="R79">
        <v>1861</v>
      </c>
      <c r="S79">
        <v>5603</v>
      </c>
      <c r="T79">
        <v>5355</v>
      </c>
      <c r="U79">
        <v>7148</v>
      </c>
      <c r="V79">
        <v>13542</v>
      </c>
      <c r="W79">
        <v>21645</v>
      </c>
      <c r="X79">
        <v>16194</v>
      </c>
      <c r="Y79">
        <v>7810</v>
      </c>
      <c r="Z79">
        <v>9835</v>
      </c>
      <c r="AA79">
        <v>11010</v>
      </c>
    </row>
    <row r="80" spans="1:27" ht="17.100000000000001" customHeight="1">
      <c r="A80" s="563">
        <v>86</v>
      </c>
      <c r="B80" s="564" t="s">
        <v>849</v>
      </c>
      <c r="C80" s="982">
        <v>21032</v>
      </c>
      <c r="D80" s="982">
        <v>60869</v>
      </c>
      <c r="E80" s="982">
        <v>58947</v>
      </c>
      <c r="F80" s="982">
        <v>17659</v>
      </c>
      <c r="G80" s="982">
        <v>9836</v>
      </c>
      <c r="H80" s="982">
        <v>12184</v>
      </c>
      <c r="I80" s="565">
        <f t="shared" si="5"/>
        <v>180527</v>
      </c>
      <c r="J80" s="1718">
        <v>289685</v>
      </c>
      <c r="K80" s="792">
        <f t="shared" si="6"/>
        <v>109158</v>
      </c>
      <c r="L80" s="792">
        <v>13410</v>
      </c>
      <c r="M80" s="1716">
        <f t="shared" si="7"/>
        <v>1226</v>
      </c>
      <c r="P80">
        <v>15072</v>
      </c>
      <c r="Q80">
        <v>12216</v>
      </c>
      <c r="R80">
        <v>8030</v>
      </c>
      <c r="S80">
        <v>20854</v>
      </c>
      <c r="T80">
        <v>15854</v>
      </c>
      <c r="U80">
        <v>20265</v>
      </c>
      <c r="V80">
        <v>21032</v>
      </c>
      <c r="W80">
        <v>60869</v>
      </c>
      <c r="X80">
        <v>58947</v>
      </c>
      <c r="Y80">
        <v>17659</v>
      </c>
      <c r="Z80">
        <v>9836</v>
      </c>
      <c r="AA80">
        <v>12184</v>
      </c>
    </row>
    <row r="81" spans="1:27" ht="17.100000000000001" customHeight="1">
      <c r="A81" s="563">
        <v>87</v>
      </c>
      <c r="B81" s="564" t="s">
        <v>654</v>
      </c>
      <c r="C81" s="982">
        <v>4762</v>
      </c>
      <c r="D81" s="982">
        <v>2006</v>
      </c>
      <c r="E81" s="982">
        <v>785</v>
      </c>
      <c r="F81" s="982">
        <v>652</v>
      </c>
      <c r="G81" s="982">
        <v>772</v>
      </c>
      <c r="H81" s="982">
        <v>1284</v>
      </c>
      <c r="I81" s="565">
        <f t="shared" si="5"/>
        <v>10261</v>
      </c>
      <c r="J81" s="1718">
        <v>26528</v>
      </c>
      <c r="K81" s="792">
        <f t="shared" si="6"/>
        <v>16267</v>
      </c>
      <c r="L81" s="792">
        <v>1395</v>
      </c>
      <c r="M81" s="1716">
        <f t="shared" si="7"/>
        <v>111</v>
      </c>
      <c r="P81">
        <v>377</v>
      </c>
      <c r="Q81">
        <v>829</v>
      </c>
      <c r="R81">
        <v>713</v>
      </c>
      <c r="S81">
        <v>3207</v>
      </c>
      <c r="T81">
        <v>3239</v>
      </c>
      <c r="U81">
        <v>5491</v>
      </c>
      <c r="V81">
        <v>4762</v>
      </c>
      <c r="W81">
        <v>2006</v>
      </c>
      <c r="X81">
        <v>785</v>
      </c>
      <c r="Y81">
        <v>652</v>
      </c>
      <c r="Z81">
        <v>772</v>
      </c>
      <c r="AA81">
        <v>1284</v>
      </c>
    </row>
    <row r="82" spans="1:27" ht="17.100000000000001" customHeight="1">
      <c r="A82" s="563">
        <v>88</v>
      </c>
      <c r="B82" s="564" t="s">
        <v>367</v>
      </c>
      <c r="C82" s="982">
        <v>2457</v>
      </c>
      <c r="D82" s="982">
        <v>1394</v>
      </c>
      <c r="E82" s="982">
        <v>1877</v>
      </c>
      <c r="F82" s="982">
        <v>618</v>
      </c>
      <c r="G82" s="982">
        <v>0</v>
      </c>
      <c r="H82" s="982">
        <v>0</v>
      </c>
      <c r="I82" s="565">
        <f t="shared" si="5"/>
        <v>6346</v>
      </c>
      <c r="J82" s="1718">
        <v>47740</v>
      </c>
      <c r="K82" s="792">
        <f t="shared" si="6"/>
        <v>41394</v>
      </c>
      <c r="L82" s="792">
        <v>0</v>
      </c>
      <c r="M82" s="1716">
        <f t="shared" si="7"/>
        <v>0</v>
      </c>
      <c r="P82">
        <v>1353</v>
      </c>
      <c r="Q82">
        <v>5143</v>
      </c>
      <c r="R82">
        <v>5978</v>
      </c>
      <c r="S82">
        <v>13476</v>
      </c>
      <c r="T82">
        <v>7131</v>
      </c>
      <c r="U82">
        <v>4786</v>
      </c>
      <c r="V82">
        <v>2457</v>
      </c>
      <c r="W82">
        <v>1394</v>
      </c>
      <c r="X82">
        <v>1877</v>
      </c>
      <c r="Y82">
        <v>618</v>
      </c>
      <c r="Z82">
        <v>0</v>
      </c>
      <c r="AA82">
        <v>0</v>
      </c>
    </row>
    <row r="83" spans="1:27" ht="17.100000000000001" customHeight="1">
      <c r="A83" s="563">
        <v>90</v>
      </c>
      <c r="B83" s="564" t="s">
        <v>261</v>
      </c>
      <c r="C83" s="982">
        <v>856</v>
      </c>
      <c r="D83" s="982">
        <v>2221</v>
      </c>
      <c r="E83" s="982">
        <v>2007</v>
      </c>
      <c r="F83" s="982">
        <v>0</v>
      </c>
      <c r="G83" s="982">
        <v>0</v>
      </c>
      <c r="H83" s="982">
        <v>0</v>
      </c>
      <c r="I83" s="565">
        <f t="shared" si="5"/>
        <v>5084</v>
      </c>
      <c r="J83" s="1718">
        <v>12638</v>
      </c>
      <c r="K83" s="792">
        <f t="shared" si="6"/>
        <v>7554</v>
      </c>
      <c r="L83" s="792">
        <v>0</v>
      </c>
      <c r="M83" s="1716">
        <f t="shared" si="7"/>
        <v>0</v>
      </c>
      <c r="P83">
        <v>789</v>
      </c>
      <c r="Q83">
        <v>861</v>
      </c>
      <c r="R83">
        <v>723</v>
      </c>
      <c r="S83">
        <v>1652</v>
      </c>
      <c r="T83">
        <v>921</v>
      </c>
      <c r="U83">
        <v>1075</v>
      </c>
      <c r="V83">
        <v>856</v>
      </c>
      <c r="W83">
        <v>2221</v>
      </c>
      <c r="X83">
        <v>2007</v>
      </c>
      <c r="Y83">
        <v>0</v>
      </c>
      <c r="Z83">
        <v>0</v>
      </c>
      <c r="AA83">
        <v>0</v>
      </c>
    </row>
    <row r="84" spans="1:27" ht="17.100000000000001" customHeight="1">
      <c r="A84" s="563">
        <v>91</v>
      </c>
      <c r="B84" s="564" t="s">
        <v>262</v>
      </c>
      <c r="C84" s="982">
        <v>331</v>
      </c>
      <c r="D84" s="982">
        <v>602</v>
      </c>
      <c r="E84" s="982">
        <v>382</v>
      </c>
      <c r="F84" s="982">
        <v>0</v>
      </c>
      <c r="G84" s="982">
        <v>0</v>
      </c>
      <c r="H84" s="982">
        <v>0</v>
      </c>
      <c r="I84" s="565">
        <f t="shared" si="5"/>
        <v>1315</v>
      </c>
      <c r="J84" s="1718">
        <v>2854</v>
      </c>
      <c r="K84" s="792">
        <f t="shared" si="6"/>
        <v>1539</v>
      </c>
      <c r="L84" s="792">
        <v>0</v>
      </c>
      <c r="M84" s="1716">
        <f t="shared" si="7"/>
        <v>0</v>
      </c>
      <c r="P84">
        <v>169</v>
      </c>
      <c r="Q84">
        <v>177</v>
      </c>
      <c r="R84">
        <v>108</v>
      </c>
      <c r="S84">
        <v>327</v>
      </c>
      <c r="T84">
        <v>229</v>
      </c>
      <c r="U84">
        <v>539</v>
      </c>
      <c r="V84">
        <v>331</v>
      </c>
      <c r="W84">
        <v>602</v>
      </c>
      <c r="X84">
        <v>382</v>
      </c>
      <c r="Y84">
        <v>0</v>
      </c>
      <c r="Z84">
        <v>0</v>
      </c>
      <c r="AA84">
        <v>0</v>
      </c>
    </row>
    <row r="85" spans="1:27" ht="17.100000000000001" customHeight="1">
      <c r="A85" s="563">
        <v>92</v>
      </c>
      <c r="B85" s="564" t="s">
        <v>263</v>
      </c>
      <c r="C85" s="982">
        <v>98</v>
      </c>
      <c r="D85" s="982">
        <v>498</v>
      </c>
      <c r="E85" s="982">
        <v>0</v>
      </c>
      <c r="F85" s="982">
        <v>0</v>
      </c>
      <c r="G85" s="982">
        <v>0</v>
      </c>
      <c r="H85" s="982">
        <v>0</v>
      </c>
      <c r="I85" s="565">
        <f t="shared" si="5"/>
        <v>596</v>
      </c>
      <c r="J85" s="1718">
        <v>7859</v>
      </c>
      <c r="K85" s="792">
        <f t="shared" si="6"/>
        <v>7263</v>
      </c>
      <c r="L85" s="792">
        <v>0</v>
      </c>
      <c r="M85" s="1716">
        <f t="shared" si="7"/>
        <v>0</v>
      </c>
      <c r="P85">
        <v>2386</v>
      </c>
      <c r="Q85">
        <v>1065</v>
      </c>
      <c r="R85">
        <v>405</v>
      </c>
      <c r="S85">
        <v>556</v>
      </c>
      <c r="T85">
        <v>408</v>
      </c>
      <c r="U85">
        <v>107</v>
      </c>
      <c r="V85">
        <v>98</v>
      </c>
      <c r="W85">
        <v>498</v>
      </c>
      <c r="X85">
        <v>0</v>
      </c>
      <c r="Y85">
        <v>0</v>
      </c>
      <c r="Z85">
        <v>0</v>
      </c>
      <c r="AA85">
        <v>0</v>
      </c>
    </row>
    <row r="86" spans="1:27" ht="17.100000000000001" customHeight="1">
      <c r="A86" s="563">
        <v>93</v>
      </c>
      <c r="B86" s="564" t="s">
        <v>264</v>
      </c>
      <c r="C86" s="982">
        <v>5048</v>
      </c>
      <c r="D86" s="982">
        <v>2983</v>
      </c>
      <c r="E86" s="982">
        <v>486</v>
      </c>
      <c r="F86" s="982">
        <v>487</v>
      </c>
      <c r="G86" s="982">
        <v>0</v>
      </c>
      <c r="H86" s="982">
        <v>1375</v>
      </c>
      <c r="I86" s="565">
        <f t="shared" si="5"/>
        <v>10379</v>
      </c>
      <c r="J86" s="1718">
        <v>46150</v>
      </c>
      <c r="K86" s="792">
        <f t="shared" si="6"/>
        <v>35771</v>
      </c>
      <c r="L86" s="792">
        <v>1537</v>
      </c>
      <c r="M86" s="1716">
        <f t="shared" si="7"/>
        <v>162</v>
      </c>
      <c r="P86">
        <v>5008</v>
      </c>
      <c r="Q86">
        <v>4280</v>
      </c>
      <c r="R86">
        <v>2924</v>
      </c>
      <c r="S86">
        <v>5938</v>
      </c>
      <c r="T86">
        <v>4301</v>
      </c>
      <c r="U86">
        <v>6757</v>
      </c>
      <c r="V86">
        <v>5048</v>
      </c>
      <c r="W86">
        <v>2983</v>
      </c>
      <c r="X86">
        <v>486</v>
      </c>
      <c r="Y86">
        <v>487</v>
      </c>
      <c r="Z86">
        <v>0</v>
      </c>
      <c r="AA86">
        <v>1375</v>
      </c>
    </row>
    <row r="87" spans="1:27" ht="17.100000000000001" customHeight="1">
      <c r="A87" s="563">
        <v>94</v>
      </c>
      <c r="B87" s="564" t="s">
        <v>0</v>
      </c>
      <c r="C87" s="982">
        <v>5266</v>
      </c>
      <c r="D87" s="982">
        <v>2312</v>
      </c>
      <c r="E87" s="982">
        <v>1426</v>
      </c>
      <c r="F87" s="982">
        <v>0</v>
      </c>
      <c r="G87" s="982">
        <v>0</v>
      </c>
      <c r="H87" s="982">
        <v>0</v>
      </c>
      <c r="I87" s="565">
        <f t="shared" si="5"/>
        <v>9004</v>
      </c>
      <c r="J87" s="1718">
        <v>49035</v>
      </c>
      <c r="K87" s="792">
        <f t="shared" si="6"/>
        <v>40031</v>
      </c>
      <c r="L87" s="792">
        <v>0</v>
      </c>
      <c r="M87" s="1716">
        <f t="shared" si="7"/>
        <v>0</v>
      </c>
      <c r="P87">
        <v>5970</v>
      </c>
      <c r="Q87">
        <v>6659</v>
      </c>
      <c r="R87">
        <v>3668</v>
      </c>
      <c r="S87">
        <v>6108</v>
      </c>
      <c r="T87">
        <v>3841</v>
      </c>
      <c r="U87">
        <v>5055</v>
      </c>
      <c r="V87">
        <v>5266</v>
      </c>
      <c r="W87">
        <v>2312</v>
      </c>
      <c r="X87">
        <v>1426</v>
      </c>
      <c r="Y87">
        <v>0</v>
      </c>
      <c r="Z87">
        <v>0</v>
      </c>
      <c r="AA87">
        <v>0</v>
      </c>
    </row>
    <row r="88" spans="1:27" ht="17.100000000000001" customHeight="1">
      <c r="A88" s="563">
        <v>95</v>
      </c>
      <c r="B88" s="564" t="s">
        <v>25</v>
      </c>
      <c r="C88" s="982">
        <v>4148</v>
      </c>
      <c r="D88" s="982">
        <v>5483</v>
      </c>
      <c r="E88" s="982">
        <v>4727</v>
      </c>
      <c r="F88" s="982">
        <v>3925</v>
      </c>
      <c r="G88" s="982">
        <v>1606</v>
      </c>
      <c r="H88" s="982">
        <v>0</v>
      </c>
      <c r="I88" s="565">
        <f t="shared" si="5"/>
        <v>19889</v>
      </c>
      <c r="J88" s="1718">
        <v>63035</v>
      </c>
      <c r="K88" s="792">
        <f t="shared" si="6"/>
        <v>43146</v>
      </c>
      <c r="L88" s="792">
        <v>0</v>
      </c>
      <c r="M88" s="1716">
        <f t="shared" si="7"/>
        <v>0</v>
      </c>
      <c r="P88">
        <v>7546</v>
      </c>
      <c r="Q88">
        <v>7034</v>
      </c>
      <c r="R88">
        <v>4221</v>
      </c>
      <c r="S88">
        <v>10727</v>
      </c>
      <c r="T88">
        <v>6110</v>
      </c>
      <c r="U88">
        <v>5532</v>
      </c>
      <c r="V88">
        <v>4148</v>
      </c>
      <c r="W88">
        <v>5483</v>
      </c>
      <c r="X88">
        <v>4727</v>
      </c>
      <c r="Y88">
        <v>3925</v>
      </c>
      <c r="Z88">
        <v>1606</v>
      </c>
      <c r="AA88">
        <v>0</v>
      </c>
    </row>
    <row r="89" spans="1:27" ht="17.100000000000001" customHeight="1">
      <c r="A89" s="563">
        <v>96</v>
      </c>
      <c r="B89" s="564" t="s">
        <v>229</v>
      </c>
      <c r="C89" s="982">
        <v>5457</v>
      </c>
      <c r="D89" s="982">
        <v>5947</v>
      </c>
      <c r="E89" s="982">
        <v>4896</v>
      </c>
      <c r="F89" s="982">
        <v>1499</v>
      </c>
      <c r="G89" s="982">
        <v>698</v>
      </c>
      <c r="H89" s="982">
        <v>0</v>
      </c>
      <c r="I89" s="565">
        <f t="shared" si="5"/>
        <v>18497</v>
      </c>
      <c r="J89" s="1718">
        <v>102339</v>
      </c>
      <c r="K89" s="792">
        <f t="shared" si="6"/>
        <v>83842</v>
      </c>
      <c r="L89" s="792">
        <v>0</v>
      </c>
      <c r="M89" s="1716">
        <f t="shared" si="7"/>
        <v>0</v>
      </c>
      <c r="P89">
        <v>19036</v>
      </c>
      <c r="Q89">
        <v>15840</v>
      </c>
      <c r="R89">
        <v>8737</v>
      </c>
      <c r="S89">
        <v>13226</v>
      </c>
      <c r="T89">
        <v>5369</v>
      </c>
      <c r="U89">
        <v>5759</v>
      </c>
      <c r="V89">
        <v>5457</v>
      </c>
      <c r="W89">
        <v>5947</v>
      </c>
      <c r="X89">
        <v>4896</v>
      </c>
      <c r="Y89">
        <v>1499</v>
      </c>
      <c r="Z89">
        <v>698</v>
      </c>
      <c r="AA89">
        <v>0</v>
      </c>
    </row>
    <row r="90" spans="1:27" ht="17.100000000000001" customHeight="1">
      <c r="A90" s="563">
        <v>97</v>
      </c>
      <c r="B90" s="564" t="s">
        <v>853</v>
      </c>
      <c r="C90" s="982">
        <v>0</v>
      </c>
      <c r="D90" s="982">
        <v>0</v>
      </c>
      <c r="E90" s="982">
        <v>0</v>
      </c>
      <c r="F90" s="982">
        <v>0</v>
      </c>
      <c r="G90" s="982">
        <v>0</v>
      </c>
      <c r="H90" s="982">
        <v>0</v>
      </c>
      <c r="I90" s="565">
        <f t="shared" si="5"/>
        <v>0</v>
      </c>
      <c r="J90" s="1718">
        <v>20771</v>
      </c>
      <c r="K90" s="792">
        <f t="shared" si="6"/>
        <v>20771</v>
      </c>
      <c r="L90" s="792">
        <v>0</v>
      </c>
      <c r="M90" s="1716">
        <f t="shared" si="7"/>
        <v>0</v>
      </c>
      <c r="P90">
        <v>2099</v>
      </c>
      <c r="Q90">
        <v>924</v>
      </c>
      <c r="R90">
        <v>209</v>
      </c>
      <c r="S90">
        <v>252</v>
      </c>
      <c r="T90">
        <v>20</v>
      </c>
      <c r="U90">
        <v>32</v>
      </c>
      <c r="V90">
        <v>0</v>
      </c>
      <c r="W90">
        <v>0</v>
      </c>
      <c r="X90">
        <v>0</v>
      </c>
      <c r="Y90">
        <v>0</v>
      </c>
      <c r="Z90">
        <v>0</v>
      </c>
      <c r="AA90">
        <v>0</v>
      </c>
    </row>
    <row r="91" spans="1:27" ht="17.100000000000001" customHeight="1">
      <c r="A91" s="563">
        <v>98</v>
      </c>
      <c r="B91" s="564" t="s">
        <v>854</v>
      </c>
      <c r="C91" s="982">
        <v>0</v>
      </c>
      <c r="D91" s="982">
        <v>0</v>
      </c>
      <c r="E91" s="982">
        <v>0</v>
      </c>
      <c r="F91" s="982">
        <v>599</v>
      </c>
      <c r="G91" s="982">
        <v>0</v>
      </c>
      <c r="H91" s="982">
        <v>0</v>
      </c>
      <c r="I91" s="565">
        <f t="shared" si="5"/>
        <v>599</v>
      </c>
      <c r="J91" s="1718">
        <v>1592</v>
      </c>
      <c r="K91" s="792">
        <f t="shared" si="6"/>
        <v>993</v>
      </c>
      <c r="L91" s="792">
        <v>0</v>
      </c>
      <c r="M91" s="1716">
        <f t="shared" si="7"/>
        <v>0</v>
      </c>
      <c r="P91">
        <v>111</v>
      </c>
      <c r="Q91">
        <v>122</v>
      </c>
      <c r="R91">
        <v>73</v>
      </c>
      <c r="S91">
        <v>72</v>
      </c>
      <c r="T91">
        <v>48</v>
      </c>
      <c r="U91">
        <v>125</v>
      </c>
      <c r="V91">
        <v>0</v>
      </c>
      <c r="W91">
        <v>0</v>
      </c>
      <c r="X91">
        <v>0</v>
      </c>
      <c r="Y91">
        <v>599</v>
      </c>
      <c r="Z91">
        <v>0</v>
      </c>
      <c r="AA91">
        <v>0</v>
      </c>
    </row>
    <row r="92" spans="1:27" ht="17.100000000000001" customHeight="1">
      <c r="A92" s="566">
        <v>99</v>
      </c>
      <c r="B92" s="567" t="s">
        <v>855</v>
      </c>
      <c r="C92" s="982">
        <v>694</v>
      </c>
      <c r="D92" s="982">
        <v>262</v>
      </c>
      <c r="E92" s="982">
        <v>274</v>
      </c>
      <c r="F92" s="982">
        <v>0</v>
      </c>
      <c r="G92" s="982">
        <v>0</v>
      </c>
      <c r="H92" s="982">
        <v>0</v>
      </c>
      <c r="I92" s="704">
        <f t="shared" si="5"/>
        <v>1230</v>
      </c>
      <c r="J92" s="1718">
        <v>4038</v>
      </c>
      <c r="K92" s="792">
        <f t="shared" si="6"/>
        <v>2808</v>
      </c>
      <c r="L92" s="792">
        <v>0</v>
      </c>
      <c r="M92" s="1716">
        <f t="shared" si="7"/>
        <v>0</v>
      </c>
      <c r="P92">
        <v>234</v>
      </c>
      <c r="Q92">
        <v>388</v>
      </c>
      <c r="R92">
        <v>320</v>
      </c>
      <c r="S92">
        <v>807</v>
      </c>
      <c r="T92">
        <v>273</v>
      </c>
      <c r="U92">
        <v>431</v>
      </c>
      <c r="V92">
        <v>694</v>
      </c>
      <c r="W92">
        <v>262</v>
      </c>
      <c r="X92">
        <v>274</v>
      </c>
      <c r="Y92">
        <v>0</v>
      </c>
      <c r="Z92">
        <v>0</v>
      </c>
      <c r="AA92">
        <v>0</v>
      </c>
    </row>
    <row r="93" spans="1:27" ht="15" customHeight="1" thickBot="1">
      <c r="A93" s="2011" t="s">
        <v>885</v>
      </c>
      <c r="B93" s="2012"/>
      <c r="C93" s="555">
        <f t="shared" ref="C93:I93" si="8">SUM(C6:C92)</f>
        <v>1209960</v>
      </c>
      <c r="D93" s="555">
        <f t="shared" si="8"/>
        <v>1562265</v>
      </c>
      <c r="E93" s="555">
        <f t="shared" si="8"/>
        <v>1017739</v>
      </c>
      <c r="F93" s="555">
        <f t="shared" si="8"/>
        <v>444114</v>
      </c>
      <c r="G93" s="555">
        <f t="shared" si="8"/>
        <v>245180</v>
      </c>
      <c r="H93" s="555">
        <f t="shared" si="8"/>
        <v>779742</v>
      </c>
      <c r="I93" s="568">
        <f t="shared" si="8"/>
        <v>5259000</v>
      </c>
      <c r="L93" s="792"/>
      <c r="M93" s="1716">
        <f t="shared" si="7"/>
        <v>-779742</v>
      </c>
    </row>
    <row r="96" spans="1:27">
      <c r="C96">
        <v>1313435</v>
      </c>
      <c r="D96" s="14">
        <v>1780640</v>
      </c>
      <c r="E96" s="14">
        <v>1251453</v>
      </c>
      <c r="F96">
        <v>580873</v>
      </c>
      <c r="G96">
        <v>301063</v>
      </c>
      <c r="H96" s="14">
        <v>981085</v>
      </c>
    </row>
    <row r="97" spans="3:8">
      <c r="C97" s="1717">
        <f t="shared" ref="C97:H97" si="9">+C96-C93</f>
        <v>103475</v>
      </c>
      <c r="D97" s="1717">
        <f t="shared" si="9"/>
        <v>218375</v>
      </c>
      <c r="E97" s="1717">
        <f t="shared" si="9"/>
        <v>233714</v>
      </c>
      <c r="F97" s="1717">
        <f t="shared" si="9"/>
        <v>136759</v>
      </c>
      <c r="G97" s="1717">
        <f t="shared" si="9"/>
        <v>55883</v>
      </c>
      <c r="H97" s="1717">
        <f t="shared" si="9"/>
        <v>201343</v>
      </c>
    </row>
    <row r="99" spans="3:8">
      <c r="C99">
        <v>69984</v>
      </c>
      <c r="D99" s="14">
        <v>75386</v>
      </c>
      <c r="E99" s="14">
        <v>37433</v>
      </c>
      <c r="F99">
        <v>14689</v>
      </c>
      <c r="G99">
        <v>6603</v>
      </c>
      <c r="H99" s="14">
        <v>16954</v>
      </c>
    </row>
  </sheetData>
  <mergeCells count="8">
    <mergeCell ref="A93:B93"/>
    <mergeCell ref="A1:I1"/>
    <mergeCell ref="G2:I2"/>
    <mergeCell ref="A3:A5"/>
    <mergeCell ref="B3:B5"/>
    <mergeCell ref="C3:H3"/>
    <mergeCell ref="I3:I5"/>
    <mergeCell ref="C4:H4"/>
  </mergeCells>
  <printOptions horizontalCentered="1" verticalCentered="1"/>
  <pageMargins left="0.31496062992125984" right="0" top="0.19685039370078741" bottom="0.19685039370078741" header="0.31496062992125984" footer="0.31496062992125984"/>
  <pageSetup paperSize="9" scale="5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ayfa6">
    <tabColor theme="0" tint="-0.14999847407452621"/>
  </sheetPr>
  <dimension ref="A1:L64"/>
  <sheetViews>
    <sheetView showGridLines="0" zoomScaleNormal="100" workbookViewId="0"/>
  </sheetViews>
  <sheetFormatPr defaultRowHeight="12.75"/>
  <cols>
    <col min="1" max="1" width="41" style="17" customWidth="1"/>
    <col min="2" max="2" width="16.85546875" style="17" customWidth="1"/>
    <col min="3" max="3" width="3.140625" style="17" customWidth="1"/>
    <col min="4" max="4" width="20.7109375" style="17" customWidth="1"/>
    <col min="5" max="5" width="19.42578125" style="29" customWidth="1"/>
    <col min="6" max="6" width="10.28515625" style="29" bestFit="1" customWidth="1"/>
    <col min="7" max="7" width="15.5703125" style="29" customWidth="1"/>
    <col min="8" max="8" width="10.28515625" style="29" bestFit="1" customWidth="1"/>
    <col min="9" max="9" width="11.85546875" style="570" bestFit="1" customWidth="1"/>
    <col min="10" max="10" width="9.140625" style="570"/>
    <col min="11" max="11" width="12.7109375" style="570" customWidth="1"/>
    <col min="12" max="16384" width="9.140625" style="17"/>
  </cols>
  <sheetData>
    <row r="1" spans="1:11" ht="15">
      <c r="A1" s="54" t="s">
        <v>909</v>
      </c>
      <c r="E1" s="235"/>
    </row>
    <row r="2" spans="1:11">
      <c r="A2" s="75" t="s">
        <v>910</v>
      </c>
      <c r="B2" s="18"/>
      <c r="D2" s="17" t="s">
        <v>729</v>
      </c>
    </row>
    <row r="3" spans="1:11" ht="11.25" customHeight="1" thickBot="1">
      <c r="A3" s="236"/>
      <c r="B3" s="8"/>
      <c r="C3" s="8"/>
      <c r="D3" s="237"/>
      <c r="E3" s="10"/>
    </row>
    <row r="4" spans="1:11" ht="25.5" customHeight="1">
      <c r="A4" s="238" t="s">
        <v>911</v>
      </c>
      <c r="B4" s="239" t="s">
        <v>912</v>
      </c>
      <c r="C4" s="239"/>
      <c r="D4" s="240" t="s">
        <v>913</v>
      </c>
      <c r="E4" s="10"/>
    </row>
    <row r="5" spans="1:11" s="9" customFormat="1" ht="16.5" customHeight="1" thickBot="1">
      <c r="A5" s="241" t="s">
        <v>914</v>
      </c>
      <c r="B5" s="242" t="s">
        <v>915</v>
      </c>
      <c r="C5" s="243"/>
      <c r="D5" s="244" t="s">
        <v>916</v>
      </c>
      <c r="E5" s="10"/>
      <c r="F5" s="10"/>
      <c r="G5" s="10"/>
      <c r="H5" s="10"/>
      <c r="I5" s="702"/>
      <c r="J5" s="702"/>
      <c r="K5" s="702"/>
    </row>
    <row r="6" spans="1:11" s="9" customFormat="1" ht="20.100000000000001" customHeight="1">
      <c r="A6" s="245" t="s">
        <v>917</v>
      </c>
      <c r="B6" s="246">
        <v>321</v>
      </c>
      <c r="C6" s="247"/>
      <c r="D6" s="248">
        <f>B6/B17</f>
        <v>1.1568818250621688E-2</v>
      </c>
      <c r="E6" s="261"/>
      <c r="F6" s="10"/>
      <c r="G6" s="10"/>
      <c r="H6" s="10"/>
      <c r="I6" s="702"/>
      <c r="J6" s="702"/>
      <c r="K6" s="702"/>
    </row>
    <row r="7" spans="1:11" s="9" customFormat="1" ht="21" customHeight="1">
      <c r="A7" s="249" t="s">
        <v>918</v>
      </c>
      <c r="B7" s="246">
        <v>6196</v>
      </c>
      <c r="C7" s="250"/>
      <c r="D7" s="251">
        <f>B7/B17</f>
        <v>0.22330342018957006</v>
      </c>
      <c r="E7" s="261"/>
      <c r="F7" s="10"/>
      <c r="G7" s="10"/>
      <c r="H7" s="10"/>
      <c r="I7" s="702"/>
      <c r="J7" s="702"/>
      <c r="K7" s="702"/>
    </row>
    <row r="8" spans="1:11" s="9" customFormat="1" ht="22.5" customHeight="1">
      <c r="A8" s="249" t="s">
        <v>919</v>
      </c>
      <c r="B8" s="252">
        <f>+B9+B11+B13+B15</f>
        <v>21230</v>
      </c>
      <c r="C8" s="253"/>
      <c r="D8" s="251">
        <f>B8/B17</f>
        <v>0.76512776155980822</v>
      </c>
      <c r="E8" s="261"/>
      <c r="F8" s="10"/>
      <c r="G8" s="10"/>
      <c r="H8" s="10"/>
      <c r="I8" s="702"/>
      <c r="J8" s="702"/>
      <c r="K8" s="702"/>
    </row>
    <row r="9" spans="1:11" s="9" customFormat="1" ht="15.75" customHeight="1">
      <c r="A9" s="254" t="s">
        <v>920</v>
      </c>
      <c r="B9" s="255">
        <v>3982</v>
      </c>
      <c r="C9" s="256"/>
      <c r="D9" s="257"/>
      <c r="E9" s="261"/>
      <c r="F9" s="10"/>
      <c r="G9" s="10"/>
      <c r="H9" s="10"/>
      <c r="I9" s="702"/>
      <c r="J9" s="702"/>
      <c r="K9" s="702"/>
    </row>
    <row r="10" spans="1:11" s="9" customFormat="1" ht="11.25" customHeight="1">
      <c r="A10" s="258" t="s">
        <v>921</v>
      </c>
      <c r="B10" s="246"/>
      <c r="C10" s="259"/>
      <c r="D10" s="260"/>
      <c r="E10" s="261"/>
      <c r="F10" s="10"/>
      <c r="G10" s="10"/>
      <c r="H10" s="10"/>
      <c r="I10" s="702"/>
      <c r="J10" s="702"/>
      <c r="K10" s="702"/>
    </row>
    <row r="11" spans="1:11" s="9" customFormat="1" ht="20.100000000000001" customHeight="1">
      <c r="A11" s="254" t="s">
        <v>922</v>
      </c>
      <c r="B11" s="255">
        <v>16960</v>
      </c>
      <c r="C11" s="256"/>
      <c r="D11" s="257"/>
      <c r="E11" s="261"/>
      <c r="F11" s="11" t="s">
        <v>729</v>
      </c>
      <c r="G11" s="10"/>
      <c r="H11" s="10"/>
      <c r="I11" s="702"/>
      <c r="J11" s="702"/>
      <c r="K11" s="702"/>
    </row>
    <row r="12" spans="1:11" s="9" customFormat="1" ht="12" customHeight="1">
      <c r="A12" s="262" t="s">
        <v>923</v>
      </c>
      <c r="B12" s="246"/>
      <c r="C12" s="259"/>
      <c r="D12" s="260"/>
      <c r="E12" s="261"/>
      <c r="F12" s="10"/>
      <c r="G12" s="10"/>
      <c r="H12" s="10"/>
      <c r="I12" s="702"/>
      <c r="J12" s="702"/>
      <c r="K12" s="702"/>
    </row>
    <row r="13" spans="1:11" s="9" customFormat="1" ht="20.100000000000001" customHeight="1">
      <c r="A13" s="254" t="s">
        <v>924</v>
      </c>
      <c r="B13" s="255">
        <v>280</v>
      </c>
      <c r="C13" s="256"/>
      <c r="D13" s="257"/>
      <c r="E13" s="261"/>
      <c r="F13" s="11"/>
      <c r="G13" s="10"/>
      <c r="H13" s="10"/>
      <c r="I13" s="702"/>
      <c r="J13" s="702"/>
      <c r="K13" s="702"/>
    </row>
    <row r="14" spans="1:11" s="9" customFormat="1" ht="12" customHeight="1">
      <c r="A14" s="262" t="s">
        <v>925</v>
      </c>
      <c r="B14" s="263"/>
      <c r="C14" s="259"/>
      <c r="D14" s="260"/>
      <c r="E14" s="261"/>
      <c r="F14" s="10"/>
      <c r="G14" s="10"/>
      <c r="H14" s="10"/>
      <c r="I14" s="702"/>
      <c r="J14" s="702"/>
      <c r="K14" s="702"/>
    </row>
    <row r="15" spans="1:11" s="9" customFormat="1" ht="20.100000000000001" customHeight="1">
      <c r="A15" s="254" t="s">
        <v>926</v>
      </c>
      <c r="B15" s="255">
        <v>8</v>
      </c>
      <c r="C15" s="256"/>
      <c r="D15" s="257"/>
      <c r="E15" s="261"/>
      <c r="F15" s="10"/>
      <c r="G15" s="10"/>
      <c r="H15" s="10"/>
      <c r="I15" s="702"/>
      <c r="J15" s="702"/>
      <c r="K15" s="702"/>
    </row>
    <row r="16" spans="1:11" s="9" customFormat="1" ht="15.75" customHeight="1">
      <c r="A16" s="262" t="s">
        <v>927</v>
      </c>
      <c r="B16" s="246"/>
      <c r="C16" s="259"/>
      <c r="D16" s="260"/>
      <c r="E16" s="261"/>
      <c r="F16" s="10"/>
      <c r="G16" s="10"/>
      <c r="H16" s="10"/>
      <c r="I16" s="702"/>
      <c r="J16" s="702"/>
      <c r="K16" s="702"/>
    </row>
    <row r="17" spans="1:12" s="9" customFormat="1" ht="20.100000000000001" customHeight="1" thickBot="1">
      <c r="A17" s="264" t="s">
        <v>928</v>
      </c>
      <c r="B17" s="265">
        <f>+B8+B7+B6</f>
        <v>27747</v>
      </c>
      <c r="C17" s="266"/>
      <c r="D17" s="267">
        <f>SUM(D6:D8)</f>
        <v>1</v>
      </c>
      <c r="E17" s="261"/>
      <c r="F17" s="10"/>
      <c r="G17" s="11"/>
      <c r="H17" s="11"/>
      <c r="I17" s="702"/>
      <c r="J17" s="702"/>
      <c r="K17" s="702"/>
    </row>
    <row r="18" spans="1:12" s="9" customFormat="1">
      <c r="D18" s="20" t="s">
        <v>729</v>
      </c>
      <c r="E18" s="11"/>
      <c r="F18" s="10"/>
      <c r="G18" s="10"/>
      <c r="H18" s="10"/>
      <c r="I18" s="702"/>
      <c r="J18" s="702"/>
      <c r="K18" s="702"/>
    </row>
    <row r="19" spans="1:12" s="9" customFormat="1" ht="15">
      <c r="A19" s="268" t="s">
        <v>929</v>
      </c>
      <c r="E19" s="11"/>
      <c r="F19" s="10"/>
      <c r="G19" s="10"/>
      <c r="H19" s="10"/>
      <c r="I19" s="702"/>
      <c r="J19" s="702"/>
      <c r="K19" s="702"/>
    </row>
    <row r="20" spans="1:12" s="9" customFormat="1">
      <c r="A20" s="269" t="s">
        <v>930</v>
      </c>
      <c r="D20" s="20"/>
      <c r="E20" s="10"/>
      <c r="F20" s="10"/>
      <c r="G20" s="10"/>
      <c r="H20" s="10"/>
      <c r="I20" s="702"/>
      <c r="J20" s="702"/>
      <c r="K20" s="702"/>
    </row>
    <row r="21" spans="1:12" s="9" customFormat="1" ht="16.5" customHeight="1" thickBot="1">
      <c r="A21" s="19"/>
      <c r="D21" s="20"/>
      <c r="E21" s="10"/>
      <c r="F21" s="10"/>
      <c r="G21" s="10"/>
      <c r="H21" s="10"/>
      <c r="I21" s="702"/>
      <c r="J21" s="702"/>
      <c r="K21" s="702"/>
    </row>
    <row r="22" spans="1:12" s="9" customFormat="1" ht="25.5">
      <c r="A22" s="238" t="s">
        <v>952</v>
      </c>
      <c r="B22" s="239" t="s">
        <v>912</v>
      </c>
      <c r="C22" s="239"/>
      <c r="D22" s="240" t="s">
        <v>913</v>
      </c>
      <c r="E22" s="10"/>
      <c r="F22" s="10"/>
      <c r="G22" s="10"/>
      <c r="H22" s="10"/>
      <c r="I22" s="702"/>
      <c r="J22" s="702"/>
      <c r="K22" s="702"/>
    </row>
    <row r="23" spans="1:12" s="9" customFormat="1" ht="30" customHeight="1" thickBot="1">
      <c r="A23" s="270" t="s">
        <v>953</v>
      </c>
      <c r="B23" s="271" t="s">
        <v>931</v>
      </c>
      <c r="C23" s="243"/>
      <c r="D23" s="272" t="s">
        <v>932</v>
      </c>
      <c r="E23" s="10"/>
      <c r="F23" s="10"/>
      <c r="G23" s="10"/>
      <c r="H23" s="10"/>
      <c r="I23" s="702"/>
      <c r="J23" s="702"/>
      <c r="K23" s="702"/>
    </row>
    <row r="24" spans="1:12" s="9" customFormat="1" ht="18" customHeight="1">
      <c r="A24" s="274" t="s">
        <v>933</v>
      </c>
      <c r="B24" s="275">
        <v>3216.8571428571427</v>
      </c>
      <c r="C24" s="276"/>
      <c r="D24" s="277">
        <f t="shared" ref="D24:D30" si="0">B24/$B$31</f>
        <v>0.11593531347018209</v>
      </c>
      <c r="E24" s="602"/>
      <c r="F24" s="10"/>
      <c r="G24" s="926"/>
      <c r="H24" s="10"/>
      <c r="I24" s="833"/>
      <c r="J24" s="702"/>
      <c r="K24" s="702"/>
    </row>
    <row r="25" spans="1:12" s="9" customFormat="1" ht="18" customHeight="1">
      <c r="A25" s="278" t="s">
        <v>1092</v>
      </c>
      <c r="B25" s="275">
        <v>6919.8571428571431</v>
      </c>
      <c r="C25" s="279"/>
      <c r="D25" s="280">
        <f t="shared" si="0"/>
        <v>0.24939118257314816</v>
      </c>
      <c r="E25" s="602"/>
      <c r="F25" s="10"/>
      <c r="G25" s="926"/>
      <c r="H25" s="10"/>
      <c r="I25" s="833"/>
      <c r="J25" s="702"/>
      <c r="K25" s="702"/>
    </row>
    <row r="26" spans="1:12" s="9" customFormat="1" ht="18" customHeight="1">
      <c r="A26" s="278" t="s">
        <v>1093</v>
      </c>
      <c r="B26" s="275">
        <v>1588.8571428571429</v>
      </c>
      <c r="C26" s="279"/>
      <c r="D26" s="280">
        <f t="shared" si="0"/>
        <v>5.7262303775440324E-2</v>
      </c>
      <c r="E26" s="602"/>
      <c r="F26" s="10"/>
      <c r="G26" s="926"/>
      <c r="H26" s="10"/>
      <c r="I26" s="833"/>
      <c r="J26" s="702"/>
      <c r="K26" s="702"/>
    </row>
    <row r="27" spans="1:12" s="9" customFormat="1" ht="18" customHeight="1">
      <c r="A27" s="278" t="s">
        <v>1094</v>
      </c>
      <c r="B27" s="275">
        <v>5505.8571428571431</v>
      </c>
      <c r="C27" s="279"/>
      <c r="D27" s="280">
        <f t="shared" si="0"/>
        <v>0.19843071837882087</v>
      </c>
      <c r="E27" s="602"/>
      <c r="F27" s="10"/>
      <c r="G27" s="926"/>
      <c r="H27" s="10"/>
      <c r="I27" s="833"/>
      <c r="J27" s="702"/>
      <c r="K27" s="702"/>
    </row>
    <row r="28" spans="1:12" s="9" customFormat="1" ht="18" customHeight="1">
      <c r="A28" s="278" t="s">
        <v>1095</v>
      </c>
      <c r="B28" s="275">
        <v>4318.8571428571431</v>
      </c>
      <c r="C28" s="279"/>
      <c r="D28" s="280">
        <f t="shared" si="0"/>
        <v>0.15565131880409205</v>
      </c>
      <c r="E28" s="602"/>
      <c r="F28" s="10"/>
      <c r="G28" s="926"/>
      <c r="H28" s="10"/>
      <c r="I28" s="833"/>
      <c r="J28" s="702"/>
      <c r="K28" s="702"/>
    </row>
    <row r="29" spans="1:12" s="9" customFormat="1" ht="18" customHeight="1">
      <c r="A29" s="278" t="s">
        <v>1096</v>
      </c>
      <c r="B29" s="275">
        <v>4151.8571428571431</v>
      </c>
      <c r="C29" s="279"/>
      <c r="D29" s="280">
        <f t="shared" si="0"/>
        <v>0.14963265011918919</v>
      </c>
      <c r="E29" s="602"/>
      <c r="F29" s="10"/>
      <c r="G29" s="926"/>
      <c r="H29" s="10"/>
      <c r="I29" s="833"/>
      <c r="J29" s="702"/>
      <c r="K29" s="702"/>
    </row>
    <row r="30" spans="1:12" s="9" customFormat="1" ht="18" customHeight="1">
      <c r="A30" s="278" t="s">
        <v>1097</v>
      </c>
      <c r="B30" s="275">
        <v>2044.8571428571429</v>
      </c>
      <c r="C30" s="279"/>
      <c r="D30" s="280">
        <f t="shared" si="0"/>
        <v>7.3696512879127207E-2</v>
      </c>
      <c r="E30" s="602"/>
      <c r="F30" s="10"/>
      <c r="G30" s="926"/>
      <c r="H30" s="10"/>
      <c r="I30" s="833"/>
      <c r="J30" s="702"/>
      <c r="K30" s="702"/>
    </row>
    <row r="31" spans="1:12" s="9" customFormat="1" ht="16.5" customHeight="1" thickBot="1">
      <c r="A31" s="988" t="s">
        <v>928</v>
      </c>
      <c r="B31" s="281">
        <f>SUM(B24:B30)</f>
        <v>27747.000000000004</v>
      </c>
      <c r="C31" s="282"/>
      <c r="D31" s="283">
        <f>SUM(D24:D30)</f>
        <v>0.99999999999999978</v>
      </c>
      <c r="E31" s="602"/>
      <c r="F31" s="11"/>
      <c r="G31" s="10"/>
      <c r="H31" s="10"/>
      <c r="I31" s="702"/>
      <c r="J31" s="702"/>
      <c r="K31" s="702"/>
    </row>
    <row r="32" spans="1:12" s="9" customFormat="1">
      <c r="E32" s="10"/>
      <c r="F32" s="29" t="s">
        <v>729</v>
      </c>
      <c r="G32" s="10"/>
      <c r="H32" s="10"/>
      <c r="I32" s="702"/>
      <c r="J32" s="702"/>
      <c r="K32" s="702"/>
      <c r="L32" s="10"/>
    </row>
    <row r="33" spans="1:11" s="273" customFormat="1">
      <c r="A33" s="285" t="s">
        <v>934</v>
      </c>
      <c r="E33" s="286"/>
      <c r="F33" s="29"/>
      <c r="G33" s="320"/>
      <c r="H33" s="320"/>
      <c r="I33" s="834"/>
      <c r="J33" s="834"/>
      <c r="K33" s="833"/>
    </row>
    <row r="34" spans="1:11" s="273" customFormat="1" ht="13.5" thickBot="1">
      <c r="A34" s="287" t="s">
        <v>935</v>
      </c>
      <c r="B34" s="288"/>
      <c r="C34" s="288"/>
      <c r="D34" s="288"/>
      <c r="E34" s="320"/>
      <c r="F34" s="29"/>
      <c r="G34" s="927"/>
      <c r="H34" s="927"/>
      <c r="I34" s="834"/>
      <c r="J34" s="834"/>
      <c r="K34" s="833"/>
    </row>
    <row r="35" spans="1:11" s="273" customFormat="1">
      <c r="A35" s="289" t="s">
        <v>936</v>
      </c>
      <c r="B35" s="290" t="s">
        <v>449</v>
      </c>
      <c r="C35" s="291"/>
      <c r="D35" s="290" t="s">
        <v>448</v>
      </c>
      <c r="E35" s="292" t="s">
        <v>692</v>
      </c>
      <c r="F35" s="29"/>
      <c r="G35" s="927"/>
      <c r="H35" s="927"/>
      <c r="I35" s="834"/>
      <c r="J35" s="834"/>
      <c r="K35" s="833"/>
    </row>
    <row r="36" spans="1:11" s="273" customFormat="1" ht="13.5" thickBot="1">
      <c r="A36" s="241" t="s">
        <v>937</v>
      </c>
      <c r="B36" s="293" t="s">
        <v>838</v>
      </c>
      <c r="C36" s="294"/>
      <c r="D36" s="295" t="s">
        <v>168</v>
      </c>
      <c r="E36" s="296" t="s">
        <v>879</v>
      </c>
      <c r="F36" s="29"/>
      <c r="G36" s="927"/>
      <c r="H36" s="927"/>
      <c r="I36" s="834"/>
      <c r="J36" s="834"/>
      <c r="K36" s="833"/>
    </row>
    <row r="37" spans="1:11" s="273" customFormat="1" ht="18" customHeight="1">
      <c r="A37" s="297" t="s">
        <v>938</v>
      </c>
      <c r="B37" s="298">
        <v>160</v>
      </c>
      <c r="C37" s="299"/>
      <c r="D37" s="298">
        <v>131</v>
      </c>
      <c r="E37" s="928">
        <f>+D37+B37</f>
        <v>291</v>
      </c>
      <c r="F37" s="930"/>
      <c r="G37" s="931"/>
      <c r="H37" s="931"/>
      <c r="I37" s="834"/>
      <c r="J37" s="834"/>
      <c r="K37" s="833"/>
    </row>
    <row r="38" spans="1:11" s="273" customFormat="1" ht="18" customHeight="1">
      <c r="A38" s="278" t="s">
        <v>939</v>
      </c>
      <c r="B38" s="298">
        <v>1450</v>
      </c>
      <c r="C38" s="300"/>
      <c r="D38" s="298">
        <v>1647</v>
      </c>
      <c r="E38" s="928">
        <f>+D38+B38</f>
        <v>3097</v>
      </c>
      <c r="F38" s="930"/>
      <c r="G38" s="931"/>
      <c r="H38" s="931"/>
      <c r="I38" s="834"/>
      <c r="J38" s="834"/>
      <c r="K38" s="833"/>
    </row>
    <row r="39" spans="1:11" s="273" customFormat="1" ht="18" customHeight="1">
      <c r="A39" s="278" t="s">
        <v>940</v>
      </c>
      <c r="B39" s="301">
        <v>3001</v>
      </c>
      <c r="C39" s="300"/>
      <c r="D39" s="301">
        <v>2511</v>
      </c>
      <c r="E39" s="928">
        <f t="shared" ref="E39:E44" si="1">+D39+B39</f>
        <v>5512</v>
      </c>
      <c r="F39" s="930"/>
      <c r="G39" s="931"/>
      <c r="H39" s="931"/>
      <c r="I39" s="834"/>
      <c r="J39" s="834"/>
      <c r="K39" s="833"/>
    </row>
    <row r="40" spans="1:11" s="273" customFormat="1" ht="18" customHeight="1">
      <c r="A40" s="278" t="s">
        <v>941</v>
      </c>
      <c r="B40" s="301">
        <v>2544</v>
      </c>
      <c r="C40" s="300"/>
      <c r="D40" s="301">
        <v>1843</v>
      </c>
      <c r="E40" s="928">
        <f t="shared" si="1"/>
        <v>4387</v>
      </c>
      <c r="F40" s="930"/>
      <c r="G40" s="931"/>
      <c r="H40" s="931"/>
      <c r="I40" s="834"/>
      <c r="J40" s="834"/>
      <c r="K40" s="833"/>
    </row>
    <row r="41" spans="1:11" s="273" customFormat="1" ht="18" customHeight="1">
      <c r="A41" s="278" t="s">
        <v>942</v>
      </c>
      <c r="B41" s="301">
        <v>2940</v>
      </c>
      <c r="C41" s="300"/>
      <c r="D41" s="301">
        <v>2237</v>
      </c>
      <c r="E41" s="928">
        <f t="shared" si="1"/>
        <v>5177</v>
      </c>
      <c r="F41" s="930"/>
      <c r="G41" s="931"/>
      <c r="H41" s="931"/>
      <c r="I41" s="834"/>
      <c r="J41" s="834"/>
      <c r="K41" s="834"/>
    </row>
    <row r="42" spans="1:11" s="273" customFormat="1" ht="18" customHeight="1">
      <c r="A42" s="278" t="s">
        <v>943</v>
      </c>
      <c r="B42" s="301">
        <v>3322</v>
      </c>
      <c r="C42" s="300"/>
      <c r="D42" s="301">
        <v>1952</v>
      </c>
      <c r="E42" s="928">
        <f t="shared" si="1"/>
        <v>5274</v>
      </c>
      <c r="F42" s="930"/>
      <c r="G42" s="931"/>
      <c r="H42" s="931"/>
      <c r="I42" s="834"/>
      <c r="J42" s="834"/>
      <c r="K42" s="834"/>
    </row>
    <row r="43" spans="1:11" s="273" customFormat="1" ht="18" customHeight="1">
      <c r="A43" s="278" t="s">
        <v>944</v>
      </c>
      <c r="B43" s="301">
        <v>2113</v>
      </c>
      <c r="C43" s="300"/>
      <c r="D43" s="301">
        <v>757</v>
      </c>
      <c r="E43" s="928">
        <f t="shared" si="1"/>
        <v>2870</v>
      </c>
      <c r="F43" s="930"/>
      <c r="G43" s="931"/>
      <c r="H43" s="931"/>
      <c r="I43" s="834"/>
      <c r="J43" s="834"/>
      <c r="K43" s="834"/>
    </row>
    <row r="44" spans="1:11" s="273" customFormat="1" ht="18" customHeight="1">
      <c r="A44" s="278" t="s">
        <v>945</v>
      </c>
      <c r="B44" s="301">
        <v>951</v>
      </c>
      <c r="C44" s="300"/>
      <c r="D44" s="301">
        <v>188</v>
      </c>
      <c r="E44" s="928">
        <f t="shared" si="1"/>
        <v>1139</v>
      </c>
      <c r="F44" s="930"/>
      <c r="G44" s="931"/>
      <c r="H44" s="931"/>
      <c r="I44" s="834"/>
      <c r="J44" s="834"/>
      <c r="K44" s="834"/>
    </row>
    <row r="45" spans="1:11" s="273" customFormat="1" ht="15" customHeight="1" thickBot="1">
      <c r="A45" s="988" t="s">
        <v>928</v>
      </c>
      <c r="B45" s="302">
        <f>SUM(B37:B44)</f>
        <v>16481</v>
      </c>
      <c r="C45" s="303"/>
      <c r="D45" s="302">
        <f>SUM(D37:D44)</f>
        <v>11266</v>
      </c>
      <c r="E45" s="929">
        <f>SUM(E37:E44)</f>
        <v>27747</v>
      </c>
      <c r="F45" s="930"/>
      <c r="G45" s="930"/>
      <c r="H45" s="931"/>
      <c r="I45" s="834"/>
      <c r="J45" s="834"/>
      <c r="K45" s="834"/>
    </row>
    <row r="46" spans="1:11">
      <c r="A46" s="304"/>
      <c r="D46" s="29"/>
      <c r="F46" s="925"/>
    </row>
    <row r="47" spans="1:11">
      <c r="B47" s="602"/>
      <c r="C47" s="305"/>
      <c r="D47" s="602"/>
      <c r="E47" s="602"/>
    </row>
    <row r="48" spans="1:11">
      <c r="B48" s="284"/>
      <c r="D48" s="284"/>
      <c r="E48" s="603"/>
      <c r="G48" s="925"/>
    </row>
    <row r="49" spans="1:7">
      <c r="A49" s="570"/>
      <c r="B49" s="821"/>
      <c r="C49" s="570"/>
      <c r="D49" s="601"/>
      <c r="E49" s="930"/>
    </row>
    <row r="50" spans="1:7">
      <c r="A50" s="570" t="s">
        <v>938</v>
      </c>
      <c r="B50" s="570"/>
      <c r="C50" s="570"/>
      <c r="D50" s="601"/>
      <c r="E50" s="930"/>
      <c r="G50" s="930"/>
    </row>
    <row r="51" spans="1:7">
      <c r="A51" s="570" t="s">
        <v>939</v>
      </c>
      <c r="B51" s="570"/>
      <c r="C51" s="570"/>
      <c r="D51" s="601"/>
      <c r="E51" s="930"/>
      <c r="G51" s="930"/>
    </row>
    <row r="52" spans="1:7">
      <c r="A52" s="570" t="s">
        <v>940</v>
      </c>
      <c r="B52" s="570"/>
      <c r="C52" s="570"/>
      <c r="D52" s="601"/>
      <c r="E52" s="930"/>
      <c r="G52" s="930"/>
    </row>
    <row r="53" spans="1:7">
      <c r="A53" s="570" t="s">
        <v>941</v>
      </c>
      <c r="B53" s="570"/>
      <c r="C53" s="570"/>
      <c r="D53" s="601"/>
      <c r="E53" s="930"/>
      <c r="G53" s="930"/>
    </row>
    <row r="54" spans="1:7">
      <c r="A54" s="570" t="s">
        <v>942</v>
      </c>
      <c r="B54" s="570"/>
      <c r="C54" s="570"/>
      <c r="D54" s="601"/>
      <c r="E54" s="930"/>
      <c r="G54" s="930"/>
    </row>
    <row r="55" spans="1:7">
      <c r="A55" s="570" t="s">
        <v>943</v>
      </c>
      <c r="B55" s="570"/>
      <c r="C55" s="570"/>
      <c r="D55" s="601"/>
      <c r="E55" s="930"/>
      <c r="G55" s="930"/>
    </row>
    <row r="56" spans="1:7">
      <c r="A56" s="570" t="s">
        <v>944</v>
      </c>
      <c r="B56" s="731"/>
      <c r="C56" s="570"/>
      <c r="D56" s="731"/>
      <c r="E56" s="930"/>
      <c r="G56" s="930"/>
    </row>
    <row r="57" spans="1:7">
      <c r="A57" s="570" t="s">
        <v>945</v>
      </c>
      <c r="B57" s="570"/>
      <c r="C57" s="570"/>
      <c r="D57" s="570"/>
      <c r="G57" s="930"/>
    </row>
    <row r="58" spans="1:7">
      <c r="A58" s="570"/>
      <c r="B58" s="570"/>
      <c r="C58" s="570"/>
      <c r="D58" s="570"/>
    </row>
    <row r="59" spans="1:7">
      <c r="A59" s="570"/>
      <c r="B59" s="570"/>
      <c r="C59" s="570"/>
      <c r="D59" s="570"/>
    </row>
    <row r="60" spans="1:7">
      <c r="A60" s="570"/>
      <c r="B60" s="570"/>
      <c r="C60" s="570"/>
      <c r="D60" s="570"/>
    </row>
    <row r="61" spans="1:7">
      <c r="A61" s="570"/>
      <c r="B61" s="570"/>
      <c r="C61" s="570"/>
      <c r="D61" s="570"/>
    </row>
    <row r="62" spans="1:7">
      <c r="A62" s="570"/>
      <c r="B62" s="570"/>
      <c r="C62" s="570"/>
      <c r="D62" s="570"/>
    </row>
    <row r="63" spans="1:7">
      <c r="A63" s="570"/>
      <c r="B63" s="570"/>
      <c r="C63" s="570"/>
      <c r="D63" s="570"/>
    </row>
    <row r="64" spans="1:7">
      <c r="A64" s="570"/>
      <c r="B64" s="570"/>
      <c r="C64" s="570"/>
      <c r="D64" s="570"/>
    </row>
  </sheetData>
  <phoneticPr fontId="7" type="noConversion"/>
  <printOptions horizontalCentered="1" verticalCentered="1"/>
  <pageMargins left="0.67" right="0.47" top="0.511811023622047" bottom="0.31496062992126" header="0.511811023622047" footer="0.31496062992126"/>
  <pageSetup paperSize="9" scale="77"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ayfa9">
    <tabColor indexed="44"/>
  </sheetPr>
  <dimension ref="A1:IU57"/>
  <sheetViews>
    <sheetView showGridLines="0" zoomScaleNormal="100" workbookViewId="0">
      <selection activeCell="Z10" sqref="Z10"/>
    </sheetView>
  </sheetViews>
  <sheetFormatPr defaultRowHeight="12.75"/>
  <cols>
    <col min="1" max="1" width="9.140625" customWidth="1"/>
    <col min="2" max="2" width="16.5703125" style="15" hidden="1" customWidth="1"/>
    <col min="3" max="3" width="10.85546875" style="15" hidden="1" customWidth="1"/>
    <col min="4" max="4" width="0.7109375" style="15" hidden="1" customWidth="1"/>
    <col min="5" max="5" width="29.28515625" style="15" hidden="1" customWidth="1"/>
    <col min="6" max="6" width="18.42578125" style="15" customWidth="1"/>
    <col min="7" max="7" width="10.85546875" style="15" bestFit="1" customWidth="1"/>
    <col min="8" max="8" width="19" style="15" customWidth="1"/>
    <col min="9" max="9" width="10.85546875" style="15" bestFit="1" customWidth="1"/>
    <col min="10" max="10" width="15.5703125" style="15" customWidth="1"/>
    <col min="11" max="11" width="12.28515625" style="15" customWidth="1"/>
    <col min="12" max="12" width="15.42578125" style="15" customWidth="1"/>
    <col min="13" max="13" width="10.85546875" style="15" bestFit="1" customWidth="1"/>
    <col min="14" max="14" width="16.5703125" style="15" customWidth="1"/>
    <col min="15" max="15" width="14.85546875" style="15" customWidth="1"/>
    <col min="16" max="16" width="13.28515625" style="15" customWidth="1"/>
  </cols>
  <sheetData>
    <row r="1" spans="1:255" ht="15">
      <c r="A1" s="229" t="s">
        <v>282</v>
      </c>
      <c r="B1" s="229"/>
      <c r="C1" s="229"/>
      <c r="D1" s="229"/>
      <c r="E1" s="229"/>
      <c r="F1" s="229"/>
      <c r="G1" s="321"/>
      <c r="H1" s="321"/>
      <c r="I1" s="321"/>
      <c r="J1" s="321"/>
      <c r="K1" s="321"/>
      <c r="L1" s="194" t="s">
        <v>729</v>
      </c>
      <c r="M1" s="229"/>
      <c r="N1" s="229"/>
      <c r="O1" s="229"/>
      <c r="P1" s="229" t="s">
        <v>729</v>
      </c>
      <c r="Q1" s="229"/>
      <c r="R1" s="229"/>
      <c r="S1" s="229"/>
      <c r="T1" s="229"/>
      <c r="U1" s="229"/>
      <c r="V1" s="229"/>
      <c r="W1" s="229"/>
      <c r="X1" s="229"/>
      <c r="Y1" s="229"/>
      <c r="Z1" s="229"/>
      <c r="AA1" s="229"/>
      <c r="AB1" s="229"/>
      <c r="AC1" s="229"/>
      <c r="AD1" s="229"/>
      <c r="AE1" s="229"/>
      <c r="AF1" s="229"/>
      <c r="AG1" s="229"/>
      <c r="AH1" s="229"/>
      <c r="AI1" s="229"/>
      <c r="AJ1" s="229"/>
      <c r="AK1" s="229"/>
      <c r="AL1" s="229"/>
      <c r="AM1" s="229"/>
      <c r="AN1" s="229"/>
      <c r="AO1" s="229"/>
      <c r="AP1" s="229"/>
      <c r="AQ1" s="229"/>
      <c r="AR1" s="229"/>
      <c r="AS1" s="229"/>
      <c r="AT1" s="229"/>
      <c r="AU1" s="229"/>
      <c r="AV1" s="229"/>
      <c r="AW1" s="229"/>
      <c r="AX1" s="229"/>
      <c r="AY1" s="229"/>
      <c r="AZ1" s="229"/>
      <c r="BA1" s="229"/>
      <c r="BB1" s="229"/>
      <c r="BC1" s="229"/>
      <c r="BD1" s="229"/>
      <c r="BE1" s="229"/>
      <c r="BF1" s="229"/>
      <c r="BG1" s="229"/>
      <c r="BH1" s="229"/>
      <c r="BI1" s="229"/>
      <c r="BJ1" s="229"/>
      <c r="BK1" s="322"/>
      <c r="BL1" s="322"/>
      <c r="BM1" s="322"/>
      <c r="BN1" s="322"/>
      <c r="BO1" s="322"/>
      <c r="BP1" s="322"/>
      <c r="BQ1" s="322"/>
      <c r="BR1" s="322"/>
      <c r="BS1" s="322"/>
      <c r="BT1" s="322"/>
      <c r="BU1" s="322"/>
      <c r="BV1" s="322"/>
      <c r="BW1" s="322"/>
      <c r="BX1" s="322"/>
      <c r="BY1" s="322"/>
      <c r="BZ1" s="322"/>
      <c r="CA1" s="322"/>
      <c r="CB1" s="322"/>
      <c r="CC1" s="322"/>
      <c r="CD1" s="322"/>
      <c r="CE1" s="322"/>
      <c r="CF1" s="322"/>
      <c r="CG1" s="322"/>
      <c r="CH1" s="322"/>
      <c r="CI1" s="322"/>
      <c r="CJ1" s="322"/>
      <c r="CK1" s="322"/>
      <c r="CL1" s="322"/>
      <c r="CM1" s="322"/>
      <c r="CN1" s="322"/>
      <c r="CO1" s="322"/>
      <c r="CP1" s="322"/>
      <c r="CQ1" s="322"/>
      <c r="CR1" s="322"/>
      <c r="CS1" s="322"/>
      <c r="CT1" s="322"/>
      <c r="CU1" s="322"/>
      <c r="CV1" s="322"/>
      <c r="CW1" s="322"/>
      <c r="CX1" s="322"/>
      <c r="CY1" s="322"/>
      <c r="CZ1" s="322"/>
      <c r="DA1" s="322"/>
      <c r="DB1" s="322"/>
      <c r="DC1" s="322"/>
      <c r="DD1" s="322"/>
      <c r="DE1" s="322"/>
      <c r="DF1" s="322"/>
      <c r="DG1" s="322"/>
      <c r="DH1" s="322"/>
      <c r="DI1" s="322"/>
      <c r="DJ1" s="322"/>
      <c r="DK1" s="322"/>
      <c r="DL1" s="322"/>
      <c r="DM1" s="322"/>
      <c r="DN1" s="322"/>
      <c r="DO1" s="322"/>
      <c r="DP1" s="322"/>
      <c r="DQ1" s="322"/>
      <c r="DR1" s="322"/>
      <c r="DS1" s="322"/>
      <c r="DT1" s="322"/>
      <c r="DU1" s="322"/>
      <c r="DV1" s="322"/>
      <c r="DW1" s="322"/>
      <c r="DX1" s="322"/>
      <c r="DY1" s="322"/>
      <c r="DZ1" s="322"/>
      <c r="EA1" s="322"/>
      <c r="EB1" s="322"/>
      <c r="EC1" s="322"/>
      <c r="ED1" s="322"/>
      <c r="EE1" s="322"/>
      <c r="EF1" s="322"/>
      <c r="EG1" s="322"/>
      <c r="EH1" s="322"/>
      <c r="EI1" s="322"/>
      <c r="EJ1" s="322"/>
      <c r="EK1" s="322"/>
      <c r="EL1" s="322"/>
      <c r="EM1" s="322"/>
      <c r="EN1" s="322"/>
      <c r="EO1" s="322"/>
      <c r="EP1" s="322"/>
      <c r="EQ1" s="322"/>
      <c r="ER1" s="322"/>
      <c r="ES1" s="322"/>
      <c r="ET1" s="322"/>
      <c r="EU1" s="322"/>
      <c r="EV1" s="322"/>
      <c r="EW1" s="322"/>
      <c r="EX1" s="322"/>
      <c r="EY1" s="322"/>
      <c r="EZ1" s="322"/>
      <c r="FA1" s="322"/>
      <c r="FB1" s="322"/>
      <c r="FC1" s="322"/>
      <c r="FD1" s="322"/>
      <c r="FE1" s="322"/>
      <c r="FF1" s="322"/>
      <c r="FG1" s="322"/>
      <c r="FH1" s="322"/>
      <c r="FI1" s="322"/>
      <c r="FJ1" s="322"/>
      <c r="FK1" s="322"/>
      <c r="FL1" s="322"/>
      <c r="FM1" s="322"/>
      <c r="FN1" s="322"/>
      <c r="FO1" s="322"/>
      <c r="FP1" s="322"/>
      <c r="FQ1" s="322"/>
      <c r="FR1" s="322"/>
      <c r="FS1" s="322"/>
      <c r="FT1" s="322"/>
      <c r="FU1" s="322"/>
      <c r="FV1" s="322"/>
      <c r="FW1" s="322"/>
      <c r="FX1" s="322"/>
      <c r="FY1" s="322"/>
      <c r="FZ1" s="322"/>
      <c r="GA1" s="322"/>
      <c r="GB1" s="322"/>
      <c r="GC1" s="322"/>
      <c r="GD1" s="322"/>
      <c r="GE1" s="322"/>
      <c r="GF1" s="322"/>
      <c r="GG1" s="322"/>
      <c r="GH1" s="322"/>
      <c r="GI1" s="322"/>
      <c r="GJ1" s="322"/>
      <c r="GK1" s="322"/>
      <c r="GL1" s="322"/>
      <c r="GM1" s="322"/>
      <c r="GN1" s="322"/>
      <c r="GO1" s="322"/>
      <c r="GP1" s="322"/>
      <c r="GQ1" s="322"/>
      <c r="GR1" s="322"/>
      <c r="GS1" s="322"/>
      <c r="GT1" s="322"/>
      <c r="GU1" s="322"/>
      <c r="GV1" s="322"/>
      <c r="GW1" s="322"/>
      <c r="GX1" s="322"/>
      <c r="GY1" s="322"/>
      <c r="GZ1" s="322"/>
      <c r="HA1" s="322"/>
      <c r="HB1" s="322"/>
      <c r="HC1" s="322"/>
      <c r="HD1" s="322"/>
      <c r="HE1" s="322"/>
      <c r="HF1" s="322"/>
      <c r="HG1" s="322"/>
      <c r="HH1" s="322"/>
      <c r="HI1" s="322"/>
      <c r="HJ1" s="322"/>
      <c r="HK1" s="322"/>
      <c r="HL1" s="322"/>
      <c r="HM1" s="322"/>
      <c r="HN1" s="322"/>
      <c r="HO1" s="322"/>
      <c r="HP1" s="322"/>
      <c r="HQ1" s="322"/>
      <c r="HR1" s="322"/>
      <c r="HS1" s="322"/>
      <c r="HT1" s="322"/>
      <c r="HU1" s="322"/>
      <c r="HV1" s="322"/>
      <c r="HW1" s="322"/>
      <c r="HX1" s="322"/>
      <c r="HY1" s="322"/>
      <c r="HZ1" s="322"/>
      <c r="IA1" s="322"/>
      <c r="IB1" s="322"/>
      <c r="IC1" s="322"/>
      <c r="ID1" s="322"/>
      <c r="IE1" s="322"/>
      <c r="IF1" s="322"/>
      <c r="IG1" s="322"/>
      <c r="IH1" s="322"/>
      <c r="II1" s="322"/>
      <c r="IJ1" s="322"/>
      <c r="IK1" s="322"/>
      <c r="IL1" s="322"/>
      <c r="IM1" s="322"/>
      <c r="IN1" s="322"/>
      <c r="IO1" s="322"/>
      <c r="IP1" s="322"/>
      <c r="IQ1" s="322"/>
      <c r="IR1" s="322"/>
      <c r="IS1" s="322"/>
      <c r="IT1" s="322"/>
      <c r="IU1" s="322"/>
    </row>
    <row r="2" spans="1:255" s="1" customFormat="1">
      <c r="A2" s="76" t="s">
        <v>283</v>
      </c>
      <c r="B2" s="72"/>
      <c r="C2" s="72"/>
      <c r="D2" s="72"/>
      <c r="E2" s="72"/>
      <c r="F2" s="72"/>
      <c r="G2" s="200"/>
      <c r="H2" s="200"/>
      <c r="I2" s="200"/>
      <c r="J2" s="200"/>
      <c r="K2" s="200"/>
      <c r="L2" s="72"/>
      <c r="M2" s="187" t="s">
        <v>729</v>
      </c>
      <c r="N2" s="72"/>
      <c r="O2" s="72"/>
      <c r="P2" s="187" t="s">
        <v>729</v>
      </c>
      <c r="Q2" s="72"/>
      <c r="R2" s="72"/>
      <c r="S2" s="72"/>
      <c r="T2" s="72"/>
      <c r="U2" s="72"/>
      <c r="V2" s="72"/>
      <c r="W2" s="72"/>
      <c r="X2" s="72"/>
      <c r="Y2" s="72"/>
      <c r="Z2" s="72"/>
      <c r="AA2" s="72"/>
      <c r="AB2" s="72"/>
      <c r="AC2" s="72"/>
      <c r="AD2" s="72"/>
      <c r="AE2" s="72"/>
      <c r="AF2" s="72"/>
      <c r="AG2" s="72"/>
      <c r="AH2" s="72"/>
      <c r="AI2" s="72"/>
      <c r="AJ2" s="72"/>
      <c r="AK2" s="72"/>
      <c r="AL2" s="72"/>
      <c r="AM2" s="72"/>
      <c r="AN2" s="72"/>
      <c r="AO2" s="72"/>
      <c r="AP2" s="72"/>
      <c r="AQ2" s="72"/>
      <c r="AR2" s="72"/>
      <c r="AS2" s="72"/>
      <c r="AT2" s="72"/>
      <c r="AU2" s="72"/>
      <c r="AV2" s="72"/>
      <c r="AW2" s="72"/>
      <c r="AX2" s="72"/>
      <c r="AY2" s="72"/>
      <c r="AZ2" s="72"/>
      <c r="BA2" s="72"/>
      <c r="BB2" s="72"/>
      <c r="BC2" s="72"/>
      <c r="BD2" s="72"/>
      <c r="BE2" s="72"/>
      <c r="BF2" s="72"/>
      <c r="BG2" s="72"/>
      <c r="BH2" s="72"/>
      <c r="BI2" s="72"/>
      <c r="BJ2" s="72"/>
      <c r="BK2" s="72"/>
      <c r="BL2" s="72"/>
      <c r="BM2" s="72"/>
      <c r="BN2" s="72"/>
      <c r="BO2" s="72"/>
      <c r="BP2" s="72"/>
      <c r="BQ2" s="72"/>
      <c r="BR2" s="72"/>
      <c r="BS2" s="72"/>
      <c r="BT2" s="72"/>
      <c r="BU2" s="72"/>
      <c r="BV2" s="72"/>
      <c r="BW2" s="72"/>
      <c r="BX2" s="72"/>
      <c r="BY2" s="72"/>
      <c r="BZ2" s="72"/>
      <c r="CA2" s="72"/>
      <c r="CB2" s="72"/>
      <c r="CC2" s="72"/>
      <c r="CD2" s="72"/>
      <c r="CE2" s="72"/>
      <c r="CF2" s="72"/>
      <c r="CG2" s="72"/>
      <c r="CH2" s="72"/>
      <c r="CI2" s="72"/>
      <c r="CJ2" s="72"/>
      <c r="CK2" s="72"/>
      <c r="CL2" s="72"/>
      <c r="CM2" s="72"/>
      <c r="CN2" s="72"/>
      <c r="CO2" s="72"/>
      <c r="CP2" s="72"/>
      <c r="CQ2" s="72"/>
      <c r="CR2" s="72"/>
      <c r="CS2" s="72"/>
      <c r="CT2" s="72"/>
      <c r="CU2" s="72"/>
      <c r="CV2" s="72"/>
      <c r="CW2" s="72"/>
      <c r="CX2" s="72"/>
      <c r="CY2" s="72"/>
      <c r="CZ2" s="72"/>
      <c r="DA2" s="72"/>
      <c r="DB2" s="72"/>
      <c r="DC2" s="72"/>
      <c r="DD2" s="72"/>
      <c r="DE2" s="72"/>
      <c r="DF2" s="72"/>
      <c r="DG2" s="72"/>
      <c r="DH2" s="72"/>
      <c r="DI2" s="72"/>
      <c r="DJ2" s="72"/>
      <c r="DK2" s="72"/>
      <c r="DL2" s="72"/>
      <c r="DM2" s="72"/>
      <c r="DN2" s="72"/>
      <c r="DO2" s="72"/>
      <c r="DP2" s="72"/>
      <c r="DQ2" s="72"/>
      <c r="DR2" s="72"/>
      <c r="DS2" s="72"/>
      <c r="DT2" s="72"/>
      <c r="DU2" s="72"/>
      <c r="DV2" s="72"/>
      <c r="DW2" s="72"/>
      <c r="DX2" s="72"/>
      <c r="DY2" s="72"/>
      <c r="DZ2" s="72"/>
      <c r="EA2" s="72"/>
      <c r="EB2" s="72"/>
      <c r="EC2" s="72"/>
      <c r="ED2" s="72"/>
      <c r="EE2" s="72"/>
      <c r="EF2" s="72"/>
      <c r="EG2" s="72"/>
      <c r="EH2" s="72"/>
      <c r="EI2" s="72"/>
      <c r="EJ2" s="72"/>
      <c r="EK2" s="72"/>
      <c r="EL2" s="72"/>
      <c r="EM2" s="72"/>
      <c r="EN2" s="72"/>
      <c r="EO2" s="72"/>
      <c r="EP2" s="72"/>
      <c r="EQ2" s="72"/>
      <c r="ER2" s="72"/>
      <c r="ES2" s="72"/>
      <c r="ET2" s="72"/>
      <c r="EU2" s="72"/>
      <c r="EV2" s="72"/>
      <c r="EW2" s="72"/>
      <c r="EX2" s="72"/>
      <c r="EY2" s="72"/>
      <c r="EZ2" s="72"/>
      <c r="FA2" s="72"/>
      <c r="FB2" s="72"/>
      <c r="FC2" s="72"/>
      <c r="FD2" s="72"/>
      <c r="FE2" s="72"/>
      <c r="FF2" s="72"/>
      <c r="FG2" s="72"/>
      <c r="FH2" s="72"/>
      <c r="FI2" s="72"/>
      <c r="FJ2" s="72"/>
      <c r="FK2" s="72"/>
      <c r="FL2" s="72"/>
      <c r="FM2" s="72"/>
      <c r="FN2" s="72"/>
      <c r="FO2" s="72"/>
      <c r="FP2" s="72"/>
      <c r="FQ2" s="72"/>
      <c r="FR2" s="72"/>
      <c r="FS2" s="72"/>
      <c r="FT2" s="72"/>
      <c r="FU2" s="72"/>
      <c r="FV2" s="72"/>
      <c r="FW2" s="72"/>
      <c r="FX2" s="72"/>
      <c r="FY2" s="72"/>
      <c r="FZ2" s="72"/>
      <c r="GA2" s="72"/>
      <c r="GB2" s="72"/>
      <c r="GC2" s="72"/>
      <c r="GD2" s="72"/>
      <c r="GE2" s="72"/>
      <c r="GF2" s="72"/>
      <c r="GG2" s="72"/>
      <c r="GH2" s="72"/>
      <c r="GI2" s="72"/>
      <c r="GJ2" s="72"/>
      <c r="GK2" s="72"/>
      <c r="GL2" s="72"/>
      <c r="GM2" s="72"/>
      <c r="GN2" s="72"/>
      <c r="GO2" s="72"/>
      <c r="GP2" s="72"/>
      <c r="GQ2" s="72"/>
      <c r="GR2" s="72"/>
      <c r="GS2" s="72"/>
      <c r="GT2" s="72"/>
      <c r="GU2" s="72"/>
      <c r="GV2" s="72"/>
      <c r="GW2" s="72"/>
      <c r="GX2" s="72"/>
      <c r="GY2" s="72"/>
      <c r="GZ2" s="72"/>
      <c r="HA2" s="72"/>
      <c r="HB2" s="72"/>
      <c r="HC2" s="72"/>
      <c r="HD2" s="72"/>
      <c r="HE2" s="72"/>
      <c r="HF2" s="72"/>
      <c r="HG2" s="72"/>
      <c r="HH2" s="72"/>
      <c r="HI2" s="72"/>
      <c r="HJ2" s="72"/>
      <c r="HK2" s="72"/>
      <c r="HL2" s="72"/>
      <c r="HM2" s="72"/>
      <c r="HN2" s="72"/>
      <c r="HO2" s="72"/>
      <c r="HP2" s="72"/>
      <c r="HQ2" s="72"/>
      <c r="HR2" s="72"/>
      <c r="HS2" s="72"/>
      <c r="HT2" s="72"/>
      <c r="HU2" s="72"/>
      <c r="HV2" s="72"/>
      <c r="HW2" s="72"/>
      <c r="HX2" s="72"/>
      <c r="HY2" s="72"/>
      <c r="HZ2" s="72"/>
      <c r="IA2" s="72"/>
      <c r="IB2" s="72"/>
      <c r="IC2" s="72"/>
      <c r="ID2" s="72"/>
      <c r="IE2" s="72"/>
      <c r="IF2" s="72"/>
      <c r="IG2" s="72"/>
      <c r="IH2" s="72"/>
      <c r="II2" s="72"/>
      <c r="IJ2" s="72"/>
      <c r="IK2" s="72"/>
      <c r="IL2" s="72"/>
      <c r="IM2" s="72"/>
      <c r="IN2" s="72"/>
      <c r="IO2" s="72"/>
      <c r="IP2" s="72"/>
      <c r="IQ2" s="72"/>
      <c r="IR2" s="72"/>
      <c r="IS2" s="72"/>
      <c r="IT2" s="72"/>
      <c r="IU2" s="72"/>
    </row>
    <row r="3" spans="1:255" ht="21.75" customHeight="1" thickBot="1">
      <c r="A3" s="1753" t="s">
        <v>899</v>
      </c>
      <c r="B3" s="1753"/>
      <c r="C3" s="1753"/>
      <c r="D3" s="1753"/>
      <c r="E3" s="1753"/>
      <c r="F3" s="1753"/>
      <c r="G3" s="1753"/>
      <c r="H3" s="1753"/>
      <c r="I3" s="1753"/>
      <c r="J3" s="1753"/>
      <c r="K3" s="1753"/>
      <c r="L3" s="1753"/>
      <c r="M3" s="71"/>
      <c r="N3" s="71"/>
      <c r="O3" s="71"/>
    </row>
    <row r="4" spans="1:255" ht="66" customHeight="1">
      <c r="A4" s="160" t="s">
        <v>628</v>
      </c>
      <c r="B4" s="161">
        <v>2011</v>
      </c>
      <c r="C4" s="163" t="s">
        <v>805</v>
      </c>
      <c r="D4" s="161">
        <v>2012</v>
      </c>
      <c r="E4" s="163" t="s">
        <v>805</v>
      </c>
      <c r="F4" s="161">
        <v>2013</v>
      </c>
      <c r="G4" s="163" t="s">
        <v>805</v>
      </c>
      <c r="H4" s="161">
        <v>2014</v>
      </c>
      <c r="I4" s="163" t="s">
        <v>805</v>
      </c>
      <c r="J4" s="161">
        <v>2015</v>
      </c>
      <c r="K4" s="163" t="s">
        <v>805</v>
      </c>
      <c r="L4" s="161">
        <v>2016</v>
      </c>
      <c r="M4" s="163" t="s">
        <v>805</v>
      </c>
      <c r="N4" s="161">
        <v>2017</v>
      </c>
      <c r="O4" s="163" t="s">
        <v>805</v>
      </c>
      <c r="P4" s="164" t="s">
        <v>1217</v>
      </c>
    </row>
    <row r="5" spans="1:255" s="586" customFormat="1" ht="14.1" customHeight="1">
      <c r="A5" s="815" t="s">
        <v>836</v>
      </c>
      <c r="B5" s="816">
        <v>9960858</v>
      </c>
      <c r="C5" s="817">
        <v>-0.69737139872053655</v>
      </c>
      <c r="D5" s="816">
        <v>10849186</v>
      </c>
      <c r="E5" s="818">
        <f>+((D5/B16)-1)*100</f>
        <v>-1.6476657154934848</v>
      </c>
      <c r="F5" s="816">
        <v>11698045</v>
      </c>
      <c r="G5" s="818">
        <f>+((F5/D16)-1)*100</f>
        <v>-1.042961553333599</v>
      </c>
      <c r="H5" s="816">
        <v>12329012</v>
      </c>
      <c r="I5" s="817">
        <f>+((H5/F16)-1)*100</f>
        <v>-0.28124882469243717</v>
      </c>
      <c r="J5" s="816">
        <v>12913416</v>
      </c>
      <c r="K5" s="817">
        <f>+((J5/H16)-1)*100</f>
        <v>-1.3733356856940548</v>
      </c>
      <c r="L5" s="816">
        <v>13352629</v>
      </c>
      <c r="M5" s="817">
        <f>+((L5/J16)-1)*100</f>
        <v>-2.6330425223154319</v>
      </c>
      <c r="N5" s="816">
        <v>13115945</v>
      </c>
      <c r="O5" s="817">
        <f>+((N5/L16)-1)*100</f>
        <v>-2.2354018305074108</v>
      </c>
      <c r="P5" s="819">
        <f>+((N5/L5)-1)*100</f>
        <v>-1.7725647885521223</v>
      </c>
    </row>
    <row r="6" spans="1:255" s="586" customFormat="1" ht="14.1" customHeight="1">
      <c r="A6" s="716" t="s">
        <v>760</v>
      </c>
      <c r="B6" s="717">
        <v>9970036</v>
      </c>
      <c r="C6" s="718">
        <f t="shared" ref="C6:C16" si="0">+(B6-B5)/B5*100</f>
        <v>9.2140656959470754E-2</v>
      </c>
      <c r="D6" s="717">
        <v>10739556</v>
      </c>
      <c r="E6" s="730">
        <f t="shared" ref="E6:E11" si="1">+(D6-D5)/D5*100</f>
        <v>-1.0104905566187177</v>
      </c>
      <c r="F6" s="717">
        <v>11620928</v>
      </c>
      <c r="G6" s="730">
        <f>+(F6-F5)/F5*100</f>
        <v>-0.65922981147704596</v>
      </c>
      <c r="H6" s="717">
        <v>12355589</v>
      </c>
      <c r="I6" s="718">
        <f t="shared" ref="I6:I11" si="2">+(H6-H5)/H5*100</f>
        <v>0.21556471840565977</v>
      </c>
      <c r="J6" s="717">
        <v>12851205</v>
      </c>
      <c r="K6" s="718">
        <f t="shared" ref="K6:K16" si="3">+(J6-J5)/J5*100</f>
        <v>-0.48175478897295654</v>
      </c>
      <c r="L6" s="717">
        <v>13258741</v>
      </c>
      <c r="M6" s="718">
        <f t="shared" ref="M6:O11" si="4">+(L6-L5)/L5*100</f>
        <v>-0.70314242985407593</v>
      </c>
      <c r="N6" s="717">
        <v>13126079</v>
      </c>
      <c r="O6" s="718">
        <f>+(N6-N5)/N5*100</f>
        <v>7.7264733879259181E-2</v>
      </c>
      <c r="P6" s="932">
        <f>+((N6/L6)-1)*100</f>
        <v>-1.0005625722683598</v>
      </c>
    </row>
    <row r="7" spans="1:255" s="586" customFormat="1" ht="14.1" customHeight="1">
      <c r="A7" s="716" t="s">
        <v>761</v>
      </c>
      <c r="B7" s="717">
        <v>10252034</v>
      </c>
      <c r="C7" s="718">
        <f t="shared" si="0"/>
        <v>2.8284551831106728</v>
      </c>
      <c r="D7" s="717">
        <v>11145226</v>
      </c>
      <c r="E7" s="730">
        <f t="shared" si="1"/>
        <v>3.7773442403019266</v>
      </c>
      <c r="F7" s="717">
        <v>11896801</v>
      </c>
      <c r="G7" s="730">
        <f t="shared" ref="G7:G16" si="5">+((F7/F6)-1)*100</f>
        <v>2.3739326153642715</v>
      </c>
      <c r="H7" s="717">
        <v>12566310</v>
      </c>
      <c r="I7" s="718">
        <f t="shared" si="2"/>
        <v>1.7054711029963847</v>
      </c>
      <c r="J7" s="717">
        <v>13148326</v>
      </c>
      <c r="K7" s="718">
        <f t="shared" si="3"/>
        <v>2.3120088738760298</v>
      </c>
      <c r="L7" s="717">
        <v>13503330</v>
      </c>
      <c r="M7" s="718">
        <f t="shared" si="4"/>
        <v>1.8447377469700932</v>
      </c>
      <c r="N7" s="717">
        <v>13558803</v>
      </c>
      <c r="O7" s="718">
        <f t="shared" si="4"/>
        <v>3.2966737439261187</v>
      </c>
      <c r="P7" s="932">
        <f>+((N7/L7)-1)*100</f>
        <v>0.41080977803253926</v>
      </c>
    </row>
    <row r="8" spans="1:255" s="586" customFormat="1" ht="14.1" customHeight="1">
      <c r="A8" s="919" t="s">
        <v>762</v>
      </c>
      <c r="B8" s="920">
        <v>10511792</v>
      </c>
      <c r="C8" s="921">
        <f t="shared" si="0"/>
        <v>2.5337216010013233</v>
      </c>
      <c r="D8" s="920">
        <v>11408813</v>
      </c>
      <c r="E8" s="922">
        <f t="shared" si="1"/>
        <v>2.3650215796431584</v>
      </c>
      <c r="F8" s="920">
        <v>12132681</v>
      </c>
      <c r="G8" s="922">
        <f t="shared" si="5"/>
        <v>1.9827178751666175</v>
      </c>
      <c r="H8" s="920">
        <v>12730077</v>
      </c>
      <c r="I8" s="921">
        <f t="shared" si="2"/>
        <v>1.3032226644098386</v>
      </c>
      <c r="J8" s="920">
        <v>13451823</v>
      </c>
      <c r="K8" s="921">
        <f t="shared" si="3"/>
        <v>2.3082558190297382</v>
      </c>
      <c r="L8" s="920">
        <v>13665900</v>
      </c>
      <c r="M8" s="921">
        <f t="shared" si="4"/>
        <v>1.203925253992904</v>
      </c>
      <c r="N8" s="920">
        <f>+'7.4-a Sigortalı Sayıları'!AJ9</f>
        <v>13849359</v>
      </c>
      <c r="O8" s="921">
        <f t="shared" si="4"/>
        <v>2.1429325287785361</v>
      </c>
      <c r="P8" s="923">
        <f>+((N8/L8)-1)*100</f>
        <v>1.3424582354619963</v>
      </c>
      <c r="Z8" s="986"/>
    </row>
    <row r="9" spans="1:255" s="586" customFormat="1" ht="14.1" customHeight="1">
      <c r="A9" s="716" t="s">
        <v>763</v>
      </c>
      <c r="B9" s="717">
        <v>10771209</v>
      </c>
      <c r="C9" s="718">
        <f t="shared" si="0"/>
        <v>2.4678665635697512</v>
      </c>
      <c r="D9" s="717">
        <v>11683952</v>
      </c>
      <c r="E9" s="730">
        <f t="shared" si="1"/>
        <v>2.4116356364154621</v>
      </c>
      <c r="F9" s="717">
        <v>12216079</v>
      </c>
      <c r="G9" s="730">
        <f t="shared" si="5"/>
        <v>0.68738311013039066</v>
      </c>
      <c r="H9" s="717">
        <v>12922571</v>
      </c>
      <c r="I9" s="718">
        <f t="shared" si="2"/>
        <v>1.51211968317238</v>
      </c>
      <c r="J9" s="717">
        <v>13585611</v>
      </c>
      <c r="K9" s="718">
        <f t="shared" si="3"/>
        <v>0.99457151644055974</v>
      </c>
      <c r="L9" s="717">
        <v>13696518</v>
      </c>
      <c r="M9" s="718">
        <f t="shared" si="4"/>
        <v>0.2240467148157092</v>
      </c>
      <c r="N9" s="717"/>
      <c r="O9" s="902">
        <f t="shared" si="4"/>
        <v>-100</v>
      </c>
      <c r="P9" s="903">
        <f t="shared" ref="P9:P15" si="6">+((N9/M9)-1)*100</f>
        <v>-100</v>
      </c>
    </row>
    <row r="10" spans="1:255" s="586" customFormat="1" ht="14.1" customHeight="1">
      <c r="A10" s="716" t="s">
        <v>764</v>
      </c>
      <c r="B10" s="717">
        <v>11045909</v>
      </c>
      <c r="C10" s="718">
        <f t="shared" si="0"/>
        <v>2.5503172392254201</v>
      </c>
      <c r="D10" s="717">
        <v>11796813</v>
      </c>
      <c r="E10" s="730">
        <f t="shared" si="1"/>
        <v>0.96594885018356802</v>
      </c>
      <c r="F10" s="717">
        <v>12274403</v>
      </c>
      <c r="G10" s="730">
        <f t="shared" si="5"/>
        <v>0.47743633615990877</v>
      </c>
      <c r="H10" s="717">
        <v>13034290</v>
      </c>
      <c r="I10" s="718">
        <f t="shared" si="2"/>
        <v>0.86452610707265609</v>
      </c>
      <c r="J10" s="717">
        <v>13596512</v>
      </c>
      <c r="K10" s="718">
        <f t="shared" si="3"/>
        <v>8.0239306130581833E-2</v>
      </c>
      <c r="L10" s="717">
        <v>13686743</v>
      </c>
      <c r="M10" s="718">
        <f t="shared" si="4"/>
        <v>-7.1368504024161464E-2</v>
      </c>
      <c r="N10" s="717"/>
      <c r="O10" s="902" t="e">
        <f t="shared" si="4"/>
        <v>#DIV/0!</v>
      </c>
      <c r="P10" s="903">
        <f t="shared" si="6"/>
        <v>-100</v>
      </c>
    </row>
    <row r="11" spans="1:255" s="586" customFormat="1" ht="14.1" customHeight="1">
      <c r="A11" s="716" t="s">
        <v>765</v>
      </c>
      <c r="B11" s="717">
        <v>11112453</v>
      </c>
      <c r="C11" s="718">
        <f t="shared" si="0"/>
        <v>0.60243118062986034</v>
      </c>
      <c r="D11" s="717">
        <v>11765998</v>
      </c>
      <c r="E11" s="730">
        <f t="shared" si="1"/>
        <v>-0.26121461788026989</v>
      </c>
      <c r="F11" s="717">
        <v>12200031</v>
      </c>
      <c r="G11" s="730">
        <f t="shared" si="5"/>
        <v>-0.60591134249055045</v>
      </c>
      <c r="H11" s="717">
        <v>12701507</v>
      </c>
      <c r="I11" s="718">
        <f t="shared" si="2"/>
        <v>-2.5531348466237902</v>
      </c>
      <c r="J11" s="717">
        <v>13318215</v>
      </c>
      <c r="K11" s="718">
        <f t="shared" si="3"/>
        <v>-2.0468264213645382</v>
      </c>
      <c r="L11" s="717">
        <v>13362031</v>
      </c>
      <c r="M11" s="718">
        <f t="shared" si="4"/>
        <v>-2.3724563250731014</v>
      </c>
      <c r="N11" s="717"/>
      <c r="O11" s="902" t="e">
        <f t="shared" si="4"/>
        <v>#DIV/0!</v>
      </c>
      <c r="P11" s="903">
        <f t="shared" si="6"/>
        <v>-100</v>
      </c>
    </row>
    <row r="12" spans="1:255" s="586" customFormat="1" ht="14.1" customHeight="1">
      <c r="A12" s="716" t="s">
        <v>869</v>
      </c>
      <c r="B12" s="717">
        <v>10886860</v>
      </c>
      <c r="C12" s="718">
        <f t="shared" si="0"/>
        <v>-2.0300918258101968</v>
      </c>
      <c r="D12" s="717">
        <v>11464201</v>
      </c>
      <c r="E12" s="730">
        <f>+(D12-D11)/D11*100</f>
        <v>-2.5649927868422213</v>
      </c>
      <c r="F12" s="717">
        <v>12236880</v>
      </c>
      <c r="G12" s="730">
        <f t="shared" si="5"/>
        <v>0.30204021612731946</v>
      </c>
      <c r="H12" s="717">
        <v>12884711</v>
      </c>
      <c r="I12" s="718">
        <f>+(H12-H11)/H11*100</f>
        <v>1.44238002624413</v>
      </c>
      <c r="J12" s="717">
        <v>13566414</v>
      </c>
      <c r="K12" s="718">
        <f t="shared" si="3"/>
        <v>1.863605595794932</v>
      </c>
      <c r="L12" s="717">
        <v>13471407</v>
      </c>
      <c r="M12" s="718">
        <f>+(L12-L11)/L11*100</f>
        <v>0.8185581967292247</v>
      </c>
      <c r="N12" s="717"/>
      <c r="O12" s="902" t="e">
        <f>+(N12-N11)/N11*100</f>
        <v>#DIV/0!</v>
      </c>
      <c r="P12" s="903">
        <f t="shared" si="6"/>
        <v>-100</v>
      </c>
    </row>
    <row r="13" spans="1:255" s="586" customFormat="1" ht="14.1" customHeight="1">
      <c r="A13" s="716" t="s">
        <v>870</v>
      </c>
      <c r="B13" s="717">
        <v>11061597</v>
      </c>
      <c r="C13" s="718">
        <f t="shared" si="0"/>
        <v>1.6050266100602011</v>
      </c>
      <c r="D13" s="717">
        <v>11918235</v>
      </c>
      <c r="E13" s="730">
        <f>+(D13-D12)/D12*100</f>
        <v>3.960450449185251</v>
      </c>
      <c r="F13" s="717">
        <v>12523723</v>
      </c>
      <c r="G13" s="730">
        <f t="shared" si="5"/>
        <v>2.3440860742280689</v>
      </c>
      <c r="H13" s="717">
        <v>13155308</v>
      </c>
      <c r="I13" s="718">
        <f>+(H13-H12)/H12*100</f>
        <v>2.1001402359742487</v>
      </c>
      <c r="J13" s="717">
        <v>13489364</v>
      </c>
      <c r="K13" s="718">
        <f t="shared" si="3"/>
        <v>-0.56794669542002774</v>
      </c>
      <c r="L13" s="717">
        <v>13470684</v>
      </c>
      <c r="M13" s="718">
        <f>+(L13-L12)/L12*100</f>
        <v>-5.3669226978295586E-3</v>
      </c>
      <c r="N13" s="717"/>
      <c r="O13" s="902" t="e">
        <f>+(N13-N12)/N12*100</f>
        <v>#DIV/0!</v>
      </c>
      <c r="P13" s="903">
        <f t="shared" si="6"/>
        <v>-100</v>
      </c>
    </row>
    <row r="14" spans="1:255" s="586" customFormat="1" ht="14.1" customHeight="1">
      <c r="A14" s="716" t="s">
        <v>871</v>
      </c>
      <c r="B14" s="717">
        <v>11078121</v>
      </c>
      <c r="C14" s="718">
        <f t="shared" si="0"/>
        <v>0.14938168512195843</v>
      </c>
      <c r="D14" s="717">
        <v>11629191</v>
      </c>
      <c r="E14" s="730">
        <f>+(D14-D13)/D13*100</f>
        <v>-2.4252248759988371</v>
      </c>
      <c r="F14" s="717">
        <v>12297151</v>
      </c>
      <c r="G14" s="730">
        <f t="shared" si="5"/>
        <v>-1.8091425369277214</v>
      </c>
      <c r="H14" s="717">
        <v>13072609</v>
      </c>
      <c r="I14" s="718">
        <f>+(H14-H13)/H13*100</f>
        <v>-0.62863598480552485</v>
      </c>
      <c r="J14" s="717">
        <v>13741124</v>
      </c>
      <c r="K14" s="718">
        <f t="shared" si="3"/>
        <v>1.86635930352239</v>
      </c>
      <c r="L14" s="717">
        <v>13660465</v>
      </c>
      <c r="M14" s="718">
        <f>+(L14-L13)/L13*100</f>
        <v>1.4088445694368601</v>
      </c>
      <c r="N14" s="717"/>
      <c r="O14" s="902" t="e">
        <f>+(N14-N13)/N13*100</f>
        <v>#DIV/0!</v>
      </c>
      <c r="P14" s="903">
        <f t="shared" si="6"/>
        <v>-100</v>
      </c>
    </row>
    <row r="15" spans="1:255" s="586" customFormat="1" ht="14.1" customHeight="1">
      <c r="A15" s="716" t="s">
        <v>872</v>
      </c>
      <c r="B15" s="717">
        <v>10984191</v>
      </c>
      <c r="C15" s="718">
        <f t="shared" si="0"/>
        <v>-0.84788747116952412</v>
      </c>
      <c r="D15" s="717">
        <v>11878414</v>
      </c>
      <c r="E15" s="730">
        <f>+(D15-D14)/D14*100</f>
        <v>2.1430811481211376</v>
      </c>
      <c r="F15" s="717">
        <v>12433976</v>
      </c>
      <c r="G15" s="730">
        <f t="shared" si="5"/>
        <v>1.1126560940822872</v>
      </c>
      <c r="H15" s="717">
        <v>13100694</v>
      </c>
      <c r="I15" s="718">
        <f>+(H15-H14)/H14*100</f>
        <v>0.21483852228732611</v>
      </c>
      <c r="J15" s="717">
        <v>13755572</v>
      </c>
      <c r="K15" s="718">
        <f t="shared" si="3"/>
        <v>0.1051442371089876</v>
      </c>
      <c r="L15" s="717">
        <v>13583875</v>
      </c>
      <c r="M15" s="718">
        <f>+(L15-L14)/L14*100</f>
        <v>-0.56066905482353635</v>
      </c>
      <c r="N15" s="717"/>
      <c r="O15" s="902" t="e">
        <f>+(N15-N14)/N14*100</f>
        <v>#DIV/0!</v>
      </c>
      <c r="P15" s="903">
        <f t="shared" si="6"/>
        <v>-100</v>
      </c>
    </row>
    <row r="16" spans="1:255" s="586" customFormat="1" ht="14.1" customHeight="1" thickBot="1">
      <c r="A16" s="913" t="s">
        <v>689</v>
      </c>
      <c r="B16" s="914">
        <v>11030939</v>
      </c>
      <c r="C16" s="915">
        <f t="shared" si="0"/>
        <v>0.42559347338370207</v>
      </c>
      <c r="D16" s="914">
        <v>11821337</v>
      </c>
      <c r="E16" s="916">
        <f>+(D16-D15)/D15*100</f>
        <v>-0.48051027687703091</v>
      </c>
      <c r="F16" s="914">
        <v>12363785</v>
      </c>
      <c r="G16" s="916">
        <f t="shared" si="5"/>
        <v>-0.56450969504846515</v>
      </c>
      <c r="H16" s="914">
        <v>13093230</v>
      </c>
      <c r="I16" s="915">
        <f>+(H16-H15)/H15*100</f>
        <v>-5.6974080915102671E-2</v>
      </c>
      <c r="J16" s="914">
        <v>13713717</v>
      </c>
      <c r="K16" s="915">
        <f t="shared" si="3"/>
        <v>-0.30427669601816631</v>
      </c>
      <c r="L16" s="914">
        <v>13415843</v>
      </c>
      <c r="M16" s="915">
        <f>+(L16-L15)/L15*100</f>
        <v>-1.2369960707088368</v>
      </c>
      <c r="N16" s="914"/>
      <c r="O16" s="917" t="s">
        <v>729</v>
      </c>
      <c r="P16" s="918" t="s">
        <v>729</v>
      </c>
    </row>
    <row r="17" spans="1:21" s="586" customFormat="1" ht="14.1" customHeight="1">
      <c r="A17" s="950" t="s">
        <v>1176</v>
      </c>
      <c r="B17" s="947"/>
      <c r="C17" s="948"/>
      <c r="D17" s="947"/>
      <c r="E17" s="948"/>
      <c r="F17" s="947"/>
      <c r="G17" s="948"/>
      <c r="H17" s="947"/>
      <c r="I17" s="948"/>
      <c r="J17" s="947"/>
      <c r="K17" s="948"/>
      <c r="L17" s="947"/>
      <c r="M17" s="948"/>
      <c r="N17" s="947"/>
      <c r="O17" s="949"/>
      <c r="P17" s="949"/>
    </row>
    <row r="18" spans="1:21" ht="24" customHeight="1" thickBot="1">
      <c r="A18" s="1757" t="s">
        <v>322</v>
      </c>
      <c r="B18" s="1757"/>
      <c r="C18" s="1757"/>
      <c r="D18" s="1757"/>
      <c r="E18" s="1757"/>
      <c r="F18" s="1757"/>
      <c r="G18" s="1757"/>
      <c r="H18" s="1757"/>
      <c r="I18" s="1757"/>
      <c r="J18" s="1757"/>
      <c r="K18" s="1757"/>
      <c r="L18" s="1757"/>
      <c r="M18" s="68"/>
      <c r="N18" s="69"/>
      <c r="O18" s="70"/>
    </row>
    <row r="19" spans="1:21" ht="52.5" customHeight="1">
      <c r="A19" s="160" t="s">
        <v>628</v>
      </c>
      <c r="B19" s="161">
        <v>2011</v>
      </c>
      <c r="C19" s="162" t="s">
        <v>805</v>
      </c>
      <c r="D19" s="161">
        <v>2012</v>
      </c>
      <c r="E19" s="162" t="s">
        <v>805</v>
      </c>
      <c r="F19" s="161">
        <v>2013</v>
      </c>
      <c r="G19" s="162" t="s">
        <v>805</v>
      </c>
      <c r="H19" s="161">
        <v>2014</v>
      </c>
      <c r="I19" s="163" t="s">
        <v>805</v>
      </c>
      <c r="J19" s="161">
        <v>2015</v>
      </c>
      <c r="K19" s="163" t="s">
        <v>805</v>
      </c>
      <c r="L19" s="161">
        <v>2016</v>
      </c>
      <c r="M19" s="163" t="s">
        <v>805</v>
      </c>
      <c r="N19" s="161">
        <v>2017</v>
      </c>
      <c r="O19" s="163" t="s">
        <v>805</v>
      </c>
      <c r="P19" s="164" t="s">
        <v>1217</v>
      </c>
    </row>
    <row r="20" spans="1:21" s="586" customFormat="1" ht="14.1" customHeight="1">
      <c r="A20" s="815" t="s">
        <v>836</v>
      </c>
      <c r="B20" s="816">
        <v>2991561.6954112365</v>
      </c>
      <c r="C20" s="817">
        <v>0.9529742434752686</v>
      </c>
      <c r="D20" s="816">
        <v>3039975</v>
      </c>
      <c r="E20" s="818">
        <f>+((D20/B31)-1)*100</f>
        <v>1.2475533027789698</v>
      </c>
      <c r="F20" s="816">
        <v>2963719</v>
      </c>
      <c r="G20" s="818">
        <f>+((F20/D31)-1)*100</f>
        <v>-0.12260068471707797</v>
      </c>
      <c r="H20" s="816">
        <v>2720965</v>
      </c>
      <c r="I20" s="817">
        <f>+((H20/F31)-1)*100</f>
        <v>-1.4470554529527724</v>
      </c>
      <c r="J20" s="816">
        <v>2821819</v>
      </c>
      <c r="K20" s="817">
        <f>+((J20/H31)-1)*100</f>
        <v>-0.20561367051523671</v>
      </c>
      <c r="L20" s="816">
        <v>2803728</v>
      </c>
      <c r="M20" s="817">
        <f>+((L20/J31)-1)*100</f>
        <v>-1.034473629870436</v>
      </c>
      <c r="N20" s="816">
        <v>2520079</v>
      </c>
      <c r="O20" s="817">
        <f>+((N20/L31)-1)*100</f>
        <v>-6.7168430415722629</v>
      </c>
      <c r="P20" s="819">
        <f>+((N20/L20)-1)*100</f>
        <v>-10.116851563347085</v>
      </c>
    </row>
    <row r="21" spans="1:21" ht="14.25" customHeight="1">
      <c r="A21" s="716" t="s">
        <v>760</v>
      </c>
      <c r="B21" s="717">
        <v>3027766.3283948246</v>
      </c>
      <c r="C21" s="718">
        <f t="shared" ref="C21:C31" si="7">+(B21-B20)/B20*100</f>
        <v>1.210225182356176</v>
      </c>
      <c r="D21" s="717">
        <v>3059708</v>
      </c>
      <c r="E21" s="730">
        <f t="shared" ref="E21:E31" si="8">+(D21-D20)/D20*100</f>
        <v>0.649117180239969</v>
      </c>
      <c r="F21" s="717">
        <v>2969232</v>
      </c>
      <c r="G21" s="730">
        <f>+(F21-F20)/F20*100</f>
        <v>0.1860162856195206</v>
      </c>
      <c r="H21" s="717">
        <v>2855300</v>
      </c>
      <c r="I21" s="718">
        <f t="shared" ref="I21:I26" si="9">+(H21-H20)/H20*100</f>
        <v>4.9370352062595444</v>
      </c>
      <c r="J21" s="717">
        <v>2914541</v>
      </c>
      <c r="K21" s="718">
        <f t="shared" ref="K21:K31" si="10">+(J21-J20)/J20*100</f>
        <v>3.2858946658166235</v>
      </c>
      <c r="L21" s="717">
        <v>2708174</v>
      </c>
      <c r="M21" s="718">
        <f t="shared" ref="M21:M26" si="11">+(L21-L20)/L20*100</f>
        <v>-3.4081052084938341</v>
      </c>
      <c r="N21" s="717">
        <v>2698940</v>
      </c>
      <c r="O21" s="718">
        <f t="shared" ref="O21:O30" si="12">+(N21-N20)/N20*100</f>
        <v>7.0974362311657684</v>
      </c>
      <c r="P21" s="932">
        <f>+((N21/L21)-1)*100</f>
        <v>-0.34096775170280313</v>
      </c>
    </row>
    <row r="22" spans="1:21" ht="14.25" customHeight="1">
      <c r="A22" s="716" t="s">
        <v>761</v>
      </c>
      <c r="B22" s="717">
        <v>3059010</v>
      </c>
      <c r="C22" s="718">
        <f t="shared" si="7"/>
        <v>1.0319049826325022</v>
      </c>
      <c r="D22" s="717">
        <v>3068170</v>
      </c>
      <c r="E22" s="730">
        <f t="shared" si="8"/>
        <v>0.27656233862839197</v>
      </c>
      <c r="F22" s="717">
        <v>2973096</v>
      </c>
      <c r="G22" s="730">
        <f t="shared" ref="G22:G28" si="13">+((F22/F21)-1)*100</f>
        <v>0.13013466108406924</v>
      </c>
      <c r="H22" s="717">
        <v>2871284</v>
      </c>
      <c r="I22" s="718">
        <f t="shared" si="9"/>
        <v>0.55980107169124083</v>
      </c>
      <c r="J22" s="717">
        <v>2898016</v>
      </c>
      <c r="K22" s="718">
        <f t="shared" si="10"/>
        <v>-0.56698464698214912</v>
      </c>
      <c r="L22" s="717">
        <v>2683978</v>
      </c>
      <c r="M22" s="718">
        <f t="shared" si="11"/>
        <v>-0.89344333118920716</v>
      </c>
      <c r="N22" s="717">
        <v>2734104</v>
      </c>
      <c r="O22" s="718">
        <f t="shared" si="12"/>
        <v>1.3028818721423967</v>
      </c>
      <c r="P22" s="932">
        <f>+((N22/L22)-1)*100</f>
        <v>1.8676010012004474</v>
      </c>
    </row>
    <row r="23" spans="1:21" ht="14.25" customHeight="1">
      <c r="A23" s="919" t="s">
        <v>762</v>
      </c>
      <c r="B23" s="920">
        <v>3102039.400431247</v>
      </c>
      <c r="C23" s="921">
        <f t="shared" si="7"/>
        <v>1.4066446474920633</v>
      </c>
      <c r="D23" s="920">
        <v>3058583</v>
      </c>
      <c r="E23" s="922">
        <f t="shared" si="8"/>
        <v>-0.31246638875942334</v>
      </c>
      <c r="F23" s="920">
        <v>2976760</v>
      </c>
      <c r="G23" s="922">
        <f t="shared" si="13"/>
        <v>0.12323853652893568</v>
      </c>
      <c r="H23" s="920">
        <v>2815090</v>
      </c>
      <c r="I23" s="921">
        <f t="shared" si="9"/>
        <v>-1.9571035118783096</v>
      </c>
      <c r="J23" s="920">
        <v>2789168</v>
      </c>
      <c r="K23" s="921">
        <f t="shared" si="10"/>
        <v>-3.7559488974526016</v>
      </c>
      <c r="L23" s="920">
        <v>2671866</v>
      </c>
      <c r="M23" s="921">
        <f t="shared" si="11"/>
        <v>-0.45127046495910172</v>
      </c>
      <c r="N23" s="920">
        <v>2760089</v>
      </c>
      <c r="O23" s="921">
        <f t="shared" si="12"/>
        <v>0.95040276448884164</v>
      </c>
      <c r="P23" s="923">
        <f>+((N23/L23)-1)*100</f>
        <v>3.3019245725646407</v>
      </c>
    </row>
    <row r="24" spans="1:21" ht="14.25" customHeight="1">
      <c r="A24" s="716" t="s">
        <v>763</v>
      </c>
      <c r="B24" s="717">
        <v>3103246</v>
      </c>
      <c r="C24" s="718">
        <f t="shared" si="7"/>
        <v>3.8896977536303876E-2</v>
      </c>
      <c r="D24" s="717">
        <v>3044795</v>
      </c>
      <c r="E24" s="730">
        <f t="shared" si="8"/>
        <v>-0.45079698670920487</v>
      </c>
      <c r="F24" s="717">
        <v>2981302</v>
      </c>
      <c r="G24" s="730">
        <f t="shared" si="13"/>
        <v>0.15258200190810811</v>
      </c>
      <c r="H24" s="717">
        <v>2815276</v>
      </c>
      <c r="I24" s="718">
        <f t="shared" si="9"/>
        <v>6.6072487913352677E-3</v>
      </c>
      <c r="J24" s="717">
        <v>2874835</v>
      </c>
      <c r="K24" s="718">
        <f t="shared" si="10"/>
        <v>3.0714177130958049</v>
      </c>
      <c r="L24" s="717">
        <v>2683126</v>
      </c>
      <c r="M24" s="718">
        <f t="shared" si="11"/>
        <v>0.42142832013282105</v>
      </c>
      <c r="N24" s="717"/>
      <c r="O24" s="902">
        <f t="shared" si="12"/>
        <v>-100</v>
      </c>
      <c r="P24" s="903">
        <f t="shared" ref="P24:P30" si="14">+((N24/M24)-1)*100</f>
        <v>-100</v>
      </c>
    </row>
    <row r="25" spans="1:21" ht="14.25" customHeight="1">
      <c r="A25" s="716" t="s">
        <v>764</v>
      </c>
      <c r="B25" s="717">
        <v>3089309</v>
      </c>
      <c r="C25" s="718">
        <f t="shared" si="7"/>
        <v>-0.44911038312786028</v>
      </c>
      <c r="D25" s="717">
        <v>3040162</v>
      </c>
      <c r="E25" s="730">
        <f t="shared" si="8"/>
        <v>-0.15216131135265265</v>
      </c>
      <c r="F25" s="717">
        <v>2974355</v>
      </c>
      <c r="G25" s="730">
        <f t="shared" si="13"/>
        <v>-0.23301899639821544</v>
      </c>
      <c r="H25" s="717">
        <v>2816946</v>
      </c>
      <c r="I25" s="718">
        <f t="shared" si="9"/>
        <v>5.9319228381160494E-2</v>
      </c>
      <c r="J25" s="717">
        <v>2829934</v>
      </c>
      <c r="K25" s="718">
        <f t="shared" si="10"/>
        <v>-1.5618635504298508</v>
      </c>
      <c r="L25" s="717">
        <v>2679867</v>
      </c>
      <c r="M25" s="718">
        <f t="shared" si="11"/>
        <v>-0.12146280122513815</v>
      </c>
      <c r="N25" s="717"/>
      <c r="O25" s="902" t="e">
        <f t="shared" si="12"/>
        <v>#DIV/0!</v>
      </c>
      <c r="P25" s="903">
        <f t="shared" si="14"/>
        <v>-100</v>
      </c>
    </row>
    <row r="26" spans="1:21" ht="14.25" customHeight="1">
      <c r="A26" s="716" t="s">
        <v>765</v>
      </c>
      <c r="B26" s="717">
        <v>3053242</v>
      </c>
      <c r="C26" s="718">
        <f t="shared" si="7"/>
        <v>-1.1674779052532458</v>
      </c>
      <c r="D26" s="717">
        <v>3042931</v>
      </c>
      <c r="E26" s="730">
        <f t="shared" si="8"/>
        <v>9.1080672674679841E-2</v>
      </c>
      <c r="F26" s="717">
        <v>2970694</v>
      </c>
      <c r="G26" s="730">
        <f t="shared" si="13"/>
        <v>-0.12308550929529538</v>
      </c>
      <c r="H26" s="717">
        <v>2875917</v>
      </c>
      <c r="I26" s="718">
        <f t="shared" si="9"/>
        <v>2.0934373608865773</v>
      </c>
      <c r="J26" s="717">
        <v>2838611</v>
      </c>
      <c r="K26" s="718">
        <f t="shared" si="10"/>
        <v>0.30661492458834733</v>
      </c>
      <c r="L26" s="717">
        <v>2684141</v>
      </c>
      <c r="M26" s="718">
        <f t="shared" si="11"/>
        <v>0.15948552670710897</v>
      </c>
      <c r="N26" s="717"/>
      <c r="O26" s="902" t="e">
        <f t="shared" si="12"/>
        <v>#DIV/0!</v>
      </c>
      <c r="P26" s="903">
        <f t="shared" si="14"/>
        <v>-100</v>
      </c>
    </row>
    <row r="27" spans="1:21" ht="14.25" customHeight="1">
      <c r="A27" s="716" t="s">
        <v>869</v>
      </c>
      <c r="B27" s="717">
        <v>3043525</v>
      </c>
      <c r="C27" s="718">
        <f t="shared" si="7"/>
        <v>-0.31825187784001402</v>
      </c>
      <c r="D27" s="717">
        <v>3038438</v>
      </c>
      <c r="E27" s="730">
        <f t="shared" si="8"/>
        <v>-0.1476536931005008</v>
      </c>
      <c r="F27" s="717">
        <v>2931681</v>
      </c>
      <c r="G27" s="730">
        <f t="shared" si="13"/>
        <v>-1.3132621535573819</v>
      </c>
      <c r="H27" s="717">
        <v>2909657</v>
      </c>
      <c r="I27" s="718">
        <f>+(H27-H26)/H26*100</f>
        <v>1.1731910204640814</v>
      </c>
      <c r="J27" s="717">
        <v>2629792</v>
      </c>
      <c r="K27" s="718">
        <f t="shared" si="10"/>
        <v>-7.3563795814220398</v>
      </c>
      <c r="L27" s="717">
        <v>2690074</v>
      </c>
      <c r="M27" s="718">
        <f>+(L27-L26)/L26*100</f>
        <v>0.22103905867836304</v>
      </c>
      <c r="N27" s="717"/>
      <c r="O27" s="902" t="e">
        <f t="shared" si="12"/>
        <v>#DIV/0!</v>
      </c>
      <c r="P27" s="903">
        <f t="shared" si="14"/>
        <v>-100</v>
      </c>
    </row>
    <row r="28" spans="1:21" ht="14.25" customHeight="1">
      <c r="A28" s="716" t="s">
        <v>870</v>
      </c>
      <c r="B28" s="717">
        <v>3020725</v>
      </c>
      <c r="C28" s="718">
        <f t="shared" si="7"/>
        <v>-0.74913135262565611</v>
      </c>
      <c r="D28" s="717">
        <v>3035071</v>
      </c>
      <c r="E28" s="730">
        <f t="shared" si="8"/>
        <v>-0.11081351668192671</v>
      </c>
      <c r="F28" s="717">
        <v>2883080</v>
      </c>
      <c r="G28" s="730">
        <f t="shared" si="13"/>
        <v>-1.6577860960998114</v>
      </c>
      <c r="H28" s="717">
        <v>2907549</v>
      </c>
      <c r="I28" s="718">
        <f>+(H28-H27)/H27*100</f>
        <v>-7.2448401993774517E-2</v>
      </c>
      <c r="J28" s="717">
        <v>2841359</v>
      </c>
      <c r="K28" s="718">
        <f t="shared" si="10"/>
        <v>8.045008882831798</v>
      </c>
      <c r="L28" s="717">
        <v>2692666</v>
      </c>
      <c r="M28" s="718">
        <f>+(L28-L27)/L27*100</f>
        <v>9.6354226686700822E-2</v>
      </c>
      <c r="N28" s="717"/>
      <c r="O28" s="902" t="e">
        <f t="shared" si="12"/>
        <v>#DIV/0!</v>
      </c>
      <c r="P28" s="903">
        <f t="shared" si="14"/>
        <v>-100</v>
      </c>
    </row>
    <row r="29" spans="1:21" ht="14.25" customHeight="1">
      <c r="A29" s="716" t="s">
        <v>871</v>
      </c>
      <c r="B29" s="717">
        <v>3023173</v>
      </c>
      <c r="C29" s="718">
        <f t="shared" si="7"/>
        <v>8.1040147646674221E-2</v>
      </c>
      <c r="D29" s="717">
        <v>3013973</v>
      </c>
      <c r="E29" s="730">
        <f t="shared" si="8"/>
        <v>-0.6951402454835488</v>
      </c>
      <c r="F29" s="717">
        <v>2856746</v>
      </c>
      <c r="G29" s="730">
        <f>+((F29/F28)-1)*100</f>
        <v>-0.9133981714000261</v>
      </c>
      <c r="H29" s="717">
        <v>2924846</v>
      </c>
      <c r="I29" s="718">
        <f>+(H29-H28)/H28*100</f>
        <v>0.59489969042654145</v>
      </c>
      <c r="J29" s="717">
        <v>2834268</v>
      </c>
      <c r="K29" s="718">
        <f t="shared" si="10"/>
        <v>-0.24956367709958507</v>
      </c>
      <c r="L29" s="717">
        <v>2695038</v>
      </c>
      <c r="M29" s="718">
        <f>+(L29-L28)/L28*100</f>
        <v>8.8091133471436864E-2</v>
      </c>
      <c r="N29" s="717"/>
      <c r="O29" s="902" t="e">
        <f t="shared" si="12"/>
        <v>#DIV/0!</v>
      </c>
      <c r="P29" s="903">
        <f t="shared" si="14"/>
        <v>-100</v>
      </c>
    </row>
    <row r="30" spans="1:21" ht="14.25" customHeight="1">
      <c r="A30" s="716" t="s">
        <v>872</v>
      </c>
      <c r="B30" s="717">
        <v>3021556</v>
      </c>
      <c r="C30" s="718">
        <f t="shared" si="7"/>
        <v>-5.3486849743630285E-2</v>
      </c>
      <c r="D30" s="717">
        <v>3004914</v>
      </c>
      <c r="E30" s="730">
        <f t="shared" si="8"/>
        <v>-0.30056672704101861</v>
      </c>
      <c r="F30" s="717">
        <v>2800861</v>
      </c>
      <c r="G30" s="730">
        <f>+((F30/F29)-1)*100</f>
        <v>-1.9562467226697744</v>
      </c>
      <c r="H30" s="717">
        <v>2868886</v>
      </c>
      <c r="I30" s="718">
        <f>+(H30-H29)/H29*100</f>
        <v>-1.9132631256483248</v>
      </c>
      <c r="J30" s="717">
        <v>2830809</v>
      </c>
      <c r="K30" s="718">
        <f t="shared" si="10"/>
        <v>-0.12204209340824509</v>
      </c>
      <c r="L30" s="717">
        <v>2706609</v>
      </c>
      <c r="M30" s="718">
        <f>+(L30-L29)/L29*100</f>
        <v>0.42934459551219684</v>
      </c>
      <c r="N30" s="717"/>
      <c r="O30" s="902" t="e">
        <f t="shared" si="12"/>
        <v>#DIV/0!</v>
      </c>
      <c r="P30" s="903">
        <f t="shared" si="14"/>
        <v>-100</v>
      </c>
    </row>
    <row r="31" spans="1:21" s="586" customFormat="1" ht="14.1" customHeight="1" thickBot="1">
      <c r="A31" s="913" t="s">
        <v>689</v>
      </c>
      <c r="B31" s="914">
        <v>3002517</v>
      </c>
      <c r="C31" s="915">
        <f t="shared" si="7"/>
        <v>-0.63010581303143154</v>
      </c>
      <c r="D31" s="914">
        <v>2967357</v>
      </c>
      <c r="E31" s="916">
        <f t="shared" si="8"/>
        <v>-1.2498527412098983</v>
      </c>
      <c r="F31" s="914">
        <v>2760917</v>
      </c>
      <c r="G31" s="916">
        <f>+((F31/F30)-1)*100</f>
        <v>-1.4261328927069217</v>
      </c>
      <c r="H31" s="914">
        <f>+'8.4-b Sigortalı Sayıları'!AA5-'8.4-b Sigortalı Sayıları'!AA9</f>
        <v>2827633</v>
      </c>
      <c r="I31" s="915">
        <f>+(H31-H30)/H30*100</f>
        <v>-1.4379449026555953</v>
      </c>
      <c r="J31" s="914">
        <f>+'8.4-b Sigortalı Sayıları'!AC5-'8.4-b Sigortalı Sayıları'!AC9</f>
        <v>2833035</v>
      </c>
      <c r="K31" s="915">
        <f t="shared" si="10"/>
        <v>7.8634764832244075E-2</v>
      </c>
      <c r="L31" s="914">
        <v>2701537</v>
      </c>
      <c r="M31" s="915">
        <f>+(L31-L30)/L30*100</f>
        <v>-0.18739315505120982</v>
      </c>
      <c r="N31" s="914" t="s">
        <v>729</v>
      </c>
      <c r="O31" s="917" t="s">
        <v>729</v>
      </c>
      <c r="P31" s="918" t="s">
        <v>729</v>
      </c>
    </row>
    <row r="32" spans="1:21" ht="16.5" customHeight="1">
      <c r="A32" s="1758" t="s">
        <v>59</v>
      </c>
      <c r="B32" s="1758"/>
      <c r="C32" s="1758"/>
      <c r="D32" s="1758"/>
      <c r="E32" s="1758"/>
      <c r="F32" s="1758"/>
      <c r="G32" s="1758"/>
      <c r="H32" s="1758"/>
      <c r="I32" s="1758"/>
      <c r="J32" s="1758"/>
      <c r="K32" s="1758"/>
      <c r="L32" s="1758"/>
      <c r="M32" s="193" t="s">
        <v>729</v>
      </c>
      <c r="N32" s="104"/>
      <c r="O32" s="104"/>
      <c r="P32" s="104"/>
      <c r="U32" s="3" t="s">
        <v>729</v>
      </c>
    </row>
    <row r="33" spans="1:29" ht="18" customHeight="1" thickBot="1">
      <c r="A33" s="1757" t="s">
        <v>1148</v>
      </c>
      <c r="B33" s="1757"/>
      <c r="C33" s="1757"/>
      <c r="D33" s="1757"/>
      <c r="E33" s="1757"/>
      <c r="F33" s="1757"/>
      <c r="G33" s="1757"/>
      <c r="H33" s="1757"/>
      <c r="I33" s="1757"/>
      <c r="J33" s="1757"/>
      <c r="K33" s="1757"/>
      <c r="L33" s="1757"/>
      <c r="M33" s="15" t="s">
        <v>729</v>
      </c>
    </row>
    <row r="34" spans="1:29" ht="57" customHeight="1">
      <c r="A34" s="160" t="s">
        <v>628</v>
      </c>
      <c r="B34" s="161">
        <v>2011</v>
      </c>
      <c r="C34" s="163" t="s">
        <v>805</v>
      </c>
      <c r="D34" s="161">
        <v>2012</v>
      </c>
      <c r="E34" s="162" t="s">
        <v>805</v>
      </c>
      <c r="F34" s="161">
        <v>2013</v>
      </c>
      <c r="G34" s="162" t="s">
        <v>805</v>
      </c>
      <c r="H34" s="161">
        <v>2014</v>
      </c>
      <c r="I34" s="163" t="s">
        <v>805</v>
      </c>
      <c r="J34" s="161">
        <v>2015</v>
      </c>
      <c r="K34" s="163" t="s">
        <v>805</v>
      </c>
      <c r="L34" s="161">
        <v>2016</v>
      </c>
      <c r="M34" s="163" t="s">
        <v>805</v>
      </c>
      <c r="N34" s="161">
        <v>2017</v>
      </c>
      <c r="O34" s="163" t="s">
        <v>805</v>
      </c>
      <c r="P34" s="164" t="s">
        <v>1217</v>
      </c>
    </row>
    <row r="35" spans="1:29" s="586" customFormat="1" ht="14.1" customHeight="1">
      <c r="A35" s="815" t="s">
        <v>836</v>
      </c>
      <c r="B35" s="816">
        <v>2287486.867606679</v>
      </c>
      <c r="C35" s="817">
        <v>0.21799972077589658</v>
      </c>
      <c r="D35" s="816">
        <v>2563237</v>
      </c>
      <c r="E35" s="818">
        <f>+((D35/B46)-1)*100</f>
        <v>0.35380941194895765</v>
      </c>
      <c r="F35" s="816">
        <v>2667984</v>
      </c>
      <c r="G35" s="818">
        <f>+((F35/D46)-1)*100</f>
        <v>0.20190730291502756</v>
      </c>
      <c r="H35" s="816">
        <v>2838873</v>
      </c>
      <c r="I35" s="817">
        <f>+((H35/F46)-1)*100</f>
        <v>0.59156438750496143</v>
      </c>
      <c r="J35" s="816">
        <v>2926680</v>
      </c>
      <c r="K35" s="817">
        <f>+((J35/H46)-1)*100</f>
        <v>0.60766523788391424</v>
      </c>
      <c r="L35" s="816">
        <v>3034105</v>
      </c>
      <c r="M35" s="817">
        <f>+((L35/J46)-1)*100</f>
        <v>7.0119219163466973E-2</v>
      </c>
      <c r="N35" s="816">
        <v>2971096</v>
      </c>
      <c r="O35" s="817">
        <f>+((N35/L46)-1)*100</f>
        <v>-0.35383140721600981</v>
      </c>
      <c r="P35" s="819">
        <f>+((N35/L35)-1)*100</f>
        <v>-2.0766914790358304</v>
      </c>
    </row>
    <row r="36" spans="1:29" ht="15.75" customHeight="1">
      <c r="A36" s="716" t="s">
        <v>760</v>
      </c>
      <c r="B36" s="717">
        <v>2301439</v>
      </c>
      <c r="C36" s="718">
        <f t="shared" ref="C36:C46" si="15">+(B36-B35)/B35*100</f>
        <v>0.60993278653960858</v>
      </c>
      <c r="D36" s="717">
        <v>2576419</v>
      </c>
      <c r="E36" s="730">
        <f t="shared" ref="E36:E41" si="16">+(D36-D35)/D35*100</f>
        <v>0.51427160266491168</v>
      </c>
      <c r="F36" s="717">
        <v>2670744</v>
      </c>
      <c r="G36" s="730">
        <f t="shared" ref="G36:G41" si="17">+((F36/F35)-1)*100</f>
        <v>0.10344889624525067</v>
      </c>
      <c r="H36" s="717">
        <v>2836699</v>
      </c>
      <c r="I36" s="718">
        <f t="shared" ref="I36:I46" si="18">+(H36-H35)/H35*100</f>
        <v>-7.6579684966534251E-2</v>
      </c>
      <c r="J36" s="717">
        <v>2929385</v>
      </c>
      <c r="K36" s="718">
        <f t="shared" ref="K36:K46" si="19">+(J36-J35)/J35*100</f>
        <v>9.2425547036232181E-2</v>
      </c>
      <c r="L36" s="717">
        <v>3059263</v>
      </c>
      <c r="M36" s="718">
        <f t="shared" ref="M36:M46" si="20">+(L36-L35)/L35*100</f>
        <v>0.82917367724584345</v>
      </c>
      <c r="N36" s="717">
        <v>2965218</v>
      </c>
      <c r="O36" s="718">
        <f>+(N36-N35)/N35*100</f>
        <v>-0.19783945049234355</v>
      </c>
      <c r="P36" s="932">
        <f>+((N36/L36)-1)*100</f>
        <v>-3.0741064105962779</v>
      </c>
    </row>
    <row r="37" spans="1:29" ht="15.75" customHeight="1">
      <c r="A37" s="716" t="s">
        <v>761</v>
      </c>
      <c r="B37" s="717">
        <v>2306478</v>
      </c>
      <c r="C37" s="718">
        <f t="shared" si="15"/>
        <v>0.21894996999703228</v>
      </c>
      <c r="D37" s="717">
        <v>2574644</v>
      </c>
      <c r="E37" s="730">
        <f t="shared" si="16"/>
        <v>-6.8894073518321358E-2</v>
      </c>
      <c r="F37" s="717">
        <v>2651342</v>
      </c>
      <c r="G37" s="730">
        <f t="shared" si="17"/>
        <v>-0.7264642361828777</v>
      </c>
      <c r="H37" s="717">
        <v>2849623</v>
      </c>
      <c r="I37" s="718">
        <f t="shared" si="18"/>
        <v>0.45559997729755608</v>
      </c>
      <c r="J37" s="717">
        <v>2926533</v>
      </c>
      <c r="K37" s="718">
        <f t="shared" si="19"/>
        <v>-9.7358319237655686E-2</v>
      </c>
      <c r="L37" s="717">
        <v>3068719</v>
      </c>
      <c r="M37" s="718">
        <f t="shared" si="20"/>
        <v>0.30909405304480198</v>
      </c>
      <c r="N37" s="717">
        <v>2970810</v>
      </c>
      <c r="O37" s="718">
        <f t="shared" ref="O37:O45" si="21">+(N37-N36)/N36*100</f>
        <v>0.1885864715511642</v>
      </c>
      <c r="P37" s="932">
        <f>+((N37/L37)-1)*100</f>
        <v>-3.1905495420075924</v>
      </c>
    </row>
    <row r="38" spans="1:29" ht="15.75" customHeight="1">
      <c r="A38" s="919" t="s">
        <v>762</v>
      </c>
      <c r="B38" s="920">
        <v>2305863</v>
      </c>
      <c r="C38" s="921">
        <f t="shared" si="15"/>
        <v>-2.6664030612908514E-2</v>
      </c>
      <c r="D38" s="920">
        <v>2569269</v>
      </c>
      <c r="E38" s="922">
        <f t="shared" si="16"/>
        <v>-0.20876672658433551</v>
      </c>
      <c r="F38" s="920">
        <v>2649513</v>
      </c>
      <c r="G38" s="922">
        <f t="shared" si="17"/>
        <v>-6.8983933419375365E-2</v>
      </c>
      <c r="H38" s="920">
        <v>2844868</v>
      </c>
      <c r="I38" s="921">
        <f t="shared" si="18"/>
        <v>-0.16686417817374438</v>
      </c>
      <c r="J38" s="920">
        <v>2928695</v>
      </c>
      <c r="K38" s="921">
        <f t="shared" si="19"/>
        <v>7.3875811412343548E-2</v>
      </c>
      <c r="L38" s="920">
        <v>3062031</v>
      </c>
      <c r="M38" s="921">
        <f t="shared" si="20"/>
        <v>-0.21794110180827897</v>
      </c>
      <c r="N38" s="920">
        <f>+'9.4-c Sigortalı Sayıları'!AH7</f>
        <v>2969930</v>
      </c>
      <c r="O38" s="921">
        <f t="shared" si="21"/>
        <v>-2.9621551024804686E-2</v>
      </c>
      <c r="P38" s="923">
        <f>+((N38/L38)-1)*100</f>
        <v>-3.0078402210820254</v>
      </c>
    </row>
    <row r="39" spans="1:29" ht="15.75" customHeight="1">
      <c r="A39" s="716" t="s">
        <v>763</v>
      </c>
      <c r="B39" s="717">
        <v>2312096</v>
      </c>
      <c r="C39" s="718">
        <f t="shared" si="15"/>
        <v>0.27031094215050938</v>
      </c>
      <c r="D39" s="717">
        <v>2574350</v>
      </c>
      <c r="E39" s="730">
        <f t="shared" si="16"/>
        <v>0.19776053032983312</v>
      </c>
      <c r="F39" s="717">
        <v>2650756</v>
      </c>
      <c r="G39" s="730">
        <f t="shared" si="17"/>
        <v>4.6914281983134742E-2</v>
      </c>
      <c r="H39" s="717">
        <v>2849314</v>
      </c>
      <c r="I39" s="718">
        <f t="shared" si="18"/>
        <v>0.15628141622036595</v>
      </c>
      <c r="J39" s="717">
        <v>2928677</v>
      </c>
      <c r="K39" s="718">
        <f t="shared" si="19"/>
        <v>-6.1460821287296903E-4</v>
      </c>
      <c r="L39" s="717">
        <v>3063975</v>
      </c>
      <c r="M39" s="718">
        <f t="shared" si="20"/>
        <v>6.3487273642886047E-2</v>
      </c>
      <c r="N39" s="717"/>
      <c r="O39" s="902">
        <f t="shared" si="21"/>
        <v>-100</v>
      </c>
      <c r="P39" s="903">
        <f t="shared" ref="P39:P45" si="22">+((N39/M39)-1)*100</f>
        <v>-100</v>
      </c>
    </row>
    <row r="40" spans="1:29" ht="15.75" customHeight="1">
      <c r="A40" s="716" t="s">
        <v>764</v>
      </c>
      <c r="B40" s="717">
        <v>2370551</v>
      </c>
      <c r="C40" s="718">
        <f t="shared" si="15"/>
        <v>2.5282254716067154</v>
      </c>
      <c r="D40" s="717">
        <v>2610813</v>
      </c>
      <c r="E40" s="730">
        <f t="shared" si="16"/>
        <v>1.4163963718997028</v>
      </c>
      <c r="F40" s="717">
        <v>2663305</v>
      </c>
      <c r="G40" s="730">
        <f t="shared" si="17"/>
        <v>0.47341211337443845</v>
      </c>
      <c r="H40" s="717">
        <v>2852087</v>
      </c>
      <c r="I40" s="718">
        <f t="shared" si="18"/>
        <v>9.7321671111011282E-2</v>
      </c>
      <c r="J40" s="717">
        <v>2936848</v>
      </c>
      <c r="K40" s="718">
        <f t="shared" si="19"/>
        <v>0.27899969849867362</v>
      </c>
      <c r="L40" s="717">
        <v>3083240</v>
      </c>
      <c r="M40" s="718">
        <f t="shared" si="20"/>
        <v>0.62875839391639943</v>
      </c>
      <c r="N40" s="717"/>
      <c r="O40" s="902" t="e">
        <f t="shared" si="21"/>
        <v>#DIV/0!</v>
      </c>
      <c r="P40" s="903">
        <f t="shared" si="22"/>
        <v>-100</v>
      </c>
    </row>
    <row r="41" spans="1:29" ht="15.75" customHeight="1">
      <c r="A41" s="716" t="s">
        <v>765</v>
      </c>
      <c r="B41" s="717">
        <v>2376533</v>
      </c>
      <c r="C41" s="718">
        <f t="shared" si="15"/>
        <v>0.25234639541608678</v>
      </c>
      <c r="D41" s="717">
        <v>2613791</v>
      </c>
      <c r="E41" s="730">
        <f t="shared" si="16"/>
        <v>0.11406408655081769</v>
      </c>
      <c r="F41" s="717">
        <v>2668898</v>
      </c>
      <c r="G41" s="730">
        <f t="shared" si="17"/>
        <v>0.2100022340663088</v>
      </c>
      <c r="H41" s="717">
        <v>2864800</v>
      </c>
      <c r="I41" s="718">
        <f t="shared" si="18"/>
        <v>0.44574376588091458</v>
      </c>
      <c r="J41" s="717">
        <v>2948014</v>
      </c>
      <c r="K41" s="718">
        <f t="shared" si="19"/>
        <v>0.38020353794271955</v>
      </c>
      <c r="L41" s="717">
        <v>3071724</v>
      </c>
      <c r="M41" s="718">
        <f t="shared" si="20"/>
        <v>-0.37350319793464021</v>
      </c>
      <c r="N41" s="717"/>
      <c r="O41" s="902" t="e">
        <f t="shared" si="21"/>
        <v>#DIV/0!</v>
      </c>
      <c r="P41" s="903">
        <f t="shared" si="22"/>
        <v>-100</v>
      </c>
    </row>
    <row r="42" spans="1:29" ht="15.75" customHeight="1">
      <c r="A42" s="716" t="s">
        <v>869</v>
      </c>
      <c r="B42" s="717">
        <v>2509484</v>
      </c>
      <c r="C42" s="718">
        <f t="shared" si="15"/>
        <v>5.5943258519869064</v>
      </c>
      <c r="D42" s="717">
        <v>2600540</v>
      </c>
      <c r="E42" s="730">
        <f>+(D42-D41)/D41*100</f>
        <v>-0.50696478792680821</v>
      </c>
      <c r="F42" s="717">
        <v>2663081</v>
      </c>
      <c r="G42" s="730">
        <f>+((F42/F41)-1)*100</f>
        <v>-0.21795512604827483</v>
      </c>
      <c r="H42" s="717">
        <v>2859563</v>
      </c>
      <c r="I42" s="718">
        <f t="shared" si="18"/>
        <v>-0.18280508237922369</v>
      </c>
      <c r="J42" s="717">
        <v>2949836</v>
      </c>
      <c r="K42" s="718">
        <f t="shared" si="19"/>
        <v>6.1804319789526101E-2</v>
      </c>
      <c r="L42" s="717">
        <v>3042243</v>
      </c>
      <c r="M42" s="718">
        <f t="shared" si="20"/>
        <v>-0.95975419666610662</v>
      </c>
      <c r="N42" s="717"/>
      <c r="O42" s="902" t="e">
        <f t="shared" si="21"/>
        <v>#DIV/0!</v>
      </c>
      <c r="P42" s="903">
        <f t="shared" si="22"/>
        <v>-100</v>
      </c>
    </row>
    <row r="43" spans="1:29" ht="15.75" customHeight="1">
      <c r="A43" s="716" t="s">
        <v>870</v>
      </c>
      <c r="B43" s="717">
        <v>2537648.3709038096</v>
      </c>
      <c r="C43" s="718">
        <f t="shared" si="15"/>
        <v>1.1223172135709794</v>
      </c>
      <c r="D43" s="717">
        <v>2613470</v>
      </c>
      <c r="E43" s="730">
        <f>+(D43-D42)/D42*100</f>
        <v>0.497204426772901</v>
      </c>
      <c r="F43" s="717">
        <v>2707070</v>
      </c>
      <c r="G43" s="730">
        <f>+((F43/F42)-1)*100</f>
        <v>1.6518085630891521</v>
      </c>
      <c r="H43" s="717">
        <v>2879940</v>
      </c>
      <c r="I43" s="718">
        <f t="shared" si="18"/>
        <v>0.71259139945509153</v>
      </c>
      <c r="J43" s="717">
        <v>2967562</v>
      </c>
      <c r="K43" s="718">
        <f t="shared" si="19"/>
        <v>0.60091476271901223</v>
      </c>
      <c r="L43" s="717">
        <v>2992784</v>
      </c>
      <c r="M43" s="718">
        <f t="shared" si="20"/>
        <v>-1.6257412705033754</v>
      </c>
      <c r="N43" s="717"/>
      <c r="O43" s="902" t="e">
        <f t="shared" si="21"/>
        <v>#DIV/0!</v>
      </c>
      <c r="P43" s="903">
        <f t="shared" si="22"/>
        <v>-100</v>
      </c>
    </row>
    <row r="44" spans="1:29" ht="15.75" customHeight="1">
      <c r="A44" s="716" t="s">
        <v>871</v>
      </c>
      <c r="B44" s="717">
        <v>2579366</v>
      </c>
      <c r="C44" s="718">
        <f t="shared" si="15"/>
        <v>1.6439483726160327</v>
      </c>
      <c r="D44" s="717">
        <v>2688851</v>
      </c>
      <c r="E44" s="730">
        <f>+(D44-D43)/D43*100</f>
        <v>2.8843262023287046</v>
      </c>
      <c r="F44" s="717">
        <v>2756891</v>
      </c>
      <c r="G44" s="730">
        <f>+((F44/F43)-1)*100</f>
        <v>1.8404030926425952</v>
      </c>
      <c r="H44" s="717">
        <v>2908367</v>
      </c>
      <c r="I44" s="718">
        <f t="shared" si="18"/>
        <v>0.98706917505225811</v>
      </c>
      <c r="J44" s="717">
        <v>3071020</v>
      </c>
      <c r="K44" s="718">
        <f t="shared" si="19"/>
        <v>3.4862961582605516</v>
      </c>
      <c r="L44" s="717">
        <v>2994165</v>
      </c>
      <c r="M44" s="718">
        <f t="shared" si="20"/>
        <v>4.6144325818368449E-2</v>
      </c>
      <c r="N44" s="717"/>
      <c r="O44" s="902" t="e">
        <f t="shared" si="21"/>
        <v>#DIV/0!</v>
      </c>
      <c r="P44" s="903">
        <f t="shared" si="22"/>
        <v>-100</v>
      </c>
    </row>
    <row r="45" spans="1:29" ht="15.75" customHeight="1">
      <c r="A45" s="716" t="s">
        <v>872</v>
      </c>
      <c r="B45" s="717">
        <v>2543634</v>
      </c>
      <c r="C45" s="718">
        <f t="shared" si="15"/>
        <v>-1.3853016594000231</v>
      </c>
      <c r="D45" s="717">
        <v>2622715</v>
      </c>
      <c r="E45" s="730">
        <f>+(D45-D44)/D44*100</f>
        <v>-2.4596379643200756</v>
      </c>
      <c r="F45" s="717">
        <v>2766055</v>
      </c>
      <c r="G45" s="730">
        <f>+((F45/F44)-1)*100</f>
        <v>0.33240342110008037</v>
      </c>
      <c r="H45" s="717">
        <v>2929226</v>
      </c>
      <c r="I45" s="718">
        <f t="shared" si="18"/>
        <v>0.71720659737921655</v>
      </c>
      <c r="J45" s="717">
        <v>2996123</v>
      </c>
      <c r="K45" s="718">
        <f t="shared" si="19"/>
        <v>-2.4388313980371343</v>
      </c>
      <c r="L45" s="717">
        <v>2985474</v>
      </c>
      <c r="M45" s="718">
        <f t="shared" si="20"/>
        <v>-0.2902645645781044</v>
      </c>
      <c r="N45" s="717"/>
      <c r="O45" s="902" t="e">
        <f t="shared" si="21"/>
        <v>#DIV/0!</v>
      </c>
      <c r="P45" s="903">
        <f t="shared" si="22"/>
        <v>-100</v>
      </c>
    </row>
    <row r="46" spans="1:29" s="586" customFormat="1" ht="14.1" customHeight="1" thickBot="1">
      <c r="A46" s="913" t="s">
        <v>689</v>
      </c>
      <c r="B46" s="914">
        <v>2554200</v>
      </c>
      <c r="C46" s="915">
        <f t="shared" si="15"/>
        <v>0.4153899499692173</v>
      </c>
      <c r="D46" s="914">
        <v>2662608</v>
      </c>
      <c r="E46" s="916">
        <f>+(D46-D45)/D45*100</f>
        <v>1.5210573775648517</v>
      </c>
      <c r="F46" s="914">
        <f>+'9.4-c Sigortalı Sayıları'!Z7</f>
        <v>2822178</v>
      </c>
      <c r="G46" s="916">
        <f>+((F46/F45)-1)*100</f>
        <v>2.0289907467494261</v>
      </c>
      <c r="H46" s="914">
        <f>+'9.4-c Sigortalı Sayıları'!AB7</f>
        <v>2909003</v>
      </c>
      <c r="I46" s="915">
        <f t="shared" si="18"/>
        <v>-0.69038715346647883</v>
      </c>
      <c r="J46" s="914">
        <f>+'9.4-c Sigortalı Sayıları'!AD7</f>
        <v>3031979</v>
      </c>
      <c r="K46" s="915">
        <f t="shared" si="19"/>
        <v>1.1967465955169396</v>
      </c>
      <c r="L46" s="914">
        <v>2981646</v>
      </c>
      <c r="M46" s="915">
        <f t="shared" si="20"/>
        <v>-0.12822084533310291</v>
      </c>
      <c r="N46" s="914" t="s">
        <v>729</v>
      </c>
      <c r="O46" s="917" t="s">
        <v>729</v>
      </c>
      <c r="P46" s="918" t="s">
        <v>729</v>
      </c>
    </row>
    <row r="47" spans="1:29" ht="18" customHeight="1">
      <c r="A47" s="1756" t="s">
        <v>1253</v>
      </c>
      <c r="B47" s="1756"/>
      <c r="C47" s="1756"/>
      <c r="D47" s="1756"/>
      <c r="E47" s="1756"/>
      <c r="F47" s="1756"/>
      <c r="G47" s="1756"/>
      <c r="H47" s="1756"/>
      <c r="I47" s="1756"/>
      <c r="J47" s="1756"/>
      <c r="K47" s="1756"/>
      <c r="L47" s="1756"/>
      <c r="M47" s="1756"/>
      <c r="N47" s="1756"/>
      <c r="O47" s="1756"/>
      <c r="P47" s="1756"/>
      <c r="Q47" s="188"/>
      <c r="R47" s="188"/>
      <c r="S47" s="188"/>
      <c r="T47" s="188"/>
      <c r="U47" s="188"/>
      <c r="V47" s="188"/>
      <c r="W47" s="14"/>
      <c r="X47" s="14"/>
      <c r="Y47" s="14"/>
      <c r="Z47" s="14"/>
      <c r="AA47" s="14"/>
      <c r="AB47" s="14"/>
      <c r="AC47" s="14"/>
    </row>
    <row r="48" spans="1:29">
      <c r="A48" s="1754" t="s">
        <v>729</v>
      </c>
      <c r="B48" s="1754"/>
      <c r="C48" s="1754"/>
      <c r="D48" s="1754"/>
      <c r="E48" s="1754"/>
      <c r="F48" s="1754"/>
      <c r="G48" s="1754"/>
      <c r="H48" s="1754"/>
      <c r="I48" s="1754"/>
      <c r="J48" s="1754"/>
      <c r="K48" s="1754"/>
      <c r="L48" s="1754"/>
      <c r="M48" s="885"/>
    </row>
    <row r="49" spans="1:30" ht="15" thickBot="1">
      <c r="A49" s="1755" t="s">
        <v>729</v>
      </c>
      <c r="B49" s="1755"/>
      <c r="C49" s="1755"/>
      <c r="D49" s="1755"/>
      <c r="E49" s="1755"/>
      <c r="F49" s="1755"/>
      <c r="G49" s="1755"/>
      <c r="H49" s="1755"/>
      <c r="I49" s="1755"/>
      <c r="J49" s="1755"/>
      <c r="K49" s="1755"/>
      <c r="L49" s="1755"/>
      <c r="M49" s="1755"/>
      <c r="N49" s="1755"/>
      <c r="O49" s="1755"/>
      <c r="P49" s="1755"/>
      <c r="Q49" s="1755"/>
      <c r="R49" s="1755"/>
      <c r="S49" s="1755"/>
      <c r="T49" s="1755"/>
      <c r="U49" s="1755"/>
      <c r="V49" s="1755"/>
      <c r="W49" s="1755"/>
      <c r="X49" s="1755"/>
      <c r="Y49" s="1755"/>
      <c r="Z49" s="1755"/>
      <c r="AA49" s="1755"/>
      <c r="AB49" s="1755"/>
      <c r="AC49" s="1755"/>
      <c r="AD49" s="1755"/>
    </row>
    <row r="50" spans="1:30" ht="23.25" customHeight="1" thickBot="1">
      <c r="F50" s="1721"/>
      <c r="G50" s="1721"/>
      <c r="H50" s="1721"/>
    </row>
    <row r="51" spans="1:30" ht="13.5" thickTop="1">
      <c r="A51" s="1"/>
      <c r="F51" s="194"/>
      <c r="G51" s="194"/>
      <c r="H51" s="194"/>
      <c r="I51" s="194"/>
      <c r="J51" s="194"/>
      <c r="K51" s="194"/>
    </row>
    <row r="52" spans="1:30">
      <c r="A52" s="1"/>
      <c r="F52" s="194"/>
      <c r="G52" s="194"/>
      <c r="H52" s="194"/>
      <c r="I52" s="194"/>
      <c r="J52" s="194"/>
      <c r="K52" s="194"/>
    </row>
    <row r="53" spans="1:30">
      <c r="A53" s="1"/>
      <c r="F53" s="194"/>
    </row>
    <row r="54" spans="1:30">
      <c r="A54" s="1"/>
      <c r="C54" s="15" t="s">
        <v>729</v>
      </c>
      <c r="F54" s="194"/>
    </row>
    <row r="55" spans="1:30">
      <c r="A55" s="1"/>
      <c r="F55" s="194"/>
    </row>
    <row r="56" spans="1:30">
      <c r="A56" s="1"/>
      <c r="F56" s="194"/>
    </row>
    <row r="57" spans="1:30">
      <c r="A57" s="1"/>
    </row>
  </sheetData>
  <mergeCells count="7">
    <mergeCell ref="A3:L3"/>
    <mergeCell ref="A48:L48"/>
    <mergeCell ref="A49:AD49"/>
    <mergeCell ref="A47:P47"/>
    <mergeCell ref="A18:L18"/>
    <mergeCell ref="A33:L33"/>
    <mergeCell ref="A32:L32"/>
  </mergeCells>
  <phoneticPr fontId="7" type="noConversion"/>
  <pageMargins left="0" right="0" top="0" bottom="0" header="0" footer="0"/>
  <pageSetup paperSize="9" scale="60" orientation="landscape" r:id="rId1"/>
  <headerFooter alignWithMargins="0"/>
  <ignoredErrors>
    <ignoredError sqref="O9:O15 O24:O30 O39:O45" evalError="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ayfa10">
    <tabColor indexed="44"/>
  </sheetPr>
  <dimension ref="A1:IH64"/>
  <sheetViews>
    <sheetView showGridLines="0" topLeftCell="R1" zoomScaleNormal="100" zoomScaleSheetLayoutView="100" workbookViewId="0">
      <selection activeCell="AL41" sqref="AL41"/>
    </sheetView>
  </sheetViews>
  <sheetFormatPr defaultRowHeight="15"/>
  <cols>
    <col min="1" max="1" width="2.7109375" style="1118" customWidth="1"/>
    <col min="2" max="2" width="45.42578125" style="993" customWidth="1"/>
    <col min="3" max="3" width="6.28515625" style="993" hidden="1" customWidth="1"/>
    <col min="4" max="6" width="15.7109375" style="993" hidden="1" customWidth="1"/>
    <col min="7" max="7" width="14.42578125" style="993" hidden="1" customWidth="1"/>
    <col min="8" max="8" width="1.5703125" style="993" hidden="1" customWidth="1"/>
    <col min="9" max="9" width="11.85546875" style="993" bestFit="1" customWidth="1"/>
    <col min="10" max="10" width="8.5703125" style="993" customWidth="1"/>
    <col min="11" max="11" width="11.85546875" style="993" bestFit="1" customWidth="1"/>
    <col min="12" max="12" width="10.7109375" style="993" customWidth="1"/>
    <col min="13" max="13" width="11.85546875" style="993" bestFit="1" customWidth="1"/>
    <col min="14" max="14" width="10.85546875" style="993" customWidth="1"/>
    <col min="15" max="15" width="11.85546875" style="993" bestFit="1" customWidth="1"/>
    <col min="16" max="16" width="8" style="993" customWidth="1"/>
    <col min="17" max="17" width="13.7109375" style="993" customWidth="1"/>
    <col min="18" max="18" width="9.28515625" style="993" customWidth="1"/>
    <col min="19" max="19" width="11.85546875" style="993" bestFit="1" customWidth="1"/>
    <col min="20" max="20" width="8.42578125" style="993" bestFit="1" customWidth="1"/>
    <col min="21" max="21" width="12" style="993" bestFit="1" customWidth="1"/>
    <col min="22" max="22" width="8.42578125" style="993" bestFit="1" customWidth="1"/>
    <col min="23" max="23" width="11.85546875" style="993" bestFit="1" customWidth="1"/>
    <col min="24" max="24" width="8.42578125" style="993" bestFit="1" customWidth="1"/>
    <col min="25" max="25" width="11.85546875" style="993" bestFit="1" customWidth="1"/>
    <col min="26" max="26" width="12.85546875" style="993" customWidth="1"/>
    <col min="27" max="27" width="14.42578125" style="993" customWidth="1"/>
    <col min="28" max="28" width="8.7109375" style="993" customWidth="1"/>
    <col min="29" max="29" width="11.85546875" style="993" bestFit="1" customWidth="1"/>
    <col min="30" max="30" width="8.42578125" style="993" bestFit="1" customWidth="1"/>
    <col min="31" max="31" width="11.85546875" style="993" bestFit="1" customWidth="1"/>
    <col min="32" max="32" width="9.85546875" style="993" customWidth="1"/>
    <col min="33" max="33" width="14.5703125" style="993" customWidth="1"/>
    <col min="34" max="34" width="8.42578125" style="993" bestFit="1" customWidth="1"/>
    <col min="35" max="35" width="11.85546875" style="993" bestFit="1" customWidth="1"/>
    <col min="36" max="36" width="42.5703125" style="1021" customWidth="1"/>
    <col min="37" max="37" width="9.140625" style="993"/>
    <col min="38" max="38" width="10.140625" style="993" bestFit="1" customWidth="1"/>
    <col min="39" max="16384" width="9.140625" style="993"/>
  </cols>
  <sheetData>
    <row r="1" spans="1:242">
      <c r="A1" s="322" t="s">
        <v>284</v>
      </c>
      <c r="B1" s="989"/>
      <c r="C1" s="989"/>
      <c r="D1" s="990"/>
      <c r="E1" s="989"/>
      <c r="F1" s="990"/>
      <c r="G1" s="990"/>
      <c r="H1" s="990"/>
      <c r="I1" s="990"/>
      <c r="J1" s="990"/>
      <c r="K1" s="991"/>
      <c r="L1" s="990"/>
      <c r="M1" s="991"/>
      <c r="N1" s="990"/>
      <c r="O1" s="990"/>
      <c r="P1" s="990"/>
      <c r="Q1" s="990"/>
      <c r="R1" s="990"/>
      <c r="S1" s="990"/>
      <c r="T1" s="990"/>
      <c r="U1" s="990"/>
      <c r="V1" s="990"/>
      <c r="W1" s="990"/>
      <c r="X1" s="990"/>
      <c r="Y1" s="990"/>
      <c r="Z1" s="990"/>
      <c r="AA1" s="990"/>
      <c r="AB1" s="990"/>
      <c r="AC1" s="990" t="s">
        <v>729</v>
      </c>
      <c r="AD1" s="990"/>
      <c r="AE1" s="990"/>
      <c r="AF1" s="990"/>
      <c r="AG1" s="990"/>
      <c r="AH1" s="990"/>
      <c r="AI1" s="990"/>
      <c r="AJ1" s="992" t="s">
        <v>729</v>
      </c>
    </row>
    <row r="2" spans="1:242" ht="13.5" customHeight="1" thickBot="1">
      <c r="A2" s="994" t="s">
        <v>285</v>
      </c>
      <c r="B2" s="995"/>
      <c r="C2" s="989"/>
      <c r="D2" s="996"/>
      <c r="E2" s="989"/>
      <c r="F2" s="996"/>
      <c r="G2" s="996"/>
      <c r="H2" s="996"/>
      <c r="I2" s="997"/>
      <c r="J2" s="997"/>
      <c r="K2" s="998"/>
      <c r="L2" s="998"/>
      <c r="M2" s="999"/>
      <c r="N2" s="999"/>
      <c r="O2" s="999"/>
      <c r="P2" s="992"/>
      <c r="Q2" s="992"/>
      <c r="R2" s="992"/>
      <c r="S2" s="992"/>
      <c r="T2" s="992"/>
      <c r="U2" s="992"/>
      <c r="V2" s="992"/>
      <c r="W2" s="992"/>
      <c r="X2" s="992"/>
      <c r="Y2" s="992"/>
      <c r="Z2" s="992"/>
      <c r="AA2" s="992"/>
      <c r="AB2" s="992"/>
      <c r="AC2" s="992" t="s">
        <v>729</v>
      </c>
      <c r="AD2" s="992"/>
      <c r="AE2" s="992"/>
      <c r="AF2" s="992"/>
      <c r="AG2" s="992"/>
      <c r="AH2" s="992"/>
      <c r="AI2" s="992"/>
      <c r="AJ2" s="992" t="s">
        <v>729</v>
      </c>
    </row>
    <row r="3" spans="1:242" s="1006" customFormat="1" ht="15.75" thickBot="1">
      <c r="A3" s="1000"/>
      <c r="B3" s="1001"/>
      <c r="C3" s="1001"/>
      <c r="D3" s="1002"/>
      <c r="E3" s="1002"/>
      <c r="F3" s="1002"/>
      <c r="G3" s="1002"/>
      <c r="H3" s="1002"/>
      <c r="I3" s="1761" t="s">
        <v>1177</v>
      </c>
      <c r="J3" s="1762"/>
      <c r="K3" s="1762"/>
      <c r="L3" s="1762"/>
      <c r="M3" s="1762"/>
      <c r="N3" s="1762"/>
      <c r="O3" s="1762"/>
      <c r="P3" s="1762"/>
      <c r="Q3" s="1762"/>
      <c r="R3" s="1762"/>
      <c r="S3" s="1762"/>
      <c r="T3" s="1762"/>
      <c r="U3" s="1762"/>
      <c r="V3" s="1762"/>
      <c r="W3" s="1762"/>
      <c r="X3" s="1762"/>
      <c r="Y3" s="1762"/>
      <c r="Z3" s="1762"/>
      <c r="AA3" s="1762"/>
      <c r="AB3" s="1762"/>
      <c r="AC3" s="1762"/>
      <c r="AD3" s="1762"/>
      <c r="AE3" s="1762"/>
      <c r="AF3" s="1762"/>
      <c r="AG3" s="1762"/>
      <c r="AH3" s="1762"/>
      <c r="AI3" s="1763"/>
      <c r="AJ3" s="1003"/>
      <c r="AK3" s="1004"/>
      <c r="AL3" s="1004"/>
      <c r="AM3" s="1005"/>
      <c r="AN3" s="1005"/>
      <c r="AO3" s="1005"/>
      <c r="AP3" s="1005"/>
      <c r="AQ3" s="1005"/>
      <c r="AR3" s="1005"/>
      <c r="AS3" s="1005"/>
      <c r="AT3" s="1005"/>
      <c r="AU3" s="1005"/>
      <c r="AV3" s="1005"/>
      <c r="AW3" s="1005"/>
      <c r="AX3" s="1005"/>
      <c r="AY3" s="1005"/>
      <c r="AZ3" s="1005"/>
      <c r="BA3" s="1005"/>
      <c r="BB3" s="1005"/>
      <c r="BC3" s="1005"/>
      <c r="BD3" s="1005"/>
      <c r="BE3" s="1005"/>
      <c r="BF3" s="1005"/>
      <c r="BG3" s="1005"/>
      <c r="BH3" s="1005"/>
      <c r="BI3" s="1005"/>
      <c r="BJ3" s="1005"/>
      <c r="BK3" s="1005"/>
      <c r="BL3" s="1005"/>
      <c r="BM3" s="1005"/>
      <c r="BN3" s="1005"/>
      <c r="BO3" s="1005"/>
      <c r="BP3" s="1005"/>
      <c r="BQ3" s="1005"/>
      <c r="BR3" s="1005"/>
      <c r="BS3" s="1005"/>
      <c r="BT3" s="1005"/>
      <c r="BU3" s="1005"/>
      <c r="BV3" s="1005"/>
      <c r="BW3" s="1005"/>
      <c r="BX3" s="1005"/>
      <c r="BY3" s="1005"/>
      <c r="BZ3" s="1005"/>
      <c r="CA3" s="1005"/>
      <c r="CB3" s="1005"/>
      <c r="CC3" s="1005"/>
      <c r="CD3" s="1005"/>
      <c r="CE3" s="1005"/>
      <c r="CF3" s="1005"/>
      <c r="CG3" s="1005"/>
      <c r="CH3" s="1005"/>
      <c r="CI3" s="1005"/>
      <c r="CJ3" s="1005"/>
      <c r="CK3" s="1005"/>
      <c r="CL3" s="1005"/>
      <c r="CM3" s="1005"/>
      <c r="CN3" s="1005"/>
      <c r="CO3" s="1005"/>
      <c r="CP3" s="1005"/>
      <c r="CQ3" s="1005"/>
      <c r="CR3" s="1005"/>
      <c r="CS3" s="1005"/>
      <c r="CT3" s="1005"/>
      <c r="CU3" s="1005"/>
      <c r="CV3" s="1005"/>
      <c r="CW3" s="1005"/>
      <c r="CX3" s="1005"/>
      <c r="CY3" s="1005"/>
      <c r="CZ3" s="1005"/>
      <c r="DA3" s="1005"/>
      <c r="DB3" s="1005"/>
      <c r="DC3" s="1005"/>
      <c r="DD3" s="1005"/>
      <c r="DE3" s="1005"/>
      <c r="DF3" s="1005"/>
      <c r="DG3" s="1005"/>
      <c r="DH3" s="1005"/>
      <c r="DI3" s="1005"/>
      <c r="DJ3" s="1005"/>
      <c r="DK3" s="1005"/>
      <c r="DL3" s="1005"/>
      <c r="DM3" s="1005"/>
      <c r="DN3" s="1005"/>
      <c r="DO3" s="1005"/>
      <c r="DP3" s="1005"/>
      <c r="DQ3" s="1005"/>
      <c r="DR3" s="1005"/>
      <c r="DS3" s="1005"/>
      <c r="DT3" s="1005"/>
      <c r="DU3" s="1005"/>
      <c r="DV3" s="1005"/>
      <c r="DW3" s="1005"/>
      <c r="DX3" s="1005"/>
      <c r="DY3" s="1005"/>
      <c r="DZ3" s="1005"/>
      <c r="EA3" s="1005"/>
      <c r="EB3" s="1005"/>
      <c r="EC3" s="1005"/>
      <c r="ED3" s="1005"/>
      <c r="EE3" s="1005"/>
      <c r="EF3" s="1005"/>
      <c r="EG3" s="1005"/>
      <c r="EH3" s="1005"/>
      <c r="EI3" s="1005"/>
      <c r="EJ3" s="1005"/>
      <c r="EK3" s="1005"/>
      <c r="EL3" s="1005"/>
      <c r="EM3" s="1005"/>
      <c r="EN3" s="1005"/>
      <c r="EO3" s="1005"/>
      <c r="EP3" s="1005"/>
      <c r="EQ3" s="1005"/>
      <c r="ER3" s="1005"/>
      <c r="ES3" s="1005"/>
      <c r="ET3" s="1005"/>
      <c r="EU3" s="1005"/>
      <c r="EV3" s="1005"/>
      <c r="EW3" s="1005"/>
      <c r="EX3" s="1005"/>
      <c r="EY3" s="1005"/>
      <c r="EZ3" s="1005"/>
      <c r="FA3" s="1005"/>
      <c r="FB3" s="1005"/>
      <c r="FC3" s="1005"/>
      <c r="FD3" s="1005"/>
      <c r="FE3" s="1005"/>
      <c r="FF3" s="1005"/>
      <c r="FG3" s="1005"/>
      <c r="FH3" s="1005"/>
      <c r="FI3" s="1005"/>
      <c r="FJ3" s="1005"/>
      <c r="FK3" s="1005"/>
      <c r="FL3" s="1005"/>
      <c r="FM3" s="1005"/>
      <c r="FN3" s="1005"/>
      <c r="FO3" s="1005"/>
      <c r="FP3" s="1005"/>
      <c r="FQ3" s="1005"/>
      <c r="FR3" s="1005"/>
      <c r="FS3" s="1005"/>
      <c r="FT3" s="1005"/>
      <c r="FU3" s="1005"/>
      <c r="FV3" s="1005"/>
      <c r="FW3" s="1005"/>
      <c r="FX3" s="1005"/>
      <c r="FY3" s="1005"/>
      <c r="FZ3" s="1005"/>
      <c r="GA3" s="1005"/>
      <c r="GB3" s="1005"/>
      <c r="GC3" s="1005"/>
      <c r="GD3" s="1005"/>
      <c r="GE3" s="1005"/>
      <c r="GF3" s="1005"/>
      <c r="GG3" s="1005"/>
      <c r="GH3" s="1005"/>
      <c r="GI3" s="1005"/>
      <c r="GJ3" s="1005"/>
      <c r="GK3" s="1005"/>
      <c r="GL3" s="1005"/>
      <c r="GM3" s="1005"/>
      <c r="GN3" s="1005"/>
      <c r="GO3" s="1005"/>
      <c r="GP3" s="1005"/>
      <c r="GQ3" s="1005"/>
      <c r="GR3" s="1005"/>
      <c r="GS3" s="1005"/>
      <c r="GT3" s="1005"/>
      <c r="GU3" s="1005"/>
      <c r="GV3" s="1005"/>
      <c r="GW3" s="1005"/>
      <c r="GX3" s="1005"/>
      <c r="GY3" s="1005"/>
      <c r="GZ3" s="1005"/>
      <c r="HA3" s="1005"/>
      <c r="HB3" s="1005"/>
      <c r="HC3" s="1005"/>
      <c r="HD3" s="1005"/>
      <c r="HE3" s="1005"/>
      <c r="HF3" s="1005"/>
      <c r="HG3" s="1005"/>
      <c r="HH3" s="1005"/>
      <c r="HI3" s="1005"/>
      <c r="HJ3" s="1005"/>
      <c r="HK3" s="1005"/>
      <c r="HL3" s="1005"/>
      <c r="HM3" s="1005"/>
      <c r="HN3" s="1005"/>
      <c r="HO3" s="1005"/>
      <c r="HP3" s="1005"/>
      <c r="HQ3" s="1005"/>
      <c r="HR3" s="1005"/>
      <c r="HS3" s="1005"/>
      <c r="HT3" s="1005"/>
      <c r="HU3" s="1005"/>
      <c r="HV3" s="1005"/>
      <c r="HW3" s="1005"/>
      <c r="HX3" s="1005"/>
      <c r="HY3" s="1005"/>
      <c r="HZ3" s="1005"/>
      <c r="IA3" s="1005"/>
      <c r="IB3" s="1005"/>
      <c r="IC3" s="1005"/>
      <c r="ID3" s="1005"/>
      <c r="IE3" s="1005"/>
      <c r="IF3" s="1005"/>
      <c r="IG3" s="1005"/>
      <c r="IH3" s="1005"/>
    </row>
    <row r="4" spans="1:242" s="721" customFormat="1" ht="21.75" customHeight="1">
      <c r="A4" s="1007"/>
      <c r="C4" s="231" t="s">
        <v>729</v>
      </c>
      <c r="D4" s="231" t="s">
        <v>729</v>
      </c>
      <c r="F4" s="342" t="s">
        <v>874</v>
      </c>
      <c r="G4" s="231" t="s">
        <v>729</v>
      </c>
      <c r="H4" s="342" t="s">
        <v>874</v>
      </c>
      <c r="J4" s="342" t="s">
        <v>874</v>
      </c>
      <c r="L4" s="342" t="s">
        <v>874</v>
      </c>
      <c r="N4" s="342" t="s">
        <v>874</v>
      </c>
      <c r="P4" s="342" t="s">
        <v>874</v>
      </c>
      <c r="R4" s="342" t="s">
        <v>874</v>
      </c>
      <c r="S4" s="1008"/>
      <c r="T4" s="342" t="s">
        <v>874</v>
      </c>
      <c r="U4" s="1009" t="s">
        <v>729</v>
      </c>
      <c r="V4" s="342" t="s">
        <v>874</v>
      </c>
      <c r="W4" s="1009" t="s">
        <v>729</v>
      </c>
      <c r="X4" s="342" t="s">
        <v>874</v>
      </c>
      <c r="Y4" s="1009"/>
      <c r="Z4" s="342" t="s">
        <v>874</v>
      </c>
      <c r="AA4" s="1009" t="s">
        <v>729</v>
      </c>
      <c r="AB4" s="342" t="s">
        <v>874</v>
      </c>
      <c r="AC4" s="1009" t="s">
        <v>729</v>
      </c>
      <c r="AD4" s="342" t="s">
        <v>874</v>
      </c>
      <c r="AE4" s="1009" t="s">
        <v>729</v>
      </c>
      <c r="AF4" s="342" t="s">
        <v>874</v>
      </c>
      <c r="AG4" s="1009">
        <v>2016</v>
      </c>
      <c r="AH4" s="342" t="s">
        <v>874</v>
      </c>
      <c r="AI4" s="1010">
        <v>2017</v>
      </c>
      <c r="AJ4" s="1003" t="s">
        <v>729</v>
      </c>
      <c r="AK4" s="1004"/>
      <c r="AL4" s="1004"/>
      <c r="AM4" s="1004"/>
      <c r="AN4" s="1004"/>
      <c r="AO4" s="1004"/>
      <c r="AP4" s="1004"/>
      <c r="AQ4" s="1004"/>
      <c r="AR4" s="1004"/>
      <c r="AS4" s="1004"/>
      <c r="AT4" s="1004"/>
      <c r="AU4" s="1004"/>
      <c r="AV4" s="1004"/>
      <c r="AW4" s="1004"/>
      <c r="AX4" s="1004"/>
      <c r="AY4" s="1004"/>
      <c r="AZ4" s="1004"/>
      <c r="BA4" s="1004"/>
      <c r="BB4" s="1004"/>
      <c r="BC4" s="1004"/>
      <c r="BD4" s="1004"/>
      <c r="BE4" s="1004"/>
      <c r="BF4" s="1004"/>
      <c r="BG4" s="1004"/>
      <c r="BH4" s="1004"/>
      <c r="BI4" s="1004"/>
      <c r="BJ4" s="1004"/>
      <c r="BK4" s="1004"/>
      <c r="BL4" s="1004"/>
      <c r="BM4" s="1004"/>
      <c r="BN4" s="1004"/>
      <c r="BO4" s="1004"/>
      <c r="BP4" s="1004"/>
      <c r="BQ4" s="1004"/>
      <c r="BR4" s="1004"/>
      <c r="BS4" s="1004"/>
      <c r="BT4" s="1004"/>
      <c r="BU4" s="1004"/>
      <c r="BV4" s="1004"/>
      <c r="BW4" s="1004"/>
      <c r="BX4" s="1004"/>
      <c r="BY4" s="1004"/>
      <c r="BZ4" s="1004"/>
      <c r="CA4" s="1004"/>
      <c r="CB4" s="1004"/>
      <c r="CC4" s="1004"/>
      <c r="CD4" s="1004"/>
      <c r="CE4" s="1004"/>
      <c r="CF4" s="1004"/>
      <c r="CG4" s="1004"/>
      <c r="CH4" s="1004"/>
      <c r="CI4" s="1004"/>
      <c r="CJ4" s="1004"/>
      <c r="CK4" s="1004"/>
      <c r="CL4" s="1004"/>
      <c r="CM4" s="1004"/>
      <c r="CN4" s="1004"/>
      <c r="CO4" s="1004"/>
      <c r="CP4" s="1004"/>
      <c r="CQ4" s="1004"/>
      <c r="CR4" s="1004"/>
      <c r="CS4" s="1004"/>
      <c r="CT4" s="1004"/>
      <c r="CU4" s="1004"/>
      <c r="CV4" s="1004"/>
      <c r="CW4" s="1004"/>
      <c r="CX4" s="1004"/>
      <c r="CY4" s="1004"/>
      <c r="CZ4" s="1004"/>
      <c r="DA4" s="1004"/>
      <c r="DB4" s="1004"/>
      <c r="DC4" s="1004"/>
      <c r="DD4" s="1004"/>
      <c r="DE4" s="1004"/>
      <c r="DF4" s="1004"/>
      <c r="DG4" s="1004"/>
      <c r="DH4" s="1004"/>
      <c r="DI4" s="1004"/>
      <c r="DJ4" s="1004"/>
      <c r="DK4" s="1004"/>
      <c r="DL4" s="1004"/>
      <c r="DM4" s="1004"/>
      <c r="DN4" s="1004"/>
      <c r="DO4" s="1004"/>
      <c r="DP4" s="1004"/>
      <c r="DQ4" s="1004"/>
      <c r="DR4" s="1004"/>
      <c r="DS4" s="1004"/>
      <c r="DT4" s="1004"/>
      <c r="DU4" s="1004"/>
      <c r="DV4" s="1004"/>
      <c r="DW4" s="1004"/>
      <c r="DX4" s="1004"/>
      <c r="DY4" s="1004"/>
      <c r="DZ4" s="1004"/>
      <c r="EA4" s="1004"/>
      <c r="EB4" s="1004"/>
      <c r="EC4" s="1004"/>
      <c r="ED4" s="1004"/>
      <c r="EE4" s="1004"/>
      <c r="EF4" s="1004"/>
      <c r="EG4" s="1004"/>
      <c r="EH4" s="1004"/>
      <c r="EI4" s="1004"/>
      <c r="EJ4" s="1004"/>
      <c r="EK4" s="1004"/>
      <c r="EL4" s="1004"/>
      <c r="EM4" s="1004"/>
      <c r="EN4" s="1004"/>
      <c r="EO4" s="1004"/>
      <c r="EP4" s="1004"/>
      <c r="EQ4" s="1004"/>
      <c r="ER4" s="1004"/>
      <c r="ES4" s="1004"/>
      <c r="ET4" s="1004"/>
      <c r="EU4" s="1004"/>
      <c r="EV4" s="1004"/>
      <c r="EW4" s="1004"/>
      <c r="EX4" s="1004"/>
      <c r="EY4" s="1004"/>
      <c r="EZ4" s="1004"/>
      <c r="FA4" s="1004"/>
      <c r="FB4" s="1004"/>
      <c r="FC4" s="1004"/>
      <c r="FD4" s="1004"/>
      <c r="FE4" s="1004"/>
      <c r="FF4" s="1004"/>
      <c r="FG4" s="1004"/>
      <c r="FH4" s="1004"/>
      <c r="FI4" s="1004"/>
      <c r="FJ4" s="1004"/>
      <c r="FK4" s="1004"/>
      <c r="FL4" s="1004"/>
      <c r="FM4" s="1004"/>
      <c r="FN4" s="1004"/>
      <c r="FO4" s="1004"/>
      <c r="FP4" s="1004"/>
      <c r="FQ4" s="1004"/>
      <c r="FR4" s="1004"/>
      <c r="FS4" s="1004"/>
      <c r="FT4" s="1004"/>
      <c r="FU4" s="1004"/>
      <c r="FV4" s="1004"/>
      <c r="FW4" s="1004"/>
      <c r="FX4" s="1004"/>
      <c r="FY4" s="1004"/>
      <c r="FZ4" s="1004"/>
      <c r="GA4" s="1004"/>
      <c r="GB4" s="1004"/>
      <c r="GC4" s="1004"/>
      <c r="GD4" s="1004"/>
      <c r="GE4" s="1004"/>
      <c r="GF4" s="1004"/>
      <c r="GG4" s="1004"/>
      <c r="GH4" s="1004"/>
      <c r="GI4" s="1004"/>
      <c r="GJ4" s="1004"/>
      <c r="GK4" s="1004"/>
      <c r="GL4" s="1004"/>
      <c r="GM4" s="1004"/>
      <c r="GN4" s="1004"/>
      <c r="GO4" s="1004"/>
      <c r="GP4" s="1004"/>
      <c r="GQ4" s="1004"/>
      <c r="GR4" s="1004"/>
      <c r="GS4" s="1004"/>
      <c r="GT4" s="1004"/>
      <c r="GU4" s="1004"/>
      <c r="GV4" s="1004"/>
      <c r="GW4" s="1004"/>
      <c r="GX4" s="1004"/>
      <c r="GY4" s="1004"/>
      <c r="GZ4" s="1004"/>
      <c r="HA4" s="1004"/>
      <c r="HB4" s="1004"/>
      <c r="HC4" s="1004"/>
      <c r="HD4" s="1004"/>
      <c r="HE4" s="1004"/>
      <c r="HF4" s="1004"/>
      <c r="HG4" s="1004"/>
      <c r="HH4" s="1004"/>
      <c r="HI4" s="1004"/>
      <c r="HJ4" s="1004"/>
      <c r="HK4" s="1004"/>
      <c r="HL4" s="1004"/>
      <c r="HM4" s="1004"/>
      <c r="HN4" s="1004"/>
      <c r="HO4" s="1004"/>
      <c r="HP4" s="1004"/>
      <c r="HQ4" s="1004"/>
      <c r="HR4" s="1004"/>
      <c r="HS4" s="1004"/>
      <c r="HT4" s="1004"/>
      <c r="HU4" s="1004"/>
      <c r="HV4" s="1004"/>
      <c r="HW4" s="1004"/>
      <c r="HX4" s="1004"/>
      <c r="HY4" s="1004"/>
      <c r="HZ4" s="1004"/>
      <c r="IA4" s="1004"/>
      <c r="IB4" s="1004"/>
      <c r="IC4" s="1004"/>
      <c r="ID4" s="1004"/>
      <c r="IE4" s="1004"/>
      <c r="IF4" s="1004"/>
      <c r="IG4" s="1004"/>
      <c r="IH4" s="1004"/>
    </row>
    <row r="5" spans="1:242" s="721" customFormat="1" ht="29.25" customHeight="1" thickBot="1">
      <c r="A5" s="987"/>
      <c r="B5" s="1011"/>
      <c r="C5" s="208">
        <v>2000</v>
      </c>
      <c r="D5" s="208">
        <v>2001</v>
      </c>
      <c r="E5" s="208">
        <v>2002</v>
      </c>
      <c r="F5" s="208" t="s">
        <v>875</v>
      </c>
      <c r="G5" s="208">
        <v>2003</v>
      </c>
      <c r="H5" s="208" t="s">
        <v>875</v>
      </c>
      <c r="I5" s="208">
        <v>2004</v>
      </c>
      <c r="J5" s="208" t="s">
        <v>875</v>
      </c>
      <c r="K5" s="208">
        <v>2005</v>
      </c>
      <c r="L5" s="208" t="s">
        <v>875</v>
      </c>
      <c r="M5" s="208">
        <v>2006</v>
      </c>
      <c r="N5" s="208" t="s">
        <v>875</v>
      </c>
      <c r="O5" s="208">
        <v>2007</v>
      </c>
      <c r="P5" s="208" t="s">
        <v>875</v>
      </c>
      <c r="Q5" s="208">
        <v>2008</v>
      </c>
      <c r="R5" s="208" t="s">
        <v>875</v>
      </c>
      <c r="S5" s="208">
        <v>2009</v>
      </c>
      <c r="T5" s="208" t="s">
        <v>875</v>
      </c>
      <c r="U5" s="209">
        <v>2010</v>
      </c>
      <c r="V5" s="208" t="s">
        <v>875</v>
      </c>
      <c r="W5" s="209">
        <v>2011</v>
      </c>
      <c r="X5" s="208" t="s">
        <v>875</v>
      </c>
      <c r="Y5" s="209">
        <v>2012</v>
      </c>
      <c r="Z5" s="208" t="s">
        <v>875</v>
      </c>
      <c r="AA5" s="209">
        <v>2013</v>
      </c>
      <c r="AB5" s="208" t="s">
        <v>875</v>
      </c>
      <c r="AC5" s="209">
        <v>2014</v>
      </c>
      <c r="AD5" s="208" t="s">
        <v>875</v>
      </c>
      <c r="AE5" s="209">
        <v>2015</v>
      </c>
      <c r="AF5" s="208" t="s">
        <v>875</v>
      </c>
      <c r="AG5" s="1012" t="s">
        <v>1129</v>
      </c>
      <c r="AH5" s="208" t="s">
        <v>875</v>
      </c>
      <c r="AI5" s="1013" t="s">
        <v>1170</v>
      </c>
      <c r="AJ5" s="1014" t="s">
        <v>729</v>
      </c>
      <c r="AK5" s="1004"/>
      <c r="AL5" s="1004"/>
      <c r="AM5" s="1004"/>
      <c r="AN5" s="1004"/>
      <c r="AO5" s="1004"/>
      <c r="AP5" s="1004"/>
      <c r="AQ5" s="1004"/>
      <c r="AR5" s="1004"/>
      <c r="AS5" s="1004"/>
      <c r="AT5" s="1004"/>
      <c r="AU5" s="1004"/>
      <c r="AV5" s="1004"/>
      <c r="AW5" s="1004"/>
      <c r="AX5" s="1004"/>
      <c r="AY5" s="1004"/>
      <c r="AZ5" s="1004"/>
      <c r="BA5" s="1004"/>
      <c r="BB5" s="1004"/>
      <c r="BC5" s="1004"/>
      <c r="BD5" s="1004"/>
      <c r="BE5" s="1004"/>
      <c r="BF5" s="1004"/>
      <c r="BG5" s="1004"/>
      <c r="BH5" s="1004"/>
      <c r="BI5" s="1004"/>
      <c r="BJ5" s="1004"/>
      <c r="BK5" s="1004"/>
      <c r="BL5" s="1004"/>
      <c r="BM5" s="1004"/>
      <c r="BN5" s="1004"/>
      <c r="BO5" s="1004"/>
      <c r="BP5" s="1004"/>
      <c r="BQ5" s="1004"/>
      <c r="BR5" s="1004"/>
      <c r="BS5" s="1004"/>
      <c r="BT5" s="1004"/>
      <c r="BU5" s="1004"/>
      <c r="BV5" s="1004"/>
      <c r="BW5" s="1004"/>
      <c r="BX5" s="1004"/>
      <c r="BY5" s="1004"/>
      <c r="BZ5" s="1004"/>
      <c r="CA5" s="1004"/>
      <c r="CB5" s="1004"/>
      <c r="CC5" s="1004"/>
      <c r="CD5" s="1004"/>
      <c r="CE5" s="1004"/>
      <c r="CF5" s="1004"/>
      <c r="CG5" s="1004"/>
      <c r="CH5" s="1004"/>
      <c r="CI5" s="1004"/>
      <c r="CJ5" s="1004"/>
      <c r="CK5" s="1004"/>
      <c r="CL5" s="1004"/>
      <c r="CM5" s="1004"/>
      <c r="CN5" s="1004"/>
      <c r="CO5" s="1004"/>
      <c r="CP5" s="1004"/>
      <c r="CQ5" s="1004"/>
      <c r="CR5" s="1004"/>
      <c r="CS5" s="1004"/>
      <c r="CT5" s="1004"/>
      <c r="CU5" s="1004"/>
      <c r="CV5" s="1004"/>
      <c r="CW5" s="1004"/>
      <c r="CX5" s="1004"/>
      <c r="CY5" s="1004"/>
      <c r="CZ5" s="1004"/>
      <c r="DA5" s="1004"/>
      <c r="DB5" s="1004"/>
      <c r="DC5" s="1004"/>
      <c r="DD5" s="1004"/>
      <c r="DE5" s="1004"/>
      <c r="DF5" s="1004"/>
      <c r="DG5" s="1004"/>
      <c r="DH5" s="1004"/>
      <c r="DI5" s="1004"/>
      <c r="DJ5" s="1004"/>
      <c r="DK5" s="1004"/>
      <c r="DL5" s="1004"/>
      <c r="DM5" s="1004"/>
      <c r="DN5" s="1004"/>
      <c r="DO5" s="1004"/>
      <c r="DP5" s="1004"/>
      <c r="DQ5" s="1004"/>
      <c r="DR5" s="1004"/>
      <c r="DS5" s="1004"/>
      <c r="DT5" s="1004"/>
      <c r="DU5" s="1004"/>
      <c r="DV5" s="1004"/>
      <c r="DW5" s="1004"/>
      <c r="DX5" s="1004"/>
      <c r="DY5" s="1004"/>
      <c r="DZ5" s="1004"/>
      <c r="EA5" s="1004"/>
      <c r="EB5" s="1004"/>
      <c r="EC5" s="1004"/>
      <c r="ED5" s="1004"/>
      <c r="EE5" s="1004"/>
      <c r="EF5" s="1004"/>
      <c r="EG5" s="1004"/>
      <c r="EH5" s="1004"/>
      <c r="EI5" s="1004"/>
      <c r="EJ5" s="1004"/>
      <c r="EK5" s="1004"/>
      <c r="EL5" s="1004"/>
      <c r="EM5" s="1004"/>
      <c r="EN5" s="1004"/>
      <c r="EO5" s="1004"/>
      <c r="EP5" s="1004"/>
      <c r="EQ5" s="1004"/>
      <c r="ER5" s="1004"/>
      <c r="ES5" s="1004"/>
      <c r="ET5" s="1004"/>
      <c r="EU5" s="1004"/>
      <c r="EV5" s="1004"/>
      <c r="EW5" s="1004"/>
      <c r="EX5" s="1004"/>
      <c r="EY5" s="1004"/>
      <c r="EZ5" s="1004"/>
      <c r="FA5" s="1004"/>
      <c r="FB5" s="1004"/>
      <c r="FC5" s="1004"/>
      <c r="FD5" s="1004"/>
      <c r="FE5" s="1004"/>
      <c r="FF5" s="1004"/>
      <c r="FG5" s="1004"/>
      <c r="FH5" s="1004"/>
      <c r="FI5" s="1004"/>
      <c r="FJ5" s="1004"/>
      <c r="FK5" s="1004"/>
      <c r="FL5" s="1004"/>
      <c r="FM5" s="1004"/>
      <c r="FN5" s="1004"/>
      <c r="FO5" s="1004"/>
      <c r="FP5" s="1004"/>
      <c r="FQ5" s="1004"/>
      <c r="FR5" s="1004"/>
      <c r="FS5" s="1004"/>
      <c r="FT5" s="1004"/>
      <c r="FU5" s="1004"/>
      <c r="FV5" s="1004"/>
      <c r="FW5" s="1004"/>
      <c r="FX5" s="1004"/>
      <c r="FY5" s="1004"/>
      <c r="FZ5" s="1004"/>
      <c r="GA5" s="1004"/>
      <c r="GB5" s="1004"/>
      <c r="GC5" s="1004"/>
      <c r="GD5" s="1004"/>
      <c r="GE5" s="1004"/>
      <c r="GF5" s="1004"/>
      <c r="GG5" s="1004"/>
      <c r="GH5" s="1004"/>
      <c r="GI5" s="1004"/>
      <c r="GJ5" s="1004"/>
      <c r="GK5" s="1004"/>
      <c r="GL5" s="1004"/>
      <c r="GM5" s="1004"/>
      <c r="GN5" s="1004"/>
      <c r="GO5" s="1004"/>
      <c r="GP5" s="1004"/>
      <c r="GQ5" s="1004"/>
      <c r="GR5" s="1004"/>
      <c r="GS5" s="1004"/>
      <c r="GT5" s="1004"/>
      <c r="GU5" s="1004"/>
      <c r="GV5" s="1004"/>
      <c r="GW5" s="1004"/>
      <c r="GX5" s="1004"/>
      <c r="GY5" s="1004"/>
      <c r="GZ5" s="1004"/>
      <c r="HA5" s="1004"/>
      <c r="HB5" s="1004"/>
      <c r="HC5" s="1004"/>
      <c r="HD5" s="1004"/>
      <c r="HE5" s="1004"/>
      <c r="HF5" s="1004"/>
      <c r="HG5" s="1004"/>
      <c r="HH5" s="1004"/>
      <c r="HI5" s="1004"/>
      <c r="HJ5" s="1004"/>
      <c r="HK5" s="1004"/>
      <c r="HL5" s="1004"/>
      <c r="HM5" s="1004"/>
      <c r="HN5" s="1004"/>
      <c r="HO5" s="1004"/>
      <c r="HP5" s="1004"/>
      <c r="HQ5" s="1004"/>
      <c r="HR5" s="1004"/>
      <c r="HS5" s="1004"/>
      <c r="HT5" s="1004"/>
      <c r="HU5" s="1004"/>
      <c r="HV5" s="1004"/>
      <c r="HW5" s="1004"/>
      <c r="HX5" s="1004"/>
      <c r="HY5" s="1004"/>
      <c r="HZ5" s="1004"/>
      <c r="IA5" s="1004"/>
      <c r="IB5" s="1004"/>
      <c r="IC5" s="1004"/>
      <c r="ID5" s="1004"/>
      <c r="IE5" s="1004"/>
      <c r="IF5" s="1004"/>
      <c r="IG5" s="1004"/>
      <c r="IH5" s="1004"/>
    </row>
    <row r="6" spans="1:242" s="1021" customFormat="1">
      <c r="A6" s="1015" t="s">
        <v>108</v>
      </c>
      <c r="B6" s="1016"/>
      <c r="C6" s="1017">
        <f>SUM(C7:C13)</f>
        <v>11814556.395722043</v>
      </c>
      <c r="D6" s="1017">
        <v>11474218.644875705</v>
      </c>
      <c r="E6" s="1017">
        <v>12008358.043607362</v>
      </c>
      <c r="F6" s="1018">
        <f>(E6-D6)/D6*100</f>
        <v>4.6551265516471467</v>
      </c>
      <c r="G6" s="1017">
        <f>SUM(G7:G13)</f>
        <v>12289808.124100151</v>
      </c>
      <c r="H6" s="1018">
        <f>(G6-E6)/E6*100</f>
        <v>2.3437848827518817</v>
      </c>
      <c r="I6" s="1017">
        <f>SUM(I7:I13)</f>
        <v>12553264.760933736</v>
      </c>
      <c r="J6" s="1018">
        <f t="shared" ref="J6:J13" si="0">(I6-G6)/G6*100</f>
        <v>2.1437001633650472</v>
      </c>
      <c r="K6" s="1017">
        <f>SUM(K7:K13)</f>
        <v>13156439.226586703</v>
      </c>
      <c r="L6" s="1018">
        <f t="shared" ref="L6:L13" si="1">(K6-I6)/I6*100</f>
        <v>4.8049210873817465</v>
      </c>
      <c r="M6" s="1017">
        <f>SUM(M7:M13)</f>
        <v>14124934.573202595</v>
      </c>
      <c r="N6" s="1018">
        <f t="shared" ref="N6:N13" si="2">(M6-K6)/K6*100</f>
        <v>7.3613789410340136</v>
      </c>
      <c r="O6" s="1017">
        <f>SUM(O7:O13)</f>
        <v>14763075.399228435</v>
      </c>
      <c r="P6" s="1018">
        <f t="shared" ref="P6:R13" si="3">(O6-M6)/M6*100</f>
        <v>4.517832084238476</v>
      </c>
      <c r="Q6" s="1017">
        <f>SUM(Q7:Q13)</f>
        <v>15041267.844924122</v>
      </c>
      <c r="R6" s="1018">
        <f>(Q6-O6)/O6*100</f>
        <v>1.8843800371718369</v>
      </c>
      <c r="S6" s="1017">
        <f>SUM(S7:S13)</f>
        <v>15096728</v>
      </c>
      <c r="T6" s="1018">
        <f t="shared" ref="T6:T13" si="4">(S6-Q6)/Q6*100</f>
        <v>0.36871994866173252</v>
      </c>
      <c r="U6" s="1017">
        <f>SUM(U7:U13)</f>
        <v>16196304</v>
      </c>
      <c r="V6" s="1018">
        <f t="shared" ref="V6:V13" si="5">(U6-S6)/S6*100</f>
        <v>7.283538525699079</v>
      </c>
      <c r="W6" s="1017">
        <v>17374631.196471386</v>
      </c>
      <c r="X6" s="1018">
        <f t="shared" ref="X6:X13" si="6">(W6-U6)/U6*100</f>
        <v>7.2752845122651788</v>
      </c>
      <c r="Y6" s="1017">
        <v>18352859</v>
      </c>
      <c r="Z6" s="1018">
        <f t="shared" ref="Z6:Z13" si="7">(Y6-W6)/W6*100</f>
        <v>5.6302075852250759</v>
      </c>
      <c r="AA6" s="1017">
        <v>18886989</v>
      </c>
      <c r="AB6" s="1018">
        <f t="shared" ref="AB6:AB14" si="8">(AA6-Y6)/Y6*100</f>
        <v>2.9103367491680725</v>
      </c>
      <c r="AC6" s="1017">
        <f>SUM(AC7:AC14)</f>
        <v>19821822</v>
      </c>
      <c r="AD6" s="1018">
        <f t="shared" ref="AD6:AD14" si="9">(AC6-AA6)/AA6*100</f>
        <v>4.9496137261476667</v>
      </c>
      <c r="AE6" s="1017">
        <v>20773227</v>
      </c>
      <c r="AF6" s="1018">
        <f t="shared" ref="AF6:AF14" si="10">(AE6-AC6)/AC6*100</f>
        <v>4.7997858118189134</v>
      </c>
      <c r="AG6" s="1017">
        <v>21131838</v>
      </c>
      <c r="AH6" s="1018">
        <f t="shared" ref="AH6:AH14" si="11">(AG6-AE6)/AE6*100</f>
        <v>1.726313393677352</v>
      </c>
      <c r="AI6" s="1019">
        <f>+AI7+AI8+AI9+AI10+AI11+AI12+AI14+AI13</f>
        <v>21703858</v>
      </c>
      <c r="AJ6" s="1020" t="s">
        <v>693</v>
      </c>
    </row>
    <row r="7" spans="1:242" s="1021" customFormat="1" ht="24" customHeight="1">
      <c r="A7" s="1022"/>
      <c r="B7" s="1023" t="s">
        <v>23</v>
      </c>
      <c r="C7" s="1024">
        <v>9382601.3957220428</v>
      </c>
      <c r="D7" s="1024">
        <v>9055848.6448757052</v>
      </c>
      <c r="E7" s="1024">
        <v>9510972.0436073616</v>
      </c>
      <c r="F7" s="1025">
        <f>(E7-D7)/D7*100</f>
        <v>5.0257399011321828</v>
      </c>
      <c r="G7" s="1024">
        <v>10016469.124100151</v>
      </c>
      <c r="H7" s="1026">
        <f t="shared" ref="H7:H13" si="12">(G7-E7)/E7*100</f>
        <v>5.3148834648562566</v>
      </c>
      <c r="I7" s="1024">
        <v>10520255.760933736</v>
      </c>
      <c r="J7" s="1025">
        <f t="shared" si="0"/>
        <v>5.0295830855350889</v>
      </c>
      <c r="K7" s="1024">
        <v>11150680.226586703</v>
      </c>
      <c r="L7" s="1025">
        <f t="shared" si="1"/>
        <v>5.9924823120176018</v>
      </c>
      <c r="M7" s="1024">
        <v>12048241.573202595</v>
      </c>
      <c r="N7" s="1025">
        <f t="shared" si="2"/>
        <v>8.0493864802599706</v>
      </c>
      <c r="O7" s="1024">
        <v>12728430.399228435</v>
      </c>
      <c r="P7" s="1025">
        <f t="shared" si="3"/>
        <v>5.6455443883089069</v>
      </c>
      <c r="Q7" s="1024">
        <v>12892500.844924122</v>
      </c>
      <c r="R7" s="1025">
        <f t="shared" si="3"/>
        <v>1.2890076824054646</v>
      </c>
      <c r="S7" s="1024">
        <v>13088553</v>
      </c>
      <c r="T7" s="1026">
        <f t="shared" si="4"/>
        <v>1.5206681576683019</v>
      </c>
      <c r="U7" s="1024">
        <f>+'7.4-a Sigortalı Sayıları'!V9+'8.4-b Sigortalı Sayıları'!S6+'9.4-c Sigortalı Sayıları'!T7</f>
        <v>14161165</v>
      </c>
      <c r="V7" s="1026">
        <f t="shared" si="5"/>
        <v>8.1950388251474404</v>
      </c>
      <c r="W7" s="1024">
        <v>15453320</v>
      </c>
      <c r="X7" s="1026">
        <f t="shared" si="6"/>
        <v>9.1246376975340659</v>
      </c>
      <c r="Y7" s="1027">
        <v>16382998</v>
      </c>
      <c r="Z7" s="1026">
        <f t="shared" si="7"/>
        <v>6.0160405660401777</v>
      </c>
      <c r="AA7" s="1027">
        <v>17009124</v>
      </c>
      <c r="AB7" s="1026">
        <f t="shared" si="8"/>
        <v>3.8218035551246485</v>
      </c>
      <c r="AC7" s="1027">
        <v>17951096</v>
      </c>
      <c r="AD7" s="1026">
        <f t="shared" si="9"/>
        <v>5.5380394663475903</v>
      </c>
      <c r="AE7" s="1024">
        <v>18767845</v>
      </c>
      <c r="AF7" s="1026">
        <f t="shared" si="10"/>
        <v>4.5498558973780767</v>
      </c>
      <c r="AG7" s="1024">
        <v>18367294</v>
      </c>
      <c r="AH7" s="1026">
        <f t="shared" si="11"/>
        <v>-2.1342407719160086</v>
      </c>
      <c r="AI7" s="1028">
        <f>+'7.4-a Sigortalı Sayıları'!AJ9+'8.4-b Sigortalı Sayıları'!AG6+'9.4-c Sigortalı Sayıları'!AH7</f>
        <v>18834868</v>
      </c>
      <c r="AJ7" s="1029" t="s">
        <v>522</v>
      </c>
      <c r="AK7" s="1021" t="s">
        <v>729</v>
      </c>
    </row>
    <row r="8" spans="1:242" s="1021" customFormat="1" ht="24" customHeight="1">
      <c r="A8" s="1022"/>
      <c r="B8" s="1023" t="s">
        <v>62</v>
      </c>
      <c r="C8" s="1024">
        <v>253301</v>
      </c>
      <c r="D8" s="1024">
        <v>191187</v>
      </c>
      <c r="E8" s="1024">
        <v>215259</v>
      </c>
      <c r="F8" s="1025">
        <f t="shared" ref="F8:F13" si="13">(E8-D8)/D8*100</f>
        <v>12.590814229000927</v>
      </c>
      <c r="G8" s="1024">
        <v>231915</v>
      </c>
      <c r="H8" s="1026">
        <f t="shared" si="12"/>
        <v>7.7376555684082904</v>
      </c>
      <c r="I8" s="1024">
        <v>219000</v>
      </c>
      <c r="J8" s="1025">
        <f t="shared" si="0"/>
        <v>-5.5688506564905245</v>
      </c>
      <c r="K8" s="1024">
        <v>241032</v>
      </c>
      <c r="L8" s="1025">
        <f t="shared" si="1"/>
        <v>10.06027397260274</v>
      </c>
      <c r="M8" s="1024">
        <v>248340</v>
      </c>
      <c r="N8" s="1025">
        <f t="shared" si="2"/>
        <v>3.0319625609877527</v>
      </c>
      <c r="O8" s="1024">
        <v>158052</v>
      </c>
      <c r="P8" s="1025">
        <f t="shared" si="3"/>
        <v>-36.356607876298625</v>
      </c>
      <c r="Q8" s="1024">
        <v>249292</v>
      </c>
      <c r="R8" s="1025">
        <f t="shared" si="3"/>
        <v>57.727836408270697</v>
      </c>
      <c r="S8" s="1024">
        <v>321649</v>
      </c>
      <c r="T8" s="1026">
        <f t="shared" si="4"/>
        <v>29.024998796591952</v>
      </c>
      <c r="U8" s="1024">
        <f>+'7.4-a Sigortalı Sayıları'!V10</f>
        <v>349581</v>
      </c>
      <c r="V8" s="1026">
        <f t="shared" si="5"/>
        <v>8.6840002611542406</v>
      </c>
      <c r="W8" s="1024">
        <v>298180</v>
      </c>
      <c r="X8" s="1026">
        <f t="shared" si="6"/>
        <v>-14.703602312482658</v>
      </c>
      <c r="Y8" s="1027">
        <v>306617</v>
      </c>
      <c r="Z8" s="1026">
        <f t="shared" si="7"/>
        <v>2.8294989603595142</v>
      </c>
      <c r="AA8" s="1027">
        <v>320730</v>
      </c>
      <c r="AB8" s="1026">
        <f t="shared" si="8"/>
        <v>4.6028106725980624</v>
      </c>
      <c r="AC8" s="1027">
        <v>359948</v>
      </c>
      <c r="AD8" s="1026">
        <f t="shared" si="9"/>
        <v>12.227730489820097</v>
      </c>
      <c r="AE8" s="1024">
        <v>392908</v>
      </c>
      <c r="AF8" s="1026">
        <f t="shared" si="10"/>
        <v>9.1568782157422746</v>
      </c>
      <c r="AG8" s="1024">
        <v>1170080</v>
      </c>
      <c r="AH8" s="1026">
        <f t="shared" si="11"/>
        <v>197.79999389169984</v>
      </c>
      <c r="AI8" s="1028">
        <f>+'7.4-a Sigortalı Sayıları'!AJ10</f>
        <v>457249</v>
      </c>
      <c r="AJ8" s="1029" t="s">
        <v>536</v>
      </c>
    </row>
    <row r="9" spans="1:242" s="1021" customFormat="1" ht="24" customHeight="1">
      <c r="A9" s="1030"/>
      <c r="B9" s="1023" t="s">
        <v>104</v>
      </c>
      <c r="C9" s="1024">
        <v>29109</v>
      </c>
      <c r="D9" s="1024">
        <v>27058</v>
      </c>
      <c r="E9" s="1024">
        <v>33458</v>
      </c>
      <c r="F9" s="1025">
        <f t="shared" si="13"/>
        <v>23.652893783723851</v>
      </c>
      <c r="G9" s="1024">
        <v>40409</v>
      </c>
      <c r="H9" s="1026">
        <f t="shared" si="12"/>
        <v>20.775300376591549</v>
      </c>
      <c r="I9" s="1024">
        <v>47918</v>
      </c>
      <c r="J9" s="1025">
        <f t="shared" si="0"/>
        <v>18.58249399886164</v>
      </c>
      <c r="K9" s="1024">
        <v>47332</v>
      </c>
      <c r="L9" s="1025">
        <f t="shared" si="1"/>
        <v>-1.2229224925915105</v>
      </c>
      <c r="M9" s="1024">
        <v>56093</v>
      </c>
      <c r="N9" s="1025">
        <f t="shared" si="2"/>
        <v>18.509676328910672</v>
      </c>
      <c r="O9" s="1024">
        <v>50720</v>
      </c>
      <c r="P9" s="1025">
        <f t="shared" si="3"/>
        <v>-9.578735314566881</v>
      </c>
      <c r="Q9" s="1024">
        <v>48401</v>
      </c>
      <c r="R9" s="1025">
        <f t="shared" si="3"/>
        <v>-4.5721608832807572</v>
      </c>
      <c r="S9" s="1024">
        <v>35930</v>
      </c>
      <c r="T9" s="1026">
        <f t="shared" si="4"/>
        <v>-25.765996570318794</v>
      </c>
      <c r="U9" s="1024">
        <f>+'7.4-a Sigortalı Sayıları'!V11</f>
        <v>25778</v>
      </c>
      <c r="V9" s="1026">
        <f t="shared" si="5"/>
        <v>-28.25494016142499</v>
      </c>
      <c r="W9" s="1024">
        <v>32867</v>
      </c>
      <c r="X9" s="1026">
        <f t="shared" si="6"/>
        <v>27.500193963845138</v>
      </c>
      <c r="Y9" s="1027">
        <v>34600</v>
      </c>
      <c r="Z9" s="1026">
        <f t="shared" si="7"/>
        <v>5.2727659962880704</v>
      </c>
      <c r="AA9" s="1027">
        <v>34987</v>
      </c>
      <c r="AB9" s="1026">
        <f t="shared" si="8"/>
        <v>1.1184971098265895</v>
      </c>
      <c r="AC9" s="1027">
        <v>28297</v>
      </c>
      <c r="AD9" s="1026">
        <f t="shared" si="9"/>
        <v>-19.12138794409352</v>
      </c>
      <c r="AE9" s="1024">
        <v>29926</v>
      </c>
      <c r="AF9" s="1026">
        <f t="shared" si="10"/>
        <v>5.7567940064317771</v>
      </c>
      <c r="AG9" s="1024">
        <v>24710</v>
      </c>
      <c r="AH9" s="1026">
        <f t="shared" si="11"/>
        <v>-17.429659827574685</v>
      </c>
      <c r="AI9" s="1028">
        <f>+'7.4-a Sigortalı Sayıları'!AJ11</f>
        <v>23397</v>
      </c>
      <c r="AJ9" s="1029" t="s">
        <v>84</v>
      </c>
    </row>
    <row r="10" spans="1:242" s="1021" customFormat="1" ht="24" customHeight="1">
      <c r="A10" s="1022"/>
      <c r="B10" s="1023" t="s">
        <v>1178</v>
      </c>
      <c r="C10" s="1024">
        <v>184675</v>
      </c>
      <c r="D10" s="1024">
        <v>142306</v>
      </c>
      <c r="E10" s="1024">
        <v>149163</v>
      </c>
      <c r="F10" s="1025">
        <f t="shared" si="13"/>
        <v>4.8184897333914245</v>
      </c>
      <c r="G10" s="1024">
        <v>165268</v>
      </c>
      <c r="H10" s="1026">
        <f t="shared" si="12"/>
        <v>10.796913443682413</v>
      </c>
      <c r="I10" s="1024">
        <v>176717</v>
      </c>
      <c r="J10" s="1025">
        <f t="shared" si="0"/>
        <v>6.9275358811143111</v>
      </c>
      <c r="K10" s="1024">
        <v>178178</v>
      </c>
      <c r="L10" s="1025">
        <f t="shared" si="1"/>
        <v>0.82674558757787875</v>
      </c>
      <c r="M10" s="1024">
        <v>187951</v>
      </c>
      <c r="N10" s="1025">
        <f t="shared" si="2"/>
        <v>5.4849644737285184</v>
      </c>
      <c r="O10" s="1024">
        <v>215340</v>
      </c>
      <c r="P10" s="1025">
        <f t="shared" si="3"/>
        <v>14.572415150757379</v>
      </c>
      <c r="Q10" s="1024">
        <v>218094</v>
      </c>
      <c r="R10" s="1025">
        <f t="shared" si="3"/>
        <v>1.2789077737531347</v>
      </c>
      <c r="S10" s="1024">
        <v>178541</v>
      </c>
      <c r="T10" s="1026">
        <f t="shared" si="4"/>
        <v>-18.13575797591864</v>
      </c>
      <c r="U10" s="1024">
        <f>+'7.4-a Sigortalı Sayıları'!V12</f>
        <v>152802</v>
      </c>
      <c r="V10" s="1026">
        <f t="shared" si="5"/>
        <v>-14.416296536929893</v>
      </c>
      <c r="W10" s="1024">
        <v>124911</v>
      </c>
      <c r="X10" s="1026">
        <f t="shared" si="6"/>
        <v>-18.253033337259982</v>
      </c>
      <c r="Y10" s="1027">
        <v>85717</v>
      </c>
      <c r="Z10" s="1026">
        <f t="shared" si="7"/>
        <v>-31.377540809056047</v>
      </c>
      <c r="AA10" s="1027">
        <v>62988</v>
      </c>
      <c r="AB10" s="1026">
        <f t="shared" si="8"/>
        <v>-26.516326982978871</v>
      </c>
      <c r="AC10" s="1027">
        <v>46996</v>
      </c>
      <c r="AD10" s="1026">
        <f t="shared" si="9"/>
        <v>-25.388962977074996</v>
      </c>
      <c r="AE10" s="1024">
        <v>40615</v>
      </c>
      <c r="AF10" s="1026">
        <f t="shared" si="10"/>
        <v>-13.577751297982807</v>
      </c>
      <c r="AG10" s="1024">
        <v>36125</v>
      </c>
      <c r="AH10" s="1026">
        <f t="shared" si="11"/>
        <v>-11.055028930198203</v>
      </c>
      <c r="AI10" s="1028">
        <f>+'7.4-a Sigortalı Sayıları'!AJ12</f>
        <v>29699</v>
      </c>
      <c r="AJ10" s="1029" t="s">
        <v>677</v>
      </c>
    </row>
    <row r="11" spans="1:242" s="1021" customFormat="1" ht="24" customHeight="1">
      <c r="A11" s="1022"/>
      <c r="B11" s="1023" t="s">
        <v>98</v>
      </c>
      <c r="C11" s="1024">
        <v>876148</v>
      </c>
      <c r="D11" s="1024">
        <v>889149</v>
      </c>
      <c r="E11" s="1024">
        <v>890976</v>
      </c>
      <c r="F11" s="1025">
        <f t="shared" si="13"/>
        <v>0.2054773721839647</v>
      </c>
      <c r="G11" s="1024">
        <v>923234</v>
      </c>
      <c r="H11" s="1026">
        <f t="shared" si="12"/>
        <v>3.6205240096253997</v>
      </c>
      <c r="I11" s="1024">
        <v>997937</v>
      </c>
      <c r="J11" s="1025">
        <f t="shared" si="0"/>
        <v>8.0914481052474247</v>
      </c>
      <c r="K11" s="1024">
        <v>1011333</v>
      </c>
      <c r="L11" s="1025">
        <f t="shared" si="1"/>
        <v>1.342369307882161</v>
      </c>
      <c r="M11" s="1024">
        <v>1049206</v>
      </c>
      <c r="N11" s="1025">
        <f t="shared" si="2"/>
        <v>3.7448595072048474</v>
      </c>
      <c r="O11" s="1024">
        <v>1079785</v>
      </c>
      <c r="P11" s="1025">
        <f t="shared" si="3"/>
        <v>2.914489623582023</v>
      </c>
      <c r="Q11" s="1024">
        <v>1127744</v>
      </c>
      <c r="R11" s="1025">
        <f t="shared" si="3"/>
        <v>4.4415323420866191</v>
      </c>
      <c r="S11" s="1024">
        <v>1014948</v>
      </c>
      <c r="T11" s="1026">
        <f t="shared" si="4"/>
        <v>-10.001915328301457</v>
      </c>
      <c r="U11" s="1024">
        <f>+'8.4-b Sigortalı Sayıları'!S7</f>
        <v>1101131</v>
      </c>
      <c r="V11" s="1026">
        <f t="shared" si="5"/>
        <v>8.4913709864938891</v>
      </c>
      <c r="W11" s="1024">
        <v>1121777</v>
      </c>
      <c r="X11" s="1026">
        <f t="shared" si="6"/>
        <v>1.8749812692586076</v>
      </c>
      <c r="Y11" s="1027">
        <v>1056852</v>
      </c>
      <c r="Z11" s="1026">
        <f t="shared" si="7"/>
        <v>-5.7876922062049765</v>
      </c>
      <c r="AA11" s="1027">
        <v>928454</v>
      </c>
      <c r="AB11" s="1026">
        <f t="shared" si="8"/>
        <v>-12.149099400862182</v>
      </c>
      <c r="AC11" s="1027">
        <v>864468</v>
      </c>
      <c r="AD11" s="1026">
        <f t="shared" si="9"/>
        <v>-6.8916715313844303</v>
      </c>
      <c r="AE11" s="1024">
        <v>797334</v>
      </c>
      <c r="AF11" s="1026">
        <f t="shared" si="10"/>
        <v>-7.765932342203528</v>
      </c>
      <c r="AG11" s="1024">
        <v>717876</v>
      </c>
      <c r="AH11" s="1026">
        <f t="shared" si="11"/>
        <v>-9.9654598951004214</v>
      </c>
      <c r="AI11" s="1028">
        <f>+'8.4-b Sigortalı Sayıları'!AG7</f>
        <v>728918</v>
      </c>
      <c r="AJ11" s="1029" t="s">
        <v>42</v>
      </c>
      <c r="AK11" s="992" t="s">
        <v>729</v>
      </c>
    </row>
    <row r="12" spans="1:242" s="1021" customFormat="1" ht="24" customHeight="1">
      <c r="A12" s="1022"/>
      <c r="B12" s="1023" t="s">
        <v>618</v>
      </c>
      <c r="C12" s="1024">
        <v>28233</v>
      </c>
      <c r="D12" s="1024">
        <v>30689</v>
      </c>
      <c r="E12" s="1024">
        <v>28705</v>
      </c>
      <c r="F12" s="1025">
        <f t="shared" si="13"/>
        <v>-6.4648571149271721</v>
      </c>
      <c r="G12" s="1024">
        <v>23239</v>
      </c>
      <c r="H12" s="1026">
        <f t="shared" si="12"/>
        <v>-19.041978749346804</v>
      </c>
      <c r="I12" s="1024">
        <v>25162</v>
      </c>
      <c r="J12" s="1025">
        <f t="shared" si="0"/>
        <v>8.2748827402211802</v>
      </c>
      <c r="K12" s="1024">
        <v>21938</v>
      </c>
      <c r="L12" s="1025">
        <f t="shared" si="1"/>
        <v>-12.812971941817025</v>
      </c>
      <c r="M12" s="1024">
        <v>19629</v>
      </c>
      <c r="N12" s="1025">
        <f t="shared" si="2"/>
        <v>-10.525116236666971</v>
      </c>
      <c r="O12" s="1024">
        <v>17742</v>
      </c>
      <c r="P12" s="1025">
        <f t="shared" si="3"/>
        <v>-9.6133272199296957</v>
      </c>
      <c r="Q12" s="1024">
        <v>14070</v>
      </c>
      <c r="R12" s="1025">
        <f t="shared" si="3"/>
        <v>-20.696652012174503</v>
      </c>
      <c r="S12" s="1024">
        <v>15200</v>
      </c>
      <c r="T12" s="1026">
        <f t="shared" si="4"/>
        <v>8.031272210376688</v>
      </c>
      <c r="U12" s="1024">
        <f>+'8.4-b Sigortalı Sayıları'!S8</f>
        <v>14348</v>
      </c>
      <c r="V12" s="1026">
        <f t="shared" si="5"/>
        <v>-5.6052631578947372</v>
      </c>
      <c r="W12" s="1024">
        <v>12559</v>
      </c>
      <c r="X12" s="1026">
        <f t="shared" si="6"/>
        <v>-12.468636743797044</v>
      </c>
      <c r="Y12" s="1027">
        <v>11452</v>
      </c>
      <c r="Z12" s="1026">
        <f t="shared" si="7"/>
        <v>-8.8143960506409744</v>
      </c>
      <c r="AA12" s="1027">
        <v>10524</v>
      </c>
      <c r="AB12" s="1026">
        <f t="shared" si="8"/>
        <v>-8.103388054488299</v>
      </c>
      <c r="AC12" s="1027">
        <v>15447</v>
      </c>
      <c r="AD12" s="1026">
        <f t="shared" si="9"/>
        <v>46.778791334093498</v>
      </c>
      <c r="AE12" s="1024">
        <v>14544</v>
      </c>
      <c r="AF12" s="1026">
        <f t="shared" si="10"/>
        <v>-5.8457953000582634</v>
      </c>
      <c r="AG12" s="1024">
        <v>13856</v>
      </c>
      <c r="AH12" s="1026">
        <f t="shared" si="11"/>
        <v>-4.7304730473047307</v>
      </c>
      <c r="AI12" s="1028">
        <f>+'8.4-b Sigortalı Sayıları'!AG8</f>
        <v>15592</v>
      </c>
      <c r="AJ12" s="1029" t="s">
        <v>537</v>
      </c>
    </row>
    <row r="13" spans="1:242" s="1021" customFormat="1" ht="24" customHeight="1">
      <c r="A13" s="1022"/>
      <c r="B13" s="1023" t="s">
        <v>1267</v>
      </c>
      <c r="C13" s="1024">
        <v>1060489</v>
      </c>
      <c r="D13" s="1024">
        <v>1137981</v>
      </c>
      <c r="E13" s="1024">
        <v>1179825</v>
      </c>
      <c r="F13" s="1025">
        <f t="shared" si="13"/>
        <v>3.6770385445802698</v>
      </c>
      <c r="G13" s="1024">
        <v>889274</v>
      </c>
      <c r="H13" s="1026">
        <f t="shared" si="12"/>
        <v>-24.626618354416969</v>
      </c>
      <c r="I13" s="1024">
        <v>566275</v>
      </c>
      <c r="J13" s="1025">
        <f t="shared" si="0"/>
        <v>-36.321651144641578</v>
      </c>
      <c r="K13" s="1024">
        <v>505946</v>
      </c>
      <c r="L13" s="1025">
        <f t="shared" si="1"/>
        <v>-10.653657675157829</v>
      </c>
      <c r="M13" s="1024">
        <v>515474</v>
      </c>
      <c r="N13" s="1025">
        <f t="shared" si="2"/>
        <v>1.8832049270080204</v>
      </c>
      <c r="O13" s="1024">
        <v>513006</v>
      </c>
      <c r="P13" s="1025">
        <f t="shared" si="3"/>
        <v>-0.47878263501165913</v>
      </c>
      <c r="Q13" s="1024">
        <v>491166</v>
      </c>
      <c r="R13" s="1025">
        <f t="shared" si="3"/>
        <v>-4.2572601490041055</v>
      </c>
      <c r="S13" s="1024">
        <v>441907</v>
      </c>
      <c r="T13" s="1026">
        <f t="shared" si="4"/>
        <v>-10.028992234804527</v>
      </c>
      <c r="U13" s="1027">
        <f>+'7.4-a Sigortalı Sayıları'!V13+'8.4-b Sigortalı Sayıları'!S9</f>
        <v>391499</v>
      </c>
      <c r="V13" s="1026">
        <f t="shared" si="5"/>
        <v>-11.406924986479055</v>
      </c>
      <c r="W13" s="1027">
        <v>331017.19647138508</v>
      </c>
      <c r="X13" s="1026">
        <f t="shared" si="6"/>
        <v>-15.448775993965484</v>
      </c>
      <c r="Y13" s="1027">
        <v>356340</v>
      </c>
      <c r="Z13" s="1026">
        <f t="shared" si="7"/>
        <v>7.6499963743738508</v>
      </c>
      <c r="AA13" s="1027">
        <v>399854</v>
      </c>
      <c r="AB13" s="1026">
        <f t="shared" si="8"/>
        <v>12.211371162373014</v>
      </c>
      <c r="AC13" s="1027">
        <v>408678</v>
      </c>
      <c r="AD13" s="1026">
        <f t="shared" si="9"/>
        <v>2.2068054840016607</v>
      </c>
      <c r="AE13" s="1024">
        <v>444374</v>
      </c>
      <c r="AF13" s="1026">
        <f t="shared" si="10"/>
        <v>8.7345049158506196</v>
      </c>
      <c r="AG13" s="1024">
        <v>442552</v>
      </c>
      <c r="AH13" s="1026">
        <f t="shared" si="11"/>
        <v>-0.41001498737549902</v>
      </c>
      <c r="AI13" s="1028">
        <f>+'7.4-a Sigortalı Sayıları'!AJ13+'8.4-b Sigortalı Sayıları'!AG9+'9.4-c Sigortalı Sayıları'!AH8+'9.4-c Sigortalı Sayıları'!AH9</f>
        <v>432719</v>
      </c>
      <c r="AJ13" s="1029" t="s">
        <v>523</v>
      </c>
    </row>
    <row r="14" spans="1:242" s="1021" customFormat="1" ht="24" customHeight="1">
      <c r="A14" s="1022"/>
      <c r="B14" s="1023" t="s">
        <v>1238</v>
      </c>
      <c r="C14" s="1024"/>
      <c r="D14" s="1024"/>
      <c r="E14" s="1024"/>
      <c r="F14" s="1025"/>
      <c r="G14" s="1024"/>
      <c r="H14" s="1026"/>
      <c r="I14" s="1024"/>
      <c r="J14" s="1025"/>
      <c r="K14" s="1024"/>
      <c r="L14" s="1025"/>
      <c r="M14" s="1024"/>
      <c r="N14" s="1025"/>
      <c r="O14" s="1024"/>
      <c r="P14" s="1025"/>
      <c r="Q14" s="1024"/>
      <c r="R14" s="1025"/>
      <c r="S14" s="1024"/>
      <c r="T14" s="1026"/>
      <c r="U14" s="1027"/>
      <c r="V14" s="1026"/>
      <c r="W14" s="1027"/>
      <c r="X14" s="1026"/>
      <c r="Y14" s="1027">
        <v>118283</v>
      </c>
      <c r="Z14" s="1026">
        <v>0</v>
      </c>
      <c r="AA14" s="1027">
        <v>120328</v>
      </c>
      <c r="AB14" s="1026">
        <f t="shared" si="8"/>
        <v>1.7289044072267359</v>
      </c>
      <c r="AC14" s="1027">
        <v>146892</v>
      </c>
      <c r="AD14" s="1026">
        <f t="shared" si="9"/>
        <v>22.076324712452632</v>
      </c>
      <c r="AE14" s="1024">
        <v>285681</v>
      </c>
      <c r="AF14" s="1026">
        <f t="shared" si="10"/>
        <v>94.483702311902618</v>
      </c>
      <c r="AG14" s="1024">
        <v>359345</v>
      </c>
      <c r="AH14" s="1026">
        <f t="shared" si="11"/>
        <v>25.785403999565947</v>
      </c>
      <c r="AI14" s="1028">
        <f>+'10.4-a İL DAĞILIM'!F97</f>
        <v>1181416</v>
      </c>
      <c r="AJ14" s="1029"/>
    </row>
    <row r="15" spans="1:242" s="1021" customFormat="1" ht="24" customHeight="1">
      <c r="A15" s="1766" t="s">
        <v>107</v>
      </c>
      <c r="B15" s="1767"/>
      <c r="C15" s="1024"/>
      <c r="D15" s="1024"/>
      <c r="E15" s="1024"/>
      <c r="F15" s="1025"/>
      <c r="G15" s="1024"/>
      <c r="H15" s="1025"/>
      <c r="I15" s="1024"/>
      <c r="J15" s="1025"/>
      <c r="K15" s="1024"/>
      <c r="L15" s="1025"/>
      <c r="M15" s="1024"/>
      <c r="N15" s="1025"/>
      <c r="O15" s="1024"/>
      <c r="P15" s="1025"/>
      <c r="Q15" s="1023"/>
      <c r="R15" s="1025"/>
      <c r="S15" s="1023"/>
      <c r="T15" s="1025"/>
      <c r="U15" s="1023"/>
      <c r="V15" s="1025"/>
      <c r="W15" s="1023"/>
      <c r="X15" s="1025"/>
      <c r="Y15" s="992"/>
      <c r="Z15" s="1025"/>
      <c r="AA15" s="1025"/>
      <c r="AB15" s="1025"/>
      <c r="AC15" s="1025"/>
      <c r="AD15" s="1025"/>
      <c r="AE15" s="1023"/>
      <c r="AF15" s="1025"/>
      <c r="AG15" s="1023"/>
      <c r="AH15" s="1025"/>
      <c r="AI15" s="1031"/>
      <c r="AJ15" s="1021" t="s">
        <v>250</v>
      </c>
      <c r="AK15" s="1032"/>
      <c r="AL15" s="1033"/>
      <c r="AM15" s="1033"/>
      <c r="AN15" s="1033"/>
    </row>
    <row r="16" spans="1:242" s="1021" customFormat="1">
      <c r="A16" s="1007"/>
      <c r="B16" s="721" t="s">
        <v>743</v>
      </c>
      <c r="C16" s="231">
        <f>C18+C19+C20+C21+C23+C24</f>
        <v>5262131</v>
      </c>
      <c r="D16" s="231">
        <v>5602458</v>
      </c>
      <c r="E16" s="231">
        <v>5887763</v>
      </c>
      <c r="F16" s="1034">
        <f t="shared" ref="F16:F25" si="14">(E16-D16)/D16*100</f>
        <v>5.0924969004676166</v>
      </c>
      <c r="G16" s="231">
        <f>G18+G19+G20+G21+G23+G24</f>
        <v>6178174</v>
      </c>
      <c r="H16" s="1034">
        <f>(G16-E16)/E16*100</f>
        <v>4.932450575880857</v>
      </c>
      <c r="I16" s="231">
        <f>I18+I19+I20+I21+I23+I24</f>
        <v>6500925</v>
      </c>
      <c r="J16" s="1034">
        <f t="shared" ref="J16:J26" si="15">(I16-G16)/G16*100</f>
        <v>5.2240516372636963</v>
      </c>
      <c r="K16" s="231">
        <f>K18+K19+K20+K21+K23+K24</f>
        <v>6836925</v>
      </c>
      <c r="L16" s="1034">
        <f t="shared" ref="L16:L26" si="16">(K16-I16)/I16*100</f>
        <v>5.1684952525986683</v>
      </c>
      <c r="M16" s="231">
        <f>M18+M19+M20+M21+M23+M24</f>
        <v>7248893</v>
      </c>
      <c r="N16" s="1034">
        <f t="shared" ref="N16:N26" si="17">(M16-K16)/K16*100</f>
        <v>6.0256328685776133</v>
      </c>
      <c r="O16" s="231">
        <f>O18+O19+O20+O21+O23+O24</f>
        <v>7589715</v>
      </c>
      <c r="P16" s="1034">
        <f t="shared" ref="P16:R26" si="18">(O16-M16)/M16*100</f>
        <v>4.7017110060805143</v>
      </c>
      <c r="Q16" s="231">
        <f>Q18+Q19+Q20+Q21+Q23+Q24</f>
        <v>8045816</v>
      </c>
      <c r="R16" s="1034">
        <f t="shared" si="18"/>
        <v>6.0094614883431063</v>
      </c>
      <c r="S16" s="231">
        <f>S18+S19+S20+S21+S23+S24</f>
        <v>8488866</v>
      </c>
      <c r="T16" s="1034">
        <f t="shared" ref="T16:T24" si="19">(S16-Q16)/Q16*100</f>
        <v>5.5065887661363373</v>
      </c>
      <c r="U16" s="231">
        <f>U18+U19+U20+U21+U23+U24</f>
        <v>8820694</v>
      </c>
      <c r="V16" s="1034">
        <f t="shared" ref="V16:V24" si="20">(U16-S16)/S16*100</f>
        <v>3.908979126304974</v>
      </c>
      <c r="W16" s="231">
        <f>W18+W19+W20+W21+W23+W24</f>
        <v>9274705</v>
      </c>
      <c r="X16" s="1034">
        <f t="shared" ref="X16:X24" si="21">(W16-U16)/U16*100</f>
        <v>5.1471120072865011</v>
      </c>
      <c r="Y16" s="231">
        <f>Y18+Y19+Y20+Y21+Y23+Y24</f>
        <v>9635806</v>
      </c>
      <c r="Z16" s="1034">
        <f t="shared" ref="Z16:Z22" si="22">(Y16-W16)/W16*100</f>
        <v>3.8933960702793242</v>
      </c>
      <c r="AA16" s="231">
        <f>AA18+AA19+AA20+AA21+AA23+AA24</f>
        <v>9893779</v>
      </c>
      <c r="AB16" s="1034">
        <f>(AA16-Y16)/Y16*100</f>
        <v>2.6772332278171644</v>
      </c>
      <c r="AC16" s="231">
        <f>AC18+AC19+AC20+AC21+AC23+AC24</f>
        <v>10227047</v>
      </c>
      <c r="AD16" s="1034">
        <f>(AC16-AA16)/AA16*100</f>
        <v>3.3684601202432356</v>
      </c>
      <c r="AE16" s="231">
        <v>10808165</v>
      </c>
      <c r="AF16" s="1034">
        <f>(AE16-AC16)/AC16*100</f>
        <v>5.6821680784296777</v>
      </c>
      <c r="AG16" s="231">
        <v>11052334</v>
      </c>
      <c r="AH16" s="1034">
        <f>(AG16-AE16)/AE16*100</f>
        <v>2.25911614043642</v>
      </c>
      <c r="AI16" s="233">
        <f>AI18+AI19+AI20+AI21+AI23+AI24</f>
        <v>11200171</v>
      </c>
      <c r="AJ16" s="1021" t="s">
        <v>543</v>
      </c>
      <c r="AK16" s="1032"/>
      <c r="AL16" s="1033"/>
      <c r="AM16" s="1033"/>
      <c r="AN16" s="1033"/>
    </row>
    <row r="17" spans="1:38" s="1021" customFormat="1">
      <c r="A17" s="1007"/>
      <c r="B17" s="721" t="s">
        <v>744</v>
      </c>
      <c r="C17" s="231">
        <f>C18+C19+C20+C22+C23+C25</f>
        <v>5913706</v>
      </c>
      <c r="D17" s="231">
        <v>6260036</v>
      </c>
      <c r="E17" s="231">
        <v>6550184</v>
      </c>
      <c r="F17" s="1034">
        <f t="shared" si="14"/>
        <v>4.6349254221541214</v>
      </c>
      <c r="G17" s="231">
        <f>G18+G19+G20+G22+G23+G25</f>
        <v>6848022</v>
      </c>
      <c r="H17" s="1034">
        <f>(G17-E17)/E17*100</f>
        <v>4.5470173051627256</v>
      </c>
      <c r="I17" s="231">
        <f>I18+I19+I20+I22+I23+I25</f>
        <v>7174632</v>
      </c>
      <c r="J17" s="1034">
        <f t="shared" si="15"/>
        <v>4.7694064066967075</v>
      </c>
      <c r="K17" s="231">
        <f>K18+K19+K20+K22+K23+K25</f>
        <v>7504453</v>
      </c>
      <c r="L17" s="1034">
        <f t="shared" si="16"/>
        <v>4.5970441410792917</v>
      </c>
      <c r="M17" s="231">
        <f>M18+M19+M20+M22+M23+M25</f>
        <v>7913724</v>
      </c>
      <c r="N17" s="1034">
        <f t="shared" si="17"/>
        <v>5.4537086180698315</v>
      </c>
      <c r="O17" s="231">
        <f>O18+O19+O20+O22+O23+O25</f>
        <v>8279444</v>
      </c>
      <c r="P17" s="1034">
        <f t="shared" si="18"/>
        <v>4.621338828597005</v>
      </c>
      <c r="Q17" s="231">
        <f>Q18+Q19+Q20+Q22+Q23+Q25</f>
        <v>8746704</v>
      </c>
      <c r="R17" s="1034">
        <f t="shared" si="18"/>
        <v>5.6436156824057271</v>
      </c>
      <c r="S17" s="231">
        <f>S18+S19+S20+S22+S23+S25</f>
        <v>9173780</v>
      </c>
      <c r="T17" s="1034">
        <f t="shared" si="19"/>
        <v>4.8827078177105339</v>
      </c>
      <c r="U17" s="231">
        <f>U18+U19+U20+U22+U23+U25</f>
        <v>9518704</v>
      </c>
      <c r="V17" s="1034">
        <f t="shared" si="20"/>
        <v>3.7598895983989156</v>
      </c>
      <c r="W17" s="231">
        <f>W18+W19+W20+W22+W23+W25</f>
        <v>10015071</v>
      </c>
      <c r="X17" s="1034">
        <f t="shared" si="21"/>
        <v>5.2146489690193123</v>
      </c>
      <c r="Y17" s="231">
        <f>Y18+Y19+Y20+Y22+Y23+Y25</f>
        <v>10382732</v>
      </c>
      <c r="Z17" s="1034">
        <f t="shared" si="22"/>
        <v>3.6710773193719746</v>
      </c>
      <c r="AA17" s="231">
        <f>AA18+AA19+AA20+AA22+AA23+AA25</f>
        <v>10595966</v>
      </c>
      <c r="AB17" s="1034">
        <f>(AA17-Y17)/Y17*100</f>
        <v>2.0537369162567232</v>
      </c>
      <c r="AC17" s="231">
        <f>AC18+AC19+AC20+AC22+AC23+AC25</f>
        <v>10921001</v>
      </c>
      <c r="AD17" s="1034">
        <f>(AC17-AA17)/AA17*100</f>
        <v>3.0675353242922827</v>
      </c>
      <c r="AE17" s="231">
        <v>11384263</v>
      </c>
      <c r="AF17" s="1034">
        <f>(AE17-AC17)/AC17*100</f>
        <v>4.2419371630860576</v>
      </c>
      <c r="AG17" s="231">
        <v>11755203</v>
      </c>
      <c r="AH17" s="1034">
        <f>(AG17-AE17)/AE17*100</f>
        <v>3.2583576117312116</v>
      </c>
      <c r="AI17" s="233">
        <f>AI18+AI19+AI20+AI22+AI23+AI25</f>
        <v>11915766</v>
      </c>
      <c r="AJ17" s="1021" t="s">
        <v>627</v>
      </c>
    </row>
    <row r="18" spans="1:38" s="1021" customFormat="1" ht="37.5" customHeight="1">
      <c r="A18" s="1022"/>
      <c r="B18" s="1023" t="s">
        <v>458</v>
      </c>
      <c r="C18" s="1024">
        <v>3809345</v>
      </c>
      <c r="D18" s="1024">
        <v>4074836</v>
      </c>
      <c r="E18" s="1024">
        <v>4280188</v>
      </c>
      <c r="F18" s="1025">
        <f t="shared" si="14"/>
        <v>5.039515700754583</v>
      </c>
      <c r="G18" s="1024">
        <v>4495495</v>
      </c>
      <c r="H18" s="1025">
        <f>(G18-E18)/E18*100</f>
        <v>5.0303164253532788</v>
      </c>
      <c r="I18" s="1024">
        <v>4744849</v>
      </c>
      <c r="J18" s="1025">
        <f t="shared" si="15"/>
        <v>5.5467529159747704</v>
      </c>
      <c r="K18" s="1024">
        <v>5013381</v>
      </c>
      <c r="L18" s="1025">
        <f t="shared" si="16"/>
        <v>5.6594424817312419</v>
      </c>
      <c r="M18" s="1024">
        <v>5347143</v>
      </c>
      <c r="N18" s="1025">
        <f t="shared" si="17"/>
        <v>6.6574234034875861</v>
      </c>
      <c r="O18" s="1024">
        <v>5581552</v>
      </c>
      <c r="P18" s="1025">
        <f t="shared" si="18"/>
        <v>4.3838176760935701</v>
      </c>
      <c r="Q18" s="1035">
        <f>+'7.4-a Sigortalı Sayıları'!R18+'8.4-b Sigortalı Sayıları'!O13+'9.4-c Sigortalı Sayıları'!P13</f>
        <v>5918007</v>
      </c>
      <c r="R18" s="1025">
        <f t="shared" si="18"/>
        <v>6.0279828979466643</v>
      </c>
      <c r="S18" s="1035">
        <f>+'7.4-a Sigortalı Sayıları'!T18+'8.4-b Sigortalı Sayıları'!Q13+'9.4-c Sigortalı Sayıları'!R13</f>
        <v>6228816</v>
      </c>
      <c r="T18" s="1026">
        <f t="shared" si="19"/>
        <v>5.2519201143222709</v>
      </c>
      <c r="U18" s="1035">
        <f>+'7.4-a Sigortalı Sayıları'!V18+'8.4-b Sigortalı Sayıları'!S13+'9.4-c Sigortalı Sayıları'!T13</f>
        <v>6473492</v>
      </c>
      <c r="V18" s="1026">
        <f t="shared" si="20"/>
        <v>3.9281301614945758</v>
      </c>
      <c r="W18" s="1035">
        <f>+'7.4-a Sigortalı Sayıları'!X18+'8.4-b Sigortalı Sayıları'!U13+'9.4-c Sigortalı Sayıları'!V13</f>
        <v>6816806</v>
      </c>
      <c r="X18" s="1026">
        <f t="shared" si="21"/>
        <v>5.3033818532563259</v>
      </c>
      <c r="Y18" s="1035">
        <f>+'7.4-a Sigortalı Sayıları'!Z18+'8.4-b Sigortalı Sayıları'!W13+'9.4-c Sigortalı Sayıları'!X13</f>
        <v>7065881</v>
      </c>
      <c r="Z18" s="1026">
        <f t="shared" si="22"/>
        <v>3.6538372956484313</v>
      </c>
      <c r="AA18" s="1035">
        <f>+'7.4-a Sigortalı Sayıları'!AB18+'8.4-b Sigortalı Sayıları'!Y13+'9.4-c Sigortalı Sayıları'!Z13</f>
        <v>7284036</v>
      </c>
      <c r="AB18" s="1026">
        <f>(AA18-Y18)/Y18*100</f>
        <v>3.0874423161103337</v>
      </c>
      <c r="AC18" s="1035">
        <f>+'7.4-a Sigortalı Sayıları'!AD18+'8.4-b Sigortalı Sayıları'!AA13+'9.4-c Sigortalı Sayıları'!AB13</f>
        <v>7504323</v>
      </c>
      <c r="AD18" s="1026">
        <f>(AC18-AA18)/AA18*100</f>
        <v>3.0242437022551782</v>
      </c>
      <c r="AE18" s="1035">
        <v>7854890</v>
      </c>
      <c r="AF18" s="1026">
        <f>(AE18-AC18)/AC18*100</f>
        <v>4.6715339944722531</v>
      </c>
      <c r="AG18" s="1035">
        <v>8121461</v>
      </c>
      <c r="AH18" s="1026">
        <f>(AG18-AE18)/AE18*100</f>
        <v>3.3936948830601064</v>
      </c>
      <c r="AI18" s="1036">
        <f>+'7.4-a Sigortalı Sayıları'!AJ18+'8.4-b Sigortalı Sayıları'!AG13+'9.4-c Sigortalı Sayıları'!AH13</f>
        <v>8230054</v>
      </c>
      <c r="AJ18" s="1029" t="s">
        <v>649</v>
      </c>
    </row>
    <row r="19" spans="1:38" s="1021" customFormat="1" ht="37.5" customHeight="1">
      <c r="A19" s="1022"/>
      <c r="B19" s="1023" t="s">
        <v>842</v>
      </c>
      <c r="C19" s="1024">
        <v>95403</v>
      </c>
      <c r="D19" s="1024">
        <v>98373</v>
      </c>
      <c r="E19" s="1024">
        <v>99913</v>
      </c>
      <c r="F19" s="1025">
        <f t="shared" si="14"/>
        <v>1.565470200156547</v>
      </c>
      <c r="G19" s="1024">
        <v>100028</v>
      </c>
      <c r="H19" s="1025">
        <f t="shared" ref="H19:H25" si="23">(G19-E19)/E19*100</f>
        <v>0.11510013711929379</v>
      </c>
      <c r="I19" s="1024">
        <v>101224</v>
      </c>
      <c r="J19" s="1025">
        <f t="shared" si="15"/>
        <v>1.1956652137401527</v>
      </c>
      <c r="K19" s="1024">
        <v>100913</v>
      </c>
      <c r="L19" s="1025">
        <f t="shared" si="16"/>
        <v>-0.30723938986801552</v>
      </c>
      <c r="M19" s="1024">
        <v>101979</v>
      </c>
      <c r="N19" s="1025">
        <f t="shared" si="17"/>
        <v>1.0563554745176538</v>
      </c>
      <c r="O19" s="1024">
        <v>102915</v>
      </c>
      <c r="P19" s="1025">
        <f t="shared" si="18"/>
        <v>0.91783602506398365</v>
      </c>
      <c r="Q19" s="1035">
        <f>+'7.4-a Sigortalı Sayıları'!R19+'8.4-b Sigortalı Sayıları'!O14+'9.4-c Sigortalı Sayıları'!P14</f>
        <v>103247</v>
      </c>
      <c r="R19" s="1025">
        <f t="shared" si="18"/>
        <v>0.3225963173492688</v>
      </c>
      <c r="S19" s="1035">
        <f>+'7.4-a Sigortalı Sayıları'!T19+'8.4-b Sigortalı Sayıları'!Q14+'9.4-c Sigortalı Sayıları'!R14</f>
        <v>105095</v>
      </c>
      <c r="T19" s="1026">
        <f t="shared" si="19"/>
        <v>1.789882514746191</v>
      </c>
      <c r="U19" s="1035">
        <f>+'7.4-a Sigortalı Sayıları'!V19+'8.4-b Sigortalı Sayıları'!S14+'9.4-c Sigortalı Sayıları'!T14</f>
        <v>107346</v>
      </c>
      <c r="V19" s="1026">
        <f t="shared" si="20"/>
        <v>2.1418716399448119</v>
      </c>
      <c r="W19" s="1035">
        <f>+'7.4-a Sigortalı Sayıları'!X19+'8.4-b Sigortalı Sayıları'!U14+'9.4-c Sigortalı Sayıları'!V14</f>
        <v>109382</v>
      </c>
      <c r="X19" s="1026">
        <f t="shared" si="21"/>
        <v>1.8966705792484118</v>
      </c>
      <c r="Y19" s="1035">
        <f>+'7.4-a Sigortalı Sayıları'!Z19+'8.4-b Sigortalı Sayıları'!W14+'9.4-c Sigortalı Sayıları'!X14</f>
        <v>112241</v>
      </c>
      <c r="Z19" s="1026">
        <f t="shared" si="22"/>
        <v>2.613775575506025</v>
      </c>
      <c r="AA19" s="1035">
        <f>+'7.4-a Sigortalı Sayıları'!AB19+'8.4-b Sigortalı Sayıları'!Y14+'9.4-c Sigortalı Sayıları'!Z14</f>
        <v>112320</v>
      </c>
      <c r="AB19" s="1026">
        <f t="shared" ref="AB19:AF25" si="24">(AA19-Y19)/Y19*100</f>
        <v>7.0384262435295483E-2</v>
      </c>
      <c r="AC19" s="1035">
        <f>+'7.4-a Sigortalı Sayıları'!AD19+'8.4-b Sigortalı Sayıları'!AA14+'9.4-c Sigortalı Sayıları'!AB14</f>
        <v>116241</v>
      </c>
      <c r="AD19" s="1026">
        <f t="shared" si="24"/>
        <v>3.4909188034188037</v>
      </c>
      <c r="AE19" s="1035">
        <v>118801</v>
      </c>
      <c r="AF19" s="1026">
        <f t="shared" si="24"/>
        <v>2.2023210399084658</v>
      </c>
      <c r="AG19" s="1035">
        <v>120923</v>
      </c>
      <c r="AH19" s="1026">
        <f t="shared" ref="AH19:AH25" si="25">(AG19-AE19)/AE19*100</f>
        <v>1.7861802510079881</v>
      </c>
      <c r="AI19" s="1036">
        <f>+'7.4-a Sigortalı Sayıları'!AJ19+'8.4-b Sigortalı Sayıları'!AG14+'9.4-c Sigortalı Sayıları'!AH14</f>
        <v>122091</v>
      </c>
      <c r="AJ19" s="1037" t="s">
        <v>717</v>
      </c>
    </row>
    <row r="20" spans="1:38" s="1021" customFormat="1" ht="37.5" customHeight="1">
      <c r="A20" s="1022"/>
      <c r="B20" s="1023" t="s">
        <v>1018</v>
      </c>
      <c r="C20" s="1024">
        <v>8094</v>
      </c>
      <c r="D20" s="1024">
        <v>8360</v>
      </c>
      <c r="E20" s="1024">
        <v>8586</v>
      </c>
      <c r="F20" s="1025">
        <f t="shared" si="14"/>
        <v>2.7033492822966507</v>
      </c>
      <c r="G20" s="1024">
        <v>8823</v>
      </c>
      <c r="H20" s="1025">
        <f t="shared" si="23"/>
        <v>2.7603074772886096</v>
      </c>
      <c r="I20" s="1024">
        <v>10261</v>
      </c>
      <c r="J20" s="1025">
        <f t="shared" si="15"/>
        <v>16.298311232007254</v>
      </c>
      <c r="K20" s="1024">
        <v>10006</v>
      </c>
      <c r="L20" s="1025">
        <f t="shared" si="16"/>
        <v>-2.4851379007893968</v>
      </c>
      <c r="M20" s="1024">
        <v>9406</v>
      </c>
      <c r="N20" s="1025">
        <f t="shared" si="17"/>
        <v>-5.9964021587047771</v>
      </c>
      <c r="O20" s="1024">
        <v>9239</v>
      </c>
      <c r="P20" s="1025">
        <f t="shared" si="18"/>
        <v>-1.7754624707633424</v>
      </c>
      <c r="Q20" s="1038">
        <f>+'9.4-c Sigortalı Sayıları'!P15</f>
        <v>6401</v>
      </c>
      <c r="R20" s="1025">
        <f t="shared" si="18"/>
        <v>-30.717610130966555</v>
      </c>
      <c r="S20" s="1038">
        <f>+'9.4-c Sigortalı Sayıları'!R15</f>
        <v>6543</v>
      </c>
      <c r="T20" s="1026">
        <f t="shared" si="19"/>
        <v>2.2184033744727385</v>
      </c>
      <c r="U20" s="1038">
        <f>+'9.4-c Sigortalı Sayıları'!T15</f>
        <v>6608</v>
      </c>
      <c r="V20" s="1026">
        <f t="shared" si="20"/>
        <v>0.9934280910897143</v>
      </c>
      <c r="W20" s="1038">
        <f>+'9.4-c Sigortalı Sayıları'!V15</f>
        <v>6711</v>
      </c>
      <c r="X20" s="1026">
        <f t="shared" si="21"/>
        <v>1.5587167070217918</v>
      </c>
      <c r="Y20" s="1038">
        <f>+'9.4-c Sigortalı Sayıları'!X15</f>
        <v>6858</v>
      </c>
      <c r="Z20" s="1026">
        <f t="shared" si="22"/>
        <v>2.1904336164506035</v>
      </c>
      <c r="AA20" s="1038">
        <f>+'9.4-c Sigortalı Sayıları'!Z15</f>
        <v>6921</v>
      </c>
      <c r="AB20" s="1026">
        <f t="shared" si="24"/>
        <v>0.9186351706036745</v>
      </c>
      <c r="AC20" s="1038">
        <f>+'9.4-c Sigortalı Sayıları'!AB15</f>
        <v>11536</v>
      </c>
      <c r="AD20" s="1026">
        <f t="shared" si="24"/>
        <v>66.681115445744837</v>
      </c>
      <c r="AE20" s="1038">
        <v>11939</v>
      </c>
      <c r="AF20" s="1026">
        <f t="shared" si="24"/>
        <v>3.493411927877947</v>
      </c>
      <c r="AG20" s="1038">
        <v>12170</v>
      </c>
      <c r="AH20" s="1026">
        <f t="shared" si="25"/>
        <v>1.9348354133512018</v>
      </c>
      <c r="AI20" s="1039">
        <f>+'9.4-c Sigortalı Sayıları'!AH15</f>
        <v>12403</v>
      </c>
      <c r="AJ20" s="1040" t="s">
        <v>538</v>
      </c>
    </row>
    <row r="21" spans="1:38" s="1021" customFormat="1" ht="37.5" customHeight="1">
      <c r="A21" s="1022"/>
      <c r="B21" s="1041" t="s">
        <v>22</v>
      </c>
      <c r="C21" s="1024">
        <v>1259852</v>
      </c>
      <c r="D21" s="1024">
        <v>1329305</v>
      </c>
      <c r="E21" s="1024">
        <v>1405715</v>
      </c>
      <c r="F21" s="1025">
        <f t="shared" si="14"/>
        <v>5.7481164969664604</v>
      </c>
      <c r="G21" s="1024">
        <v>1479611</v>
      </c>
      <c r="H21" s="1025">
        <f t="shared" si="23"/>
        <v>5.2568265971409565</v>
      </c>
      <c r="I21" s="1024">
        <v>1548551</v>
      </c>
      <c r="J21" s="1025">
        <f t="shared" si="15"/>
        <v>4.6593327570557399</v>
      </c>
      <c r="K21" s="1024">
        <v>1615654</v>
      </c>
      <c r="L21" s="1025">
        <f t="shared" si="16"/>
        <v>4.3332767212704004</v>
      </c>
      <c r="M21" s="1024">
        <v>1691451</v>
      </c>
      <c r="N21" s="1025">
        <f t="shared" si="17"/>
        <v>4.6914128891458198</v>
      </c>
      <c r="O21" s="1024">
        <v>1795311</v>
      </c>
      <c r="P21" s="1025">
        <f t="shared" si="18"/>
        <v>6.1402902005437934</v>
      </c>
      <c r="Q21" s="1042">
        <f>+'7.4-a Sigortalı Sayıları'!R20+'8.4-b Sigortalı Sayıları'!O15+'9.4-c Sigortalı Sayıları'!P16</f>
        <v>1916271</v>
      </c>
      <c r="R21" s="1025">
        <f t="shared" si="18"/>
        <v>6.7375513211917042</v>
      </c>
      <c r="S21" s="1042">
        <f>+'7.4-a Sigortalı Sayıları'!T20+'8.4-b Sigortalı Sayıları'!Q15+'9.4-c Sigortalı Sayıları'!R16</f>
        <v>2044775</v>
      </c>
      <c r="T21" s="1026">
        <f t="shared" si="19"/>
        <v>6.7059408611829951</v>
      </c>
      <c r="U21" s="1042">
        <f>+'7.4-a Sigortalı Sayıları'!V20+'8.4-b Sigortalı Sayıları'!S15+'9.4-c Sigortalı Sayıları'!T16</f>
        <v>2127373</v>
      </c>
      <c r="V21" s="1026">
        <f t="shared" si="20"/>
        <v>4.0394664449633817</v>
      </c>
      <c r="W21" s="1042">
        <f>+'7.4-a Sigortalı Sayıları'!X20+'8.4-b Sigortalı Sayıları'!U15+'9.4-c Sigortalı Sayıları'!V16</f>
        <v>2233921</v>
      </c>
      <c r="X21" s="1026">
        <f t="shared" si="21"/>
        <v>5.0084305855155629</v>
      </c>
      <c r="Y21" s="1042">
        <f>+'7.4-a Sigortalı Sayıları'!Z20+'8.4-b Sigortalı Sayıları'!W15+'9.4-c Sigortalı Sayıları'!X16</f>
        <v>2340001</v>
      </c>
      <c r="Z21" s="1026">
        <f t="shared" si="22"/>
        <v>4.7486012262743396</v>
      </c>
      <c r="AA21" s="1042">
        <f>+'7.4-a Sigortalı Sayıları'!AB20+'8.4-b Sigortalı Sayıları'!Y15+'9.4-c Sigortalı Sayıları'!Z16</f>
        <v>2376354</v>
      </c>
      <c r="AB21" s="1026">
        <f t="shared" si="24"/>
        <v>1.5535463446383144</v>
      </c>
      <c r="AC21" s="1042">
        <f>+'7.4-a Sigortalı Sayıları'!AD20+'8.4-b Sigortalı Sayıları'!AA15+'9.4-c Sigortalı Sayıları'!AB16</f>
        <v>2477900</v>
      </c>
      <c r="AD21" s="1026">
        <f t="shared" si="24"/>
        <v>4.2731848874368046</v>
      </c>
      <c r="AE21" s="1042">
        <v>2700348</v>
      </c>
      <c r="AF21" s="1026">
        <f t="shared" si="24"/>
        <v>8.9772791476653619</v>
      </c>
      <c r="AG21" s="1042">
        <v>2671354</v>
      </c>
      <c r="AH21" s="1026">
        <f t="shared" si="25"/>
        <v>-1.0737134621167346</v>
      </c>
      <c r="AI21" s="1043">
        <f>+'7.4-a Sigortalı Sayıları'!AJ20+'8.4-b Sigortalı Sayıları'!AG15+'9.4-c Sigortalı Sayıları'!AH16</f>
        <v>2707616</v>
      </c>
      <c r="AJ21" s="1037" t="s">
        <v>255</v>
      </c>
    </row>
    <row r="22" spans="1:38" s="1021" customFormat="1" ht="37.5" customHeight="1">
      <c r="A22" s="1022"/>
      <c r="B22" s="1023" t="s">
        <v>387</v>
      </c>
      <c r="C22" s="1024">
        <v>1877982</v>
      </c>
      <c r="D22" s="1024">
        <v>1953477</v>
      </c>
      <c r="E22" s="1024">
        <v>2035137</v>
      </c>
      <c r="F22" s="1025">
        <f t="shared" si="14"/>
        <v>4.1802386206748272</v>
      </c>
      <c r="G22" s="1024">
        <v>2116748</v>
      </c>
      <c r="H22" s="1025">
        <f t="shared" si="23"/>
        <v>4.0100985830437956</v>
      </c>
      <c r="I22" s="1024">
        <v>2190829</v>
      </c>
      <c r="J22" s="1025">
        <f t="shared" si="15"/>
        <v>3.4997552849937734</v>
      </c>
      <c r="K22" s="1024">
        <v>2253141</v>
      </c>
      <c r="L22" s="1025">
        <f t="shared" si="16"/>
        <v>2.8442201559318416</v>
      </c>
      <c r="M22" s="1024">
        <v>2326964</v>
      </c>
      <c r="N22" s="1025">
        <f t="shared" si="17"/>
        <v>3.2764483003948706</v>
      </c>
      <c r="O22" s="1024">
        <v>2456453</v>
      </c>
      <c r="P22" s="1025">
        <f t="shared" si="18"/>
        <v>5.5647186634601997</v>
      </c>
      <c r="Q22" s="1038">
        <f>+'7.4-a Sigortalı Sayıları'!R21+'8.4-b Sigortalı Sayıları'!O16+'9.4-c Sigortalı Sayıları'!P17</f>
        <v>2589132</v>
      </c>
      <c r="R22" s="1025">
        <f t="shared" si="18"/>
        <v>5.4012431746098946</v>
      </c>
      <c r="S22" s="1038">
        <f>+'7.4-a Sigortalı Sayıları'!T21+'8.4-b Sigortalı Sayıları'!Q16+'9.4-c Sigortalı Sayıları'!R17</f>
        <v>2701320</v>
      </c>
      <c r="T22" s="1026">
        <f t="shared" si="19"/>
        <v>4.333035163908213</v>
      </c>
      <c r="U22" s="1038">
        <f>+'7.4-a Sigortalı Sayıları'!V21+'8.4-b Sigortalı Sayıları'!S16+'9.4-c Sigortalı Sayıları'!T17</f>
        <v>2796306</v>
      </c>
      <c r="V22" s="1026">
        <f t="shared" si="20"/>
        <v>3.5162809293234418</v>
      </c>
      <c r="W22" s="1038">
        <f>+'7.4-a Sigortalı Sayıları'!X21+'8.4-b Sigortalı Sayıları'!U16+'9.4-c Sigortalı Sayıları'!V17</f>
        <v>2944768</v>
      </c>
      <c r="X22" s="1026">
        <f t="shared" si="21"/>
        <v>5.3092186620491466</v>
      </c>
      <c r="Y22" s="1038">
        <f>+'7.4-a Sigortalı Sayıları'!Z21+'8.4-b Sigortalı Sayıları'!W16+'9.4-c Sigortalı Sayıları'!X17</f>
        <v>3057453</v>
      </c>
      <c r="Z22" s="1026">
        <f t="shared" si="22"/>
        <v>3.8266172411544814</v>
      </c>
      <c r="AA22" s="1038">
        <f>+'7.4-a Sigortalı Sayıları'!AB21+'8.4-b Sigortalı Sayıları'!Y16+'9.4-c Sigortalı Sayıları'!Z17</f>
        <v>3049522</v>
      </c>
      <c r="AB22" s="1026">
        <f t="shared" si="24"/>
        <v>-0.25939891798827325</v>
      </c>
      <c r="AC22" s="1038">
        <f>+'7.4-a Sigortalı Sayıları'!AD21+'8.4-b Sigortalı Sayıları'!AA16+'9.4-c Sigortalı Sayıları'!AB17</f>
        <v>3142384</v>
      </c>
      <c r="AD22" s="1026">
        <f t="shared" si="24"/>
        <v>3.0451329749383671</v>
      </c>
      <c r="AE22" s="1038">
        <v>3247448</v>
      </c>
      <c r="AF22" s="1026">
        <f t="shared" si="24"/>
        <v>3.3434487955641323</v>
      </c>
      <c r="AG22" s="1038">
        <v>3343265</v>
      </c>
      <c r="AH22" s="1026">
        <f t="shared" si="25"/>
        <v>2.9505322333105872</v>
      </c>
      <c r="AI22" s="1039">
        <f>+'7.4-a Sigortalı Sayıları'!AJ21+'8.4-b Sigortalı Sayıları'!AG16+'9.4-c Sigortalı Sayıları'!AH17</f>
        <v>3391670</v>
      </c>
      <c r="AJ22" s="1044" t="s">
        <v>566</v>
      </c>
    </row>
    <row r="23" spans="1:38" s="1021" customFormat="1" ht="37.5" customHeight="1">
      <c r="A23" s="1022"/>
      <c r="B23" s="1045" t="s">
        <v>1135</v>
      </c>
      <c r="C23" s="1024">
        <v>49078</v>
      </c>
      <c r="D23" s="1024">
        <v>50447</v>
      </c>
      <c r="E23" s="1024">
        <v>51431</v>
      </c>
      <c r="F23" s="1025">
        <f t="shared" si="14"/>
        <v>1.95056197593514</v>
      </c>
      <c r="G23" s="1024">
        <v>51959</v>
      </c>
      <c r="H23" s="1025">
        <f t="shared" si="23"/>
        <v>1.0266181874744804</v>
      </c>
      <c r="I23" s="1024">
        <v>53063</v>
      </c>
      <c r="J23" s="1025">
        <f t="shared" si="15"/>
        <v>2.1247522084720645</v>
      </c>
      <c r="K23" s="1024">
        <v>53584</v>
      </c>
      <c r="L23" s="1025">
        <f t="shared" si="16"/>
        <v>0.98185176111414729</v>
      </c>
      <c r="M23" s="1024">
        <v>54857</v>
      </c>
      <c r="N23" s="1025">
        <f t="shared" si="17"/>
        <v>2.3757091669154971</v>
      </c>
      <c r="O23" s="1024">
        <v>56105</v>
      </c>
      <c r="P23" s="1025">
        <f t="shared" si="18"/>
        <v>2.2750059244945953</v>
      </c>
      <c r="Q23" s="1038">
        <f>+'7.4-a Sigortalı Sayıları'!R22+'8.4-b Sigortalı Sayıları'!O17</f>
        <v>56668</v>
      </c>
      <c r="R23" s="1025">
        <f t="shared" si="18"/>
        <v>1.0034756260582836</v>
      </c>
      <c r="S23" s="1038">
        <f>+'7.4-a Sigortalı Sayıları'!T22+'8.4-b Sigortalı Sayıları'!Q17</f>
        <v>57422</v>
      </c>
      <c r="T23" s="1026">
        <f t="shared" si="19"/>
        <v>1.3305569280722807</v>
      </c>
      <c r="U23" s="1038">
        <f>+'7.4-a Sigortalı Sayıları'!V22+'8.4-b Sigortalı Sayıları'!S17</f>
        <v>58499</v>
      </c>
      <c r="V23" s="1026">
        <f t="shared" si="20"/>
        <v>1.8755877538225767</v>
      </c>
      <c r="W23" s="1038">
        <f>+'7.4-a Sigortalı Sayıları'!X22+'8.4-b Sigortalı Sayıları'!U17</f>
        <v>58979</v>
      </c>
      <c r="X23" s="1026">
        <f t="shared" si="21"/>
        <v>0.82052684661276265</v>
      </c>
      <c r="Y23" s="1038">
        <f>+'7.4-a Sigortalı Sayıları'!Z22+'8.4-b Sigortalı Sayıları'!W17</f>
        <v>60657</v>
      </c>
      <c r="Z23" s="1026">
        <f t="shared" ref="Z23:Z34" si="26">(Y23-W23)/W23*100</f>
        <v>2.8450804523644009</v>
      </c>
      <c r="AA23" s="1038">
        <f>+'7.4-a Sigortalı Sayıları'!AB22+'8.4-b Sigortalı Sayıları'!Y17</f>
        <v>61467</v>
      </c>
      <c r="AB23" s="1026">
        <f t="shared" si="24"/>
        <v>1.3353776151144963</v>
      </c>
      <c r="AC23" s="1038">
        <f>+'7.4-a Sigortalı Sayıları'!AD22+'8.4-b Sigortalı Sayıları'!AA17</f>
        <v>62179</v>
      </c>
      <c r="AD23" s="1026">
        <f t="shared" si="24"/>
        <v>1.1583451282802155</v>
      </c>
      <c r="AE23" s="1038">
        <v>65477</v>
      </c>
      <c r="AF23" s="1026">
        <f t="shared" si="24"/>
        <v>5.3040415574390067</v>
      </c>
      <c r="AG23" s="1038">
        <v>70062</v>
      </c>
      <c r="AH23" s="1026">
        <f t="shared" si="25"/>
        <v>7.0024588786902262</v>
      </c>
      <c r="AI23" s="1039">
        <f>+'7.4-a Sigortalı Sayıları'!AJ22+'8.4-b Sigortalı Sayıları'!AG17</f>
        <v>71029</v>
      </c>
      <c r="AJ23" s="1044" t="s">
        <v>43</v>
      </c>
    </row>
    <row r="24" spans="1:38" s="1021" customFormat="1" ht="37.5" customHeight="1">
      <c r="A24" s="1022"/>
      <c r="B24" s="1045" t="s">
        <v>1179</v>
      </c>
      <c r="C24" s="1027">
        <v>40359</v>
      </c>
      <c r="D24" s="1027">
        <v>41137</v>
      </c>
      <c r="E24" s="1027">
        <v>41930</v>
      </c>
      <c r="F24" s="1025">
        <f t="shared" si="14"/>
        <v>1.9277049857792254</v>
      </c>
      <c r="G24" s="1027">
        <v>42258</v>
      </c>
      <c r="H24" s="1025">
        <f t="shared" si="23"/>
        <v>0.78225614118769371</v>
      </c>
      <c r="I24" s="1027">
        <v>42977</v>
      </c>
      <c r="J24" s="1025">
        <f t="shared" si="15"/>
        <v>1.7014529793175255</v>
      </c>
      <c r="K24" s="1027">
        <v>43387</v>
      </c>
      <c r="L24" s="1025">
        <f t="shared" si="16"/>
        <v>0.95399865044093357</v>
      </c>
      <c r="M24" s="1027">
        <v>44057</v>
      </c>
      <c r="N24" s="1025">
        <f t="shared" si="17"/>
        <v>1.5442413626201397</v>
      </c>
      <c r="O24" s="1027">
        <v>44593</v>
      </c>
      <c r="P24" s="1025">
        <f t="shared" si="18"/>
        <v>1.2166057607190683</v>
      </c>
      <c r="Q24" s="1038">
        <f>+'7.4-a Sigortalı Sayıları'!R23+'8.4-b Sigortalı Sayıları'!O18</f>
        <v>45222</v>
      </c>
      <c r="R24" s="1025">
        <f t="shared" si="18"/>
        <v>1.4105352858071896</v>
      </c>
      <c r="S24" s="1038">
        <f>+'7.4-a Sigortalı Sayıları'!T23+'8.4-b Sigortalı Sayıları'!Q18</f>
        <v>46215</v>
      </c>
      <c r="T24" s="1026">
        <f t="shared" si="19"/>
        <v>2.1958338861616027</v>
      </c>
      <c r="U24" s="1038">
        <f>+'7.4-a Sigortalı Sayıları'!V23+'8.4-b Sigortalı Sayıları'!S18</f>
        <v>47376</v>
      </c>
      <c r="V24" s="1026">
        <f t="shared" si="20"/>
        <v>2.5121713729308666</v>
      </c>
      <c r="W24" s="1038">
        <f>+'7.4-a Sigortalı Sayıları'!X23+'8.4-b Sigortalı Sayıları'!U18</f>
        <v>48906</v>
      </c>
      <c r="X24" s="1026">
        <f t="shared" si="21"/>
        <v>3.2294832826747721</v>
      </c>
      <c r="Y24" s="1038">
        <f>+'7.4-a Sigortalı Sayıları'!Z23+'8.4-b Sigortalı Sayıları'!W18</f>
        <v>50168</v>
      </c>
      <c r="Z24" s="1026">
        <f t="shared" si="26"/>
        <v>2.5804604751973175</v>
      </c>
      <c r="AA24" s="1038">
        <f>+'7.4-a Sigortalı Sayıları'!AB23+'8.4-b Sigortalı Sayıları'!Y18</f>
        <v>52681</v>
      </c>
      <c r="AB24" s="1026">
        <f t="shared" si="24"/>
        <v>5.0091691915165049</v>
      </c>
      <c r="AC24" s="1038">
        <f>+'7.4-a Sigortalı Sayıları'!AD23+'8.4-b Sigortalı Sayıları'!AA18</f>
        <v>54868</v>
      </c>
      <c r="AD24" s="1026">
        <f t="shared" si="24"/>
        <v>4.1514018336781762</v>
      </c>
      <c r="AE24" s="1038">
        <v>56710</v>
      </c>
      <c r="AF24" s="1026">
        <f t="shared" si="24"/>
        <v>3.3571480644455787</v>
      </c>
      <c r="AG24" s="1038">
        <v>56364</v>
      </c>
      <c r="AH24" s="1026">
        <f t="shared" si="25"/>
        <v>-0.61012167166284614</v>
      </c>
      <c r="AI24" s="1039">
        <f>+'7.4-a Sigortalı Sayıları'!AJ23+'8.4-b Sigortalı Sayıları'!AG18</f>
        <v>56978</v>
      </c>
      <c r="AJ24" s="1046" t="s">
        <v>68</v>
      </c>
    </row>
    <row r="25" spans="1:38" s="1021" customFormat="1" ht="37.5" customHeight="1">
      <c r="A25" s="1022"/>
      <c r="B25" s="1045" t="s">
        <v>1136</v>
      </c>
      <c r="C25" s="1027">
        <v>73804</v>
      </c>
      <c r="D25" s="1027">
        <v>74543</v>
      </c>
      <c r="E25" s="1027">
        <v>74929</v>
      </c>
      <c r="F25" s="1025">
        <f t="shared" si="14"/>
        <v>0.51782192828300444</v>
      </c>
      <c r="G25" s="1027">
        <v>74969</v>
      </c>
      <c r="H25" s="1025">
        <f t="shared" si="23"/>
        <v>5.3383870063660271E-2</v>
      </c>
      <c r="I25" s="1027">
        <v>74406</v>
      </c>
      <c r="J25" s="1025">
        <f t="shared" si="15"/>
        <v>-0.75097707052248264</v>
      </c>
      <c r="K25" s="1027">
        <v>73428</v>
      </c>
      <c r="L25" s="1025">
        <f t="shared" si="16"/>
        <v>-1.3144101282154663</v>
      </c>
      <c r="M25" s="1027">
        <v>73375</v>
      </c>
      <c r="N25" s="1025">
        <f t="shared" si="17"/>
        <v>-7.2179550035408838E-2</v>
      </c>
      <c r="O25" s="1027">
        <v>73180</v>
      </c>
      <c r="P25" s="1025">
        <f t="shared" si="18"/>
        <v>-0.26575809199318567</v>
      </c>
      <c r="Q25" s="1038">
        <f>+'7.4-a Sigortalı Sayıları'!R24+'8.4-b Sigortalı Sayıları'!O19</f>
        <v>73249</v>
      </c>
      <c r="R25" s="1025">
        <f t="shared" si="18"/>
        <v>9.4288056846132826E-2</v>
      </c>
      <c r="S25" s="1038">
        <f>+'7.4-a Sigortalı Sayıları'!T24+'8.4-b Sigortalı Sayıları'!Q19</f>
        <v>74584</v>
      </c>
      <c r="T25" s="1026">
        <f t="shared" ref="T25:X26" si="27">(S25-Q25)/Q25*100</f>
        <v>1.8225504785048259</v>
      </c>
      <c r="U25" s="1038">
        <f>+'7.4-a Sigortalı Sayıları'!V24+'8.4-b Sigortalı Sayıları'!S19</f>
        <v>76453</v>
      </c>
      <c r="V25" s="1026">
        <f t="shared" si="27"/>
        <v>2.505899388608817</v>
      </c>
      <c r="W25" s="1038">
        <f>+'7.4-a Sigortalı Sayıları'!X24+'8.4-b Sigortalı Sayıları'!U19</f>
        <v>78425</v>
      </c>
      <c r="X25" s="1026">
        <f t="shared" si="27"/>
        <v>2.5793624841405833</v>
      </c>
      <c r="Y25" s="1038">
        <f>+'7.4-a Sigortalı Sayıları'!Z24+'8.4-b Sigortalı Sayıları'!W19</f>
        <v>79642</v>
      </c>
      <c r="Z25" s="1026">
        <f t="shared" si="26"/>
        <v>1.5518010838380618</v>
      </c>
      <c r="AA25" s="1038">
        <f>+'7.4-a Sigortalı Sayıları'!AB24+'8.4-b Sigortalı Sayıları'!Y19</f>
        <v>81700</v>
      </c>
      <c r="AB25" s="1026">
        <f t="shared" si="24"/>
        <v>2.584063684990332</v>
      </c>
      <c r="AC25" s="1038">
        <f>+'7.4-a Sigortalı Sayıları'!AD24+'8.4-b Sigortalı Sayıları'!AA19</f>
        <v>84338</v>
      </c>
      <c r="AD25" s="1026">
        <f t="shared" si="24"/>
        <v>3.2288861689106487</v>
      </c>
      <c r="AE25" s="1038">
        <v>85708</v>
      </c>
      <c r="AF25" s="1026">
        <f t="shared" si="24"/>
        <v>1.6244160402191183</v>
      </c>
      <c r="AG25" s="1038">
        <v>87322</v>
      </c>
      <c r="AH25" s="1026">
        <f t="shared" si="25"/>
        <v>1.8831380967937648</v>
      </c>
      <c r="AI25" s="1039">
        <f>+'7.4-a Sigortalı Sayıları'!AJ24+'8.4-b Sigortalı Sayıları'!AG19</f>
        <v>88519</v>
      </c>
      <c r="AJ25" s="1037" t="s">
        <v>518</v>
      </c>
    </row>
    <row r="26" spans="1:38" s="1021" customFormat="1">
      <c r="A26" s="1047" t="s">
        <v>617</v>
      </c>
      <c r="B26" s="1048"/>
      <c r="C26" s="1049">
        <v>26326558.993348755</v>
      </c>
      <c r="D26" s="1049">
        <v>26376723.882264659</v>
      </c>
      <c r="E26" s="1049">
        <v>27435782.6571991</v>
      </c>
      <c r="F26" s="1034">
        <v>4.6551265516471467</v>
      </c>
      <c r="G26" s="1049">
        <v>28661078.502677538</v>
      </c>
      <c r="H26" s="1034">
        <f>(G26-E26)/E26*100</f>
        <v>4.4660502701457379</v>
      </c>
      <c r="I26" s="1049">
        <v>30109279.564732425</v>
      </c>
      <c r="J26" s="1034">
        <f t="shared" si="15"/>
        <v>5.0528491519242564</v>
      </c>
      <c r="K26" s="1049">
        <v>31423260.854143139</v>
      </c>
      <c r="L26" s="1034">
        <f t="shared" si="16"/>
        <v>4.3640409481926143</v>
      </c>
      <c r="M26" s="1049">
        <v>32330398.015548356</v>
      </c>
      <c r="N26" s="1034">
        <f t="shared" si="17"/>
        <v>2.8868333099351511</v>
      </c>
      <c r="O26" s="1049">
        <v>33070537.40226572</v>
      </c>
      <c r="P26" s="1034">
        <f t="shared" si="18"/>
        <v>2.2892987162156677</v>
      </c>
      <c r="Q26" s="1049">
        <f>+'7.4-a Sigortalı Sayıları'!R25+'8.4-b Sigortalı Sayıları'!O20+'9.4-c Sigortalı Sayıları'!P18</f>
        <v>33227263.987404749</v>
      </c>
      <c r="R26" s="1034">
        <f t="shared" si="18"/>
        <v>0.47391605171886664</v>
      </c>
      <c r="S26" s="1049">
        <f>+'7.4-a Sigortalı Sayıları'!T25+'8.4-b Sigortalı Sayıları'!Q20+'9.4-c Sigortalı Sayıları'!R18</f>
        <v>33989891.162688993</v>
      </c>
      <c r="T26" s="1034">
        <f t="shared" si="27"/>
        <v>2.295184988969686</v>
      </c>
      <c r="U26" s="1049">
        <f>+'7.4-a Sigortalı Sayıları'!V25+'8.4-b Sigortalı Sayıları'!S20+'9.4-c Sigortalı Sayıları'!T18</f>
        <v>35470435.668743312</v>
      </c>
      <c r="V26" s="1034">
        <f t="shared" si="27"/>
        <v>4.3558377370726227</v>
      </c>
      <c r="W26" s="1049">
        <f>+'7.4-a Sigortalı Sayıları'!X25+'8.4-b Sigortalı Sayıları'!U20+'9.4-c Sigortalı Sayıları'!V18</f>
        <v>36348316.566336431</v>
      </c>
      <c r="X26" s="1034">
        <f t="shared" si="27"/>
        <v>2.4749650830105545</v>
      </c>
      <c r="Y26" s="1049">
        <f>+'7.4-a Sigortalı Sayıları'!Z25+'8.4-b Sigortalı Sayıları'!W20+'9.4-c Sigortalı Sayıları'!X18</f>
        <v>33807724.66550047</v>
      </c>
      <c r="Z26" s="1034">
        <f t="shared" si="26"/>
        <v>-6.9895723951873485</v>
      </c>
      <c r="AA26" s="1049">
        <f>+'7.4-a Sigortalı Sayıları'!AB25+'8.4-b Sigortalı Sayıları'!Y20+'9.4-c Sigortalı Sayıları'!Z18</f>
        <v>32939204.767268497</v>
      </c>
      <c r="AB26" s="1034">
        <f>(AA26-Y26)/Y26*100</f>
        <v>-2.5689983778123477</v>
      </c>
      <c r="AC26" s="1049">
        <f>+'7.4-a Sigortalı Sayıları'!AD25+'8.4-b Sigortalı Sayıları'!AA20+'9.4-c Sigortalı Sayıları'!AB18</f>
        <v>33940085.922523752</v>
      </c>
      <c r="AD26" s="1034">
        <f>(AC26-AA26)/AA26*100</f>
        <v>3.0385710958323568</v>
      </c>
      <c r="AE26" s="1049">
        <v>34786173.958344668</v>
      </c>
      <c r="AF26" s="1034">
        <f>(AE26-AC26)/AC26*100</f>
        <v>2.4928871357376989</v>
      </c>
      <c r="AG26" s="1049">
        <v>34925975.500674561</v>
      </c>
      <c r="AH26" s="1034">
        <f>(AG26-AE26)/AE26*100</f>
        <v>0.40188824013040469</v>
      </c>
      <c r="AI26" s="1050">
        <f>'23-İL-EMOD-Öncelikli Yaşam'!T88</f>
        <v>34665823.510566361</v>
      </c>
      <c r="AJ26" s="1051" t="s">
        <v>245</v>
      </c>
      <c r="AK26" s="1021" t="s">
        <v>729</v>
      </c>
    </row>
    <row r="27" spans="1:38" s="1021" customFormat="1" ht="12" customHeight="1">
      <c r="A27" s="1007"/>
      <c r="B27" s="721" t="s">
        <v>388</v>
      </c>
      <c r="C27" s="232">
        <v>2.0894421961676706</v>
      </c>
      <c r="D27" s="232">
        <v>2.0894421961676706</v>
      </c>
      <c r="E27" s="232">
        <v>2.0395450774101067</v>
      </c>
      <c r="F27" s="1034"/>
      <c r="G27" s="232">
        <f>G6/G16</f>
        <v>1.9892298475407379</v>
      </c>
      <c r="H27" s="1034"/>
      <c r="I27" s="232">
        <f>I6/I16</f>
        <v>1.930996705997029</v>
      </c>
      <c r="J27" s="1034"/>
      <c r="K27" s="232">
        <f>K6/K16</f>
        <v>1.9243211277857668</v>
      </c>
      <c r="L27" s="1034"/>
      <c r="M27" s="232">
        <f>M6/M16</f>
        <v>1.9485643633038308</v>
      </c>
      <c r="N27" s="1034"/>
      <c r="O27" s="232">
        <f>O6/O16</f>
        <v>1.945142261498414</v>
      </c>
      <c r="P27" s="1034"/>
      <c r="Q27" s="232">
        <f>Q6/Q16</f>
        <v>1.8694521282768737</v>
      </c>
      <c r="R27" s="1034"/>
      <c r="S27" s="232">
        <f>S6/S16</f>
        <v>1.7784151616953312</v>
      </c>
      <c r="T27" s="1034" t="s">
        <v>729</v>
      </c>
      <c r="U27" s="232">
        <f>U6/U16</f>
        <v>1.8361711674841004</v>
      </c>
      <c r="V27" s="1034" t="s">
        <v>729</v>
      </c>
      <c r="W27" s="232">
        <v>1.8733398294918775</v>
      </c>
      <c r="X27" s="1034" t="s">
        <v>729</v>
      </c>
      <c r="Y27" s="232">
        <v>1.9046713635706516</v>
      </c>
      <c r="Z27" s="1034">
        <f t="shared" si="26"/>
        <v>1.6724960194367096</v>
      </c>
      <c r="AA27" s="232">
        <v>1.9090042142250259</v>
      </c>
      <c r="AB27" s="1034" t="s">
        <v>729</v>
      </c>
      <c r="AC27" s="232">
        <f>AC6/AC16</f>
        <v>1.9381764843752063</v>
      </c>
      <c r="AD27" s="1034" t="s">
        <v>729</v>
      </c>
      <c r="AE27" s="232">
        <v>1.9219938814775681</v>
      </c>
      <c r="AF27" s="1034" t="s">
        <v>729</v>
      </c>
      <c r="AG27" s="232">
        <v>1.9119796777766578</v>
      </c>
      <c r="AH27" s="1034" t="s">
        <v>729</v>
      </c>
      <c r="AI27" s="1052">
        <f>AI6/AI16</f>
        <v>1.9378148780049875</v>
      </c>
      <c r="AJ27" s="1020" t="s">
        <v>246</v>
      </c>
    </row>
    <row r="28" spans="1:38" s="1058" customFormat="1" ht="15" customHeight="1">
      <c r="A28" s="1053" t="s">
        <v>614</v>
      </c>
      <c r="B28" s="1054"/>
      <c r="C28" s="992">
        <f>+C29+C30+C31</f>
        <v>306766</v>
      </c>
      <c r="D28" s="992">
        <v>323569</v>
      </c>
      <c r="E28" s="1055">
        <v>324302</v>
      </c>
      <c r="F28" s="1025">
        <f>(E28-D28)/D28*100</f>
        <v>0.22653591660511357</v>
      </c>
      <c r="G28" s="1055">
        <f>(G29+G30+G31)</f>
        <v>295541</v>
      </c>
      <c r="H28" s="1025">
        <f>(G28-E28)/E28*100</f>
        <v>-8.8685854542987705</v>
      </c>
      <c r="I28" s="992">
        <f>(I29+I30+I31)</f>
        <v>301441</v>
      </c>
      <c r="J28" s="1025">
        <f>(I28-G28)/G28*100</f>
        <v>1.9963389174429267</v>
      </c>
      <c r="K28" s="992">
        <f>(K29+K30+K31)</f>
        <v>307161</v>
      </c>
      <c r="L28" s="1025">
        <f>(K28-I28)/I28*100</f>
        <v>1.8975520914540491</v>
      </c>
      <c r="M28" s="992">
        <f>(M29+M30+M31)</f>
        <v>298269</v>
      </c>
      <c r="N28" s="1025">
        <f>(M28-K28)/K28*100</f>
        <v>-2.8948987664449586</v>
      </c>
      <c r="O28" s="992">
        <f>(O29+O30+O31)</f>
        <v>310850</v>
      </c>
      <c r="P28" s="1025">
        <f>(O28-M28)/M28*100</f>
        <v>4.2180045529371135</v>
      </c>
      <c r="Q28" s="992">
        <f>(Q29+Q30+Q31)</f>
        <v>323218</v>
      </c>
      <c r="R28" s="1025">
        <f>(Q28-O28)/O28*100</f>
        <v>3.9787678944828695</v>
      </c>
      <c r="S28" s="992">
        <f>(S29+S30+S31)</f>
        <v>331205</v>
      </c>
      <c r="T28" s="1025">
        <f>(S28-Q28)/Q28*100</f>
        <v>2.4710876250703859</v>
      </c>
      <c r="U28" s="992">
        <f>(U29+U30+U31)</f>
        <v>341103</v>
      </c>
      <c r="V28" s="1025">
        <f>(U28-S28)/S28*100</f>
        <v>2.9884814540843285</v>
      </c>
      <c r="W28" s="992">
        <v>350890</v>
      </c>
      <c r="X28" s="1025">
        <f>(W28-U28)/U28*100</f>
        <v>2.8692213202463774</v>
      </c>
      <c r="Y28" s="992">
        <v>356040</v>
      </c>
      <c r="Z28" s="1025">
        <f t="shared" si="26"/>
        <v>1.4676964290803385</v>
      </c>
      <c r="AA28" s="992">
        <v>367205</v>
      </c>
      <c r="AB28" s="1025">
        <f>(AA28-Y28)/Y28*100</f>
        <v>3.1358836085833048</v>
      </c>
      <c r="AC28" s="992">
        <f>SUM(AC29:AC31)</f>
        <v>377800</v>
      </c>
      <c r="AD28" s="1025">
        <f>(AC28-AA28)/AA28*100</f>
        <v>2.8853092958973869</v>
      </c>
      <c r="AE28" s="992">
        <v>386572</v>
      </c>
      <c r="AF28" s="1025">
        <f>(AE28-AC28)/AC28*100</f>
        <v>2.3218634197988353</v>
      </c>
      <c r="AG28" s="992">
        <v>392201</v>
      </c>
      <c r="AH28" s="1025">
        <f>(AG28-AE28)/AE28*100</f>
        <v>1.4561323634407046</v>
      </c>
      <c r="AI28" s="1056">
        <f>SUM(AI29:AI31)</f>
        <v>401866</v>
      </c>
      <c r="AJ28" s="1057" t="s">
        <v>729</v>
      </c>
    </row>
    <row r="29" spans="1:38" s="1058" customFormat="1" ht="23.25" customHeight="1">
      <c r="A29" s="1059"/>
      <c r="B29" s="1060" t="s">
        <v>615</v>
      </c>
      <c r="C29" s="1027">
        <v>118485</v>
      </c>
      <c r="D29" s="1027">
        <v>78495</v>
      </c>
      <c r="E29" s="1027">
        <v>71641</v>
      </c>
      <c r="F29" s="1025">
        <f>(E29-D29)/D29*100</f>
        <v>-8.7317663545448756</v>
      </c>
      <c r="G29" s="1027">
        <v>70925</v>
      </c>
      <c r="H29" s="1025">
        <f>(G29-E29)/E29*100</f>
        <v>-0.99942770201420972</v>
      </c>
      <c r="I29" s="1027">
        <v>73412</v>
      </c>
      <c r="J29" s="1025">
        <f>(I29-G29)/G29*100</f>
        <v>3.5065209728586537</v>
      </c>
      <c r="K29" s="1027">
        <v>75685</v>
      </c>
      <c r="L29" s="1025">
        <f>(K29-I29)/I29*100</f>
        <v>3.0962240505639405</v>
      </c>
      <c r="M29" s="1027">
        <v>85358</v>
      </c>
      <c r="N29" s="1025">
        <f>(M29-K29)/K29*100</f>
        <v>12.780603818458083</v>
      </c>
      <c r="O29" s="1027">
        <v>95341</v>
      </c>
      <c r="P29" s="1025">
        <f>(O29-M29)/M29*100</f>
        <v>11.695447409733124</v>
      </c>
      <c r="Q29" s="1027">
        <v>105707</v>
      </c>
      <c r="R29" s="1025">
        <f>(Q29-O29)/O29*100</f>
        <v>10.87255220733997</v>
      </c>
      <c r="S29" s="1027">
        <v>109668</v>
      </c>
      <c r="T29" s="1025">
        <f>(S29-Q29)/Q29*100</f>
        <v>3.7471501414286656</v>
      </c>
      <c r="U29" s="1027">
        <v>114600</v>
      </c>
      <c r="V29" s="1025">
        <f>(U29-S29)/S29*100</f>
        <v>4.4972097603676549</v>
      </c>
      <c r="W29" s="1027">
        <v>119682</v>
      </c>
      <c r="X29" s="1025">
        <f>(W29-U29)/U29*100</f>
        <v>4.4345549738219896</v>
      </c>
      <c r="Y29" s="1024">
        <v>122655</v>
      </c>
      <c r="Z29" s="1025">
        <f t="shared" si="26"/>
        <v>2.4840828194715998</v>
      </c>
      <c r="AA29" s="1038">
        <v>130825</v>
      </c>
      <c r="AB29" s="1025">
        <f>(AA29-Y29)/Y29*100</f>
        <v>6.6609596021360726</v>
      </c>
      <c r="AC29" s="1038">
        <v>136482</v>
      </c>
      <c r="AD29" s="1025">
        <f>(AC29-AA29)/AA29*100</f>
        <v>4.3240970762468942</v>
      </c>
      <c r="AE29" s="1061">
        <v>140111</v>
      </c>
      <c r="AF29" s="1025">
        <f>(AE29-AC29)/AC29*100</f>
        <v>2.6589586905232925</v>
      </c>
      <c r="AG29" s="1061">
        <v>140174</v>
      </c>
      <c r="AH29" s="1025">
        <f>(AG29-AE29)/AE29*100</f>
        <v>4.4964349694171048E-2</v>
      </c>
      <c r="AI29" s="1062">
        <v>140764</v>
      </c>
      <c r="AJ29" s="1063"/>
      <c r="AK29" s="1064"/>
    </row>
    <row r="30" spans="1:38" s="1058" customFormat="1" ht="23.25" customHeight="1">
      <c r="A30" s="1059"/>
      <c r="B30" s="1060" t="s">
        <v>1180</v>
      </c>
      <c r="C30" s="1027">
        <v>59940</v>
      </c>
      <c r="D30" s="1027">
        <v>71266</v>
      </c>
      <c r="E30" s="1027">
        <v>77738</v>
      </c>
      <c r="F30" s="1025">
        <f>(E30-D30)/D30*100</f>
        <v>9.0814694244099581</v>
      </c>
      <c r="G30" s="1027">
        <v>71595</v>
      </c>
      <c r="H30" s="1025">
        <f>(G30-E30)/E30*100</f>
        <v>-7.9021842599500891</v>
      </c>
      <c r="I30" s="1027">
        <v>74367</v>
      </c>
      <c r="J30" s="1025">
        <f>(I30-G30)/G30*100</f>
        <v>3.8717787554996859</v>
      </c>
      <c r="K30" s="1027">
        <v>76027</v>
      </c>
      <c r="L30" s="1025">
        <f>(K30-I30)/I30*100</f>
        <v>2.2321728723761884</v>
      </c>
      <c r="M30" s="1027">
        <v>78082</v>
      </c>
      <c r="N30" s="1025">
        <f>(M30-K30)/K30*100</f>
        <v>2.7029870966893341</v>
      </c>
      <c r="O30" s="1027">
        <v>79388</v>
      </c>
      <c r="P30" s="1025">
        <f>(O30-M30)/M30*100</f>
        <v>1.6726005993698931</v>
      </c>
      <c r="Q30" s="1027">
        <v>81042</v>
      </c>
      <c r="R30" s="1025">
        <f>(Q30-O30)/O30*100</f>
        <v>2.0834383030180885</v>
      </c>
      <c r="S30" s="1027">
        <v>82459</v>
      </c>
      <c r="T30" s="1025">
        <f>(S30-Q30)/Q30*100</f>
        <v>1.7484760988129611</v>
      </c>
      <c r="U30" s="1027">
        <v>83581</v>
      </c>
      <c r="V30" s="1025">
        <f>(U30-S30)/S30*100</f>
        <v>1.360676214846166</v>
      </c>
      <c r="W30" s="1027">
        <v>84890</v>
      </c>
      <c r="X30" s="1025">
        <f>(W30-U30)/U30*100</f>
        <v>1.5661454158241706</v>
      </c>
      <c r="Y30" s="1024">
        <v>86103</v>
      </c>
      <c r="Z30" s="1025">
        <f t="shared" si="26"/>
        <v>1.4289079985864059</v>
      </c>
      <c r="AA30" s="1038">
        <v>87213</v>
      </c>
      <c r="AB30" s="1025">
        <f>(AA30-Y30)/Y30*100</f>
        <v>1.2891536880248073</v>
      </c>
      <c r="AC30" s="1038">
        <v>88359</v>
      </c>
      <c r="AD30" s="1025">
        <f>(AC30-AA30)/AA30*100</f>
        <v>1.3140242853703001</v>
      </c>
      <c r="AE30" s="1061">
        <v>89483</v>
      </c>
      <c r="AF30" s="1025">
        <f>(AE30-AC30)/AC30*100</f>
        <v>1.2720832060118381</v>
      </c>
      <c r="AG30" s="1061">
        <v>85920</v>
      </c>
      <c r="AH30" s="1025">
        <f>(AG30-AE30)/AE30*100</f>
        <v>-3.9817618989081724</v>
      </c>
      <c r="AI30" s="1062">
        <v>91174</v>
      </c>
      <c r="AJ30" s="1063"/>
      <c r="AK30" s="1064"/>
    </row>
    <row r="31" spans="1:38" s="1058" customFormat="1" ht="23.25" customHeight="1">
      <c r="A31" s="1059"/>
      <c r="B31" s="1060" t="s">
        <v>616</v>
      </c>
      <c r="C31" s="1024">
        <v>128341</v>
      </c>
      <c r="D31" s="1024">
        <v>173808</v>
      </c>
      <c r="E31" s="1024">
        <v>174923</v>
      </c>
      <c r="F31" s="1025">
        <f>(E31-D31)/D31*100</f>
        <v>0.64151247353401453</v>
      </c>
      <c r="G31" s="1024">
        <v>153021</v>
      </c>
      <c r="H31" s="1025">
        <f>(G31-E31)/E31*100</f>
        <v>-12.520937784053555</v>
      </c>
      <c r="I31" s="1024">
        <v>153662</v>
      </c>
      <c r="J31" s="1025">
        <f>(I31-G31)/G31*100</f>
        <v>0.41889675273328503</v>
      </c>
      <c r="K31" s="1024">
        <v>155449</v>
      </c>
      <c r="L31" s="1025">
        <f>(K31-I31)/I31*100</f>
        <v>1.1629420416238239</v>
      </c>
      <c r="M31" s="1024">
        <v>134829</v>
      </c>
      <c r="N31" s="1025">
        <f>(M31-K31)/K31*100</f>
        <v>-13.264800674176097</v>
      </c>
      <c r="O31" s="1024">
        <v>136121</v>
      </c>
      <c r="P31" s="1025">
        <f>(O31-M31)/M31*100</f>
        <v>0.95825082141082418</v>
      </c>
      <c r="Q31" s="1024">
        <v>136469</v>
      </c>
      <c r="R31" s="1025">
        <f>(Q31-O31)/O31*100</f>
        <v>0.2556548952769962</v>
      </c>
      <c r="S31" s="1024">
        <v>139078</v>
      </c>
      <c r="T31" s="1025">
        <f>(S31-Q31)/Q31*100</f>
        <v>1.9117894906535551</v>
      </c>
      <c r="U31" s="1024">
        <v>142922</v>
      </c>
      <c r="V31" s="1025">
        <f>(U31-S31)/S31*100</f>
        <v>2.7639166510878788</v>
      </c>
      <c r="W31" s="1024">
        <v>146318</v>
      </c>
      <c r="X31" s="1025">
        <f>(W31-U31)/U31*100</f>
        <v>2.3761212409566057</v>
      </c>
      <c r="Y31" s="1024">
        <v>147282</v>
      </c>
      <c r="Z31" s="1025">
        <f t="shared" si="26"/>
        <v>0.65883896718107138</v>
      </c>
      <c r="AA31" s="1038">
        <v>149167</v>
      </c>
      <c r="AB31" s="1025">
        <f>(AA31-Y31)/Y31*100</f>
        <v>1.2798576879727326</v>
      </c>
      <c r="AC31" s="1038">
        <v>152959</v>
      </c>
      <c r="AD31" s="1025">
        <f>(AC31-AA31)/AA31*100</f>
        <v>2.542117224319052</v>
      </c>
      <c r="AE31" s="1061">
        <v>156978</v>
      </c>
      <c r="AF31" s="1025">
        <f>(AE31-AC31)/AC31*100</f>
        <v>2.6275014873266689</v>
      </c>
      <c r="AG31" s="1061">
        <v>166107</v>
      </c>
      <c r="AH31" s="1025">
        <f>(AG31-AE31)/AE31*100</f>
        <v>5.8154645873944117</v>
      </c>
      <c r="AI31" s="1062">
        <v>169928</v>
      </c>
      <c r="AJ31" s="1063"/>
      <c r="AK31" s="1064"/>
    </row>
    <row r="32" spans="1:38" s="1058" customFormat="1" ht="23.25" customHeight="1">
      <c r="A32" s="1065"/>
      <c r="B32" s="1066" t="s">
        <v>164</v>
      </c>
      <c r="C32" s="211">
        <f>+C29/C30</f>
        <v>1.9767267267267268</v>
      </c>
      <c r="D32" s="211">
        <v>1.1014368703168411</v>
      </c>
      <c r="E32" s="1067">
        <v>0.92156988860016975</v>
      </c>
      <c r="F32" s="1068"/>
      <c r="G32" s="211">
        <f>G29/G30</f>
        <v>0.99064180459529294</v>
      </c>
      <c r="H32" s="1068"/>
      <c r="I32" s="211">
        <f>I29/I30</f>
        <v>0.98715828257157068</v>
      </c>
      <c r="J32" s="1068"/>
      <c r="K32" s="211">
        <f>K29/K30</f>
        <v>0.99550159811645866</v>
      </c>
      <c r="L32" s="1069"/>
      <c r="M32" s="211">
        <f>M29/M30</f>
        <v>1.0931840885223227</v>
      </c>
      <c r="N32" s="1069"/>
      <c r="O32" s="211">
        <f>O29/O30</f>
        <v>1.2009497657076635</v>
      </c>
      <c r="P32" s="1069"/>
      <c r="Q32" s="211">
        <f>Q29/Q30</f>
        <v>1.304348362577429</v>
      </c>
      <c r="R32" s="1069"/>
      <c r="S32" s="211">
        <f>S29/S30</f>
        <v>1.329970045719691</v>
      </c>
      <c r="T32" s="1069"/>
      <c r="U32" s="211">
        <f>U29/U30</f>
        <v>1.3711250164511073</v>
      </c>
      <c r="V32" s="211" t="s">
        <v>729</v>
      </c>
      <c r="W32" s="211">
        <f>W29/W30</f>
        <v>1.4098480386382377</v>
      </c>
      <c r="X32" s="211" t="s">
        <v>729</v>
      </c>
      <c r="Y32" s="211">
        <v>1.4245148252674122</v>
      </c>
      <c r="Z32" s="211">
        <f t="shared" si="26"/>
        <v>1.0403097516340185</v>
      </c>
      <c r="AA32" s="1070">
        <v>1.5000630639927535</v>
      </c>
      <c r="AB32" s="211" t="s">
        <v>729</v>
      </c>
      <c r="AC32" s="1070">
        <f>AC29/AC30</f>
        <v>1.544630428139748</v>
      </c>
      <c r="AD32" s="211" t="s">
        <v>729</v>
      </c>
      <c r="AE32" s="1070">
        <v>1.5657834449001486</v>
      </c>
      <c r="AF32" s="211" t="s">
        <v>729</v>
      </c>
      <c r="AG32" s="1070">
        <v>1.6314478584729981</v>
      </c>
      <c r="AH32" s="211" t="s">
        <v>729</v>
      </c>
      <c r="AI32" s="1071">
        <f>AI29/AI30</f>
        <v>1.5439050606532565</v>
      </c>
      <c r="AJ32" s="1063"/>
      <c r="AK32" s="1064"/>
      <c r="AL32" s="1064"/>
    </row>
    <row r="33" spans="1:98" s="1021" customFormat="1">
      <c r="A33" s="230" t="s">
        <v>24</v>
      </c>
      <c r="B33" s="721"/>
      <c r="C33" s="1049">
        <v>64695517</v>
      </c>
      <c r="D33" s="1049">
        <v>65570544</v>
      </c>
      <c r="E33" s="1049">
        <v>66439596</v>
      </c>
      <c r="F33" s="1034"/>
      <c r="G33" s="1049">
        <v>67302123</v>
      </c>
      <c r="H33" s="1034"/>
      <c r="I33" s="1049">
        <v>68156681</v>
      </c>
      <c r="J33" s="1034"/>
      <c r="K33" s="1049">
        <v>69000225</v>
      </c>
      <c r="L33" s="1034"/>
      <c r="M33" s="1049">
        <v>69837252</v>
      </c>
      <c r="N33" s="1034"/>
      <c r="O33" s="1049">
        <v>70586256</v>
      </c>
      <c r="P33" s="1034"/>
      <c r="Q33" s="1049">
        <v>71517100</v>
      </c>
      <c r="R33" s="1034"/>
      <c r="S33" s="1049">
        <v>72561312</v>
      </c>
      <c r="T33" s="1034"/>
      <c r="U33" s="1049">
        <v>73722988</v>
      </c>
      <c r="V33" s="1034"/>
      <c r="W33" s="1049">
        <v>74724269</v>
      </c>
      <c r="X33" s="1034"/>
      <c r="Y33" s="231">
        <v>75627384</v>
      </c>
      <c r="Z33" s="1034"/>
      <c r="AA33" s="1049">
        <v>76667864</v>
      </c>
      <c r="AB33" s="1034"/>
      <c r="AC33" s="1049">
        <v>77695904</v>
      </c>
      <c r="AD33" s="1034"/>
      <c r="AE33" s="1049">
        <v>78741053</v>
      </c>
      <c r="AF33" s="1034"/>
      <c r="AG33" s="1049">
        <v>79814871</v>
      </c>
      <c r="AH33" s="1034"/>
      <c r="AI33" s="1050">
        <f>+'23-İL-EMOD-Öncelikli Yaşam'!B88</f>
        <v>79814871</v>
      </c>
      <c r="AJ33" s="1037" t="s">
        <v>44</v>
      </c>
      <c r="AK33" s="992"/>
    </row>
    <row r="34" spans="1:98" s="1021" customFormat="1" ht="16.5" customHeight="1">
      <c r="A34" s="230" t="s">
        <v>362</v>
      </c>
      <c r="B34" s="721"/>
      <c r="C34" s="231">
        <v>44361587.389070801</v>
      </c>
      <c r="D34" s="231">
        <v>44434547.527140364</v>
      </c>
      <c r="E34" s="231">
        <v>46318626.700806469</v>
      </c>
      <c r="F34" s="1034">
        <f>(E34-D34)/D34*100</f>
        <v>4.2401223339009366</v>
      </c>
      <c r="G34" s="231">
        <v>48094449.626777686</v>
      </c>
      <c r="H34" s="1034">
        <f>(G34-E34)/E34*100</f>
        <v>3.8339282756418553</v>
      </c>
      <c r="I34" s="231">
        <v>50138617.325666159</v>
      </c>
      <c r="J34" s="1034">
        <f t="shared" ref="J34:R34" si="28">(I34-G34)/G34*100</f>
        <v>4.2503193502610248</v>
      </c>
      <c r="K34" s="231">
        <v>52391314.080729842</v>
      </c>
      <c r="L34" s="1034">
        <f t="shared" si="28"/>
        <v>4.4929375304302983</v>
      </c>
      <c r="M34" s="231">
        <v>54667325.588750951</v>
      </c>
      <c r="N34" s="1034">
        <f t="shared" si="28"/>
        <v>4.3442535236165289</v>
      </c>
      <c r="O34" s="231">
        <f>+'7.4-a Sigortalı Sayıları'!P27+'8.4-b Sigortalı Sayıları'!M22+'9.4-c Sigortalı Sayıları'!N20+O28</f>
        <v>56423906.801494151</v>
      </c>
      <c r="P34" s="1034">
        <f t="shared" si="28"/>
        <v>3.2132195856031727</v>
      </c>
      <c r="Q34" s="231">
        <f>+'7.4-a Sigortalı Sayıları'!R27+'8.4-b Sigortalı Sayıları'!O22+'9.4-c Sigortalı Sayıları'!P20+Q28</f>
        <v>57338453.832328871</v>
      </c>
      <c r="R34" s="1034">
        <f t="shared" si="28"/>
        <v>1.6208502435894805</v>
      </c>
      <c r="S34" s="231">
        <f>+'7.4-a Sigortalı Sayıları'!T27+'8.4-b Sigortalı Sayıları'!Q22+'9.4-c Sigortalı Sayıları'!R20+S28</f>
        <v>58591604.162688993</v>
      </c>
      <c r="T34" s="1034">
        <f>(S34-Q34)/Q34*100</f>
        <v>2.1855321282722908</v>
      </c>
      <c r="U34" s="231">
        <f>+'7.4-a Sigortalı Sayıları'!V27+'8.4-b Sigortalı Sayıları'!S22+'9.4-c Sigortalı Sayıları'!T20+U28</f>
        <v>61526546.668743312</v>
      </c>
      <c r="V34" s="1034">
        <f>(U34-S34)/S34*100</f>
        <v>5.0091519902834207</v>
      </c>
      <c r="W34" s="231">
        <f>+'7.4-a Sigortalı Sayıları'!X27+'8.4-b Sigortalı Sayıları'!U22+'9.4-c Sigortalı Sayıları'!V20+W28</f>
        <v>64088908.762807831</v>
      </c>
      <c r="X34" s="1034">
        <f>(W34-U34)/U34*100</f>
        <v>4.1646447473481372</v>
      </c>
      <c r="Y34" s="231">
        <f>+'7.4-a Sigortalı Sayıları'!Z27+'8.4-b Sigortalı Sayıları'!W22+'9.4-c Sigortalı Sayıları'!X20+Y28</f>
        <v>62899355.665500477</v>
      </c>
      <c r="Z34" s="1034">
        <f t="shared" si="26"/>
        <v>-1.8560982239686337</v>
      </c>
      <c r="AA34" s="231">
        <f>+'7.4-a Sigortalı Sayıları'!AB27+'8.4-b Sigortalı Sayıları'!Y22+'9.4-c Sigortalı Sayıları'!Z20+AA28</f>
        <v>62789364.767268494</v>
      </c>
      <c r="AB34" s="232">
        <f>(AA34-Y34)/Y34*100</f>
        <v>-0.17486808420886868</v>
      </c>
      <c r="AC34" s="231">
        <f>+'7.4-a Sigortalı Sayıları'!AD27+'8.4-b Sigortalı Sayıları'!AA22+'9.4-c Sigortalı Sayıları'!AB20+AC28</f>
        <v>65060708.922523752</v>
      </c>
      <c r="AD34" s="232">
        <f>(AC34-AA34)/AA34*100</f>
        <v>3.6174026663179246</v>
      </c>
      <c r="AE34" s="231">
        <v>67330235.958344668</v>
      </c>
      <c r="AF34" s="232">
        <f>(AE34-AC34)/AC34*100</f>
        <v>3.4883220201666378</v>
      </c>
      <c r="AG34" s="231">
        <v>68205217.500674561</v>
      </c>
      <c r="AH34" s="232">
        <f>(AG34-AE34)/AE34*100</f>
        <v>1.2995373176342633</v>
      </c>
      <c r="AI34" s="233">
        <f>+'23-İL-EMOD-Öncelikli Yaşam'!D88+'6.SOSYAL GÜVENLİK KAPSAMI'!AI28</f>
        <v>68687313.510566354</v>
      </c>
      <c r="AJ34" s="1044" t="s">
        <v>18</v>
      </c>
    </row>
    <row r="35" spans="1:98" s="1021" customFormat="1" ht="15.75" customHeight="1">
      <c r="A35" s="1072" t="s">
        <v>266</v>
      </c>
      <c r="B35" s="721"/>
      <c r="C35" s="1073"/>
      <c r="D35" s="1073" t="s">
        <v>729</v>
      </c>
      <c r="E35" s="1073">
        <f t="shared" ref="E35:O35" si="29">+E34/E33</f>
        <v>0.69715394869057401</v>
      </c>
      <c r="F35" s="1073" t="s">
        <v>729</v>
      </c>
      <c r="G35" s="1073">
        <f t="shared" si="29"/>
        <v>0.7146052380365131</v>
      </c>
      <c r="H35" s="1073" t="s">
        <v>729</v>
      </c>
      <c r="I35" s="1073">
        <f t="shared" si="29"/>
        <v>0.73563760133311307</v>
      </c>
      <c r="J35" s="1073" t="s">
        <v>729</v>
      </c>
      <c r="K35" s="1073">
        <f t="shared" si="29"/>
        <v>0.75929193101515025</v>
      </c>
      <c r="L35" s="1073" t="s">
        <v>729</v>
      </c>
      <c r="M35" s="1073">
        <f t="shared" si="29"/>
        <v>0.7827817393037021</v>
      </c>
      <c r="N35" s="1073" t="s">
        <v>729</v>
      </c>
      <c r="O35" s="1073">
        <f t="shared" si="29"/>
        <v>0.79936109377290321</v>
      </c>
      <c r="P35" s="1073"/>
      <c r="Q35" s="1073">
        <f>+Q34/Q33</f>
        <v>0.80174467130698635</v>
      </c>
      <c r="R35" s="1073"/>
      <c r="S35" s="1073">
        <f>S34/S33</f>
        <v>0.80747718788062972</v>
      </c>
      <c r="T35" s="1073"/>
      <c r="U35" s="1073">
        <f>U34/U33</f>
        <v>0.83456393097826298</v>
      </c>
      <c r="V35" s="1073"/>
      <c r="W35" s="1073">
        <f>+W34/W33</f>
        <v>0.85767194006016745</v>
      </c>
      <c r="X35" s="1073"/>
      <c r="Y35" s="1073">
        <v>0.83169665984348307</v>
      </c>
      <c r="Z35" s="1073"/>
      <c r="AA35" s="1074">
        <v>0.81897892404134942</v>
      </c>
      <c r="AB35" s="1073"/>
      <c r="AC35" s="1074">
        <f>AC34/AC33</f>
        <v>0.83737630393648232</v>
      </c>
      <c r="AD35" s="1073"/>
      <c r="AE35" s="1074">
        <v>0.85508427171204671</v>
      </c>
      <c r="AF35" s="1073"/>
      <c r="AG35" s="1074">
        <v>0.85454272676422116</v>
      </c>
      <c r="AH35" s="1073"/>
      <c r="AI35" s="1075">
        <f>AI34/AI33</f>
        <v>0.86058290453875885</v>
      </c>
      <c r="AJ35" s="1037" t="s">
        <v>45</v>
      </c>
    </row>
    <row r="36" spans="1:98" s="1021" customFormat="1" ht="23.25" customHeight="1" thickBot="1">
      <c r="A36" s="1764" t="s">
        <v>361</v>
      </c>
      <c r="B36" s="1765"/>
      <c r="C36" s="1073" t="s">
        <v>729</v>
      </c>
      <c r="D36" s="1073"/>
      <c r="E36" s="1073">
        <f t="shared" ref="E36:O36" si="30">1-E35</f>
        <v>0.30284605130942599</v>
      </c>
      <c r="F36" s="1073" t="s">
        <v>729</v>
      </c>
      <c r="G36" s="1073">
        <f t="shared" si="30"/>
        <v>0.2853947619634869</v>
      </c>
      <c r="H36" s="1073" t="s">
        <v>729</v>
      </c>
      <c r="I36" s="1073">
        <f t="shared" si="30"/>
        <v>0.26436239866688693</v>
      </c>
      <c r="J36" s="1073" t="s">
        <v>729</v>
      </c>
      <c r="K36" s="1073">
        <f t="shared" si="30"/>
        <v>0.24070806898484975</v>
      </c>
      <c r="L36" s="1073" t="s">
        <v>729</v>
      </c>
      <c r="M36" s="1073">
        <f t="shared" si="30"/>
        <v>0.2172182606962979</v>
      </c>
      <c r="N36" s="1073" t="s">
        <v>729</v>
      </c>
      <c r="O36" s="1073">
        <f t="shared" si="30"/>
        <v>0.20063890622709679</v>
      </c>
      <c r="P36" s="1073"/>
      <c r="Q36" s="1073">
        <f>1-Q35</f>
        <v>0.19825532869301365</v>
      </c>
      <c r="R36" s="1073"/>
      <c r="S36" s="1073">
        <f>1-S35</f>
        <v>0.19252281211937028</v>
      </c>
      <c r="T36" s="1076" t="s">
        <v>729</v>
      </c>
      <c r="U36" s="1073">
        <f>1-U35</f>
        <v>0.16543606902173702</v>
      </c>
      <c r="V36" s="1073"/>
      <c r="W36" s="1073">
        <v>0.14232926436780757</v>
      </c>
      <c r="X36" s="1073"/>
      <c r="Y36" s="1073">
        <v>0.16830334015651693</v>
      </c>
      <c r="Z36" s="1073"/>
      <c r="AA36" s="1073">
        <v>0.18102107595865058</v>
      </c>
      <c r="AB36" s="1073"/>
      <c r="AC36" s="1073">
        <f>1-AC35</f>
        <v>0.16262369606351768</v>
      </c>
      <c r="AD36" s="1073" t="s">
        <v>729</v>
      </c>
      <c r="AE36" s="1073">
        <v>0.14491572828795329</v>
      </c>
      <c r="AF36" s="1077" t="s">
        <v>729</v>
      </c>
      <c r="AG36" s="1077">
        <v>0.14545727323577884</v>
      </c>
      <c r="AH36" s="1077" t="s">
        <v>729</v>
      </c>
      <c r="AI36" s="1078">
        <f>1-AI35</f>
        <v>0.13941709546124115</v>
      </c>
      <c r="AJ36" s="1037" t="s">
        <v>46</v>
      </c>
    </row>
    <row r="37" spans="1:98" s="721" customFormat="1" ht="22.5" customHeight="1" thickBot="1">
      <c r="A37" s="1771" t="s">
        <v>1181</v>
      </c>
      <c r="B37" s="1772"/>
      <c r="C37" s="1772"/>
      <c r="D37" s="1772"/>
      <c r="E37" s="1772"/>
      <c r="F37" s="1772"/>
      <c r="G37" s="1772"/>
      <c r="H37" s="1772"/>
      <c r="I37" s="1772"/>
      <c r="J37" s="1772"/>
      <c r="K37" s="1772"/>
      <c r="L37" s="1772"/>
      <c r="M37" s="1772"/>
      <c r="N37" s="1772"/>
      <c r="O37" s="1772"/>
      <c r="P37" s="1772"/>
      <c r="Q37" s="1772"/>
      <c r="R37" s="1772"/>
      <c r="S37" s="1772"/>
      <c r="T37" s="1772"/>
      <c r="U37" s="1772"/>
      <c r="V37" s="1772"/>
      <c r="W37" s="1772"/>
      <c r="X37" s="1772"/>
      <c r="Y37" s="1772"/>
      <c r="Z37" s="1772"/>
      <c r="AA37" s="1772"/>
      <c r="AB37" s="1772"/>
      <c r="AC37" s="1772"/>
      <c r="AD37" s="1772"/>
      <c r="AE37" s="1772"/>
      <c r="AF37" s="1079"/>
      <c r="AG37" s="1079"/>
      <c r="AH37" s="1079"/>
      <c r="AI37" s="1079"/>
      <c r="AJ37" s="1041"/>
      <c r="AK37" s="1004"/>
      <c r="AL37" s="1004"/>
      <c r="AM37" s="1004"/>
      <c r="AN37" s="1004"/>
      <c r="AO37" s="1080"/>
      <c r="AP37" s="1080"/>
      <c r="AQ37" s="1080"/>
      <c r="AR37" s="1080"/>
      <c r="AS37" s="1080"/>
      <c r="AT37" s="1080"/>
      <c r="AU37" s="1080"/>
      <c r="AV37" s="1080"/>
      <c r="AW37" s="1080"/>
      <c r="AX37" s="1080"/>
      <c r="AY37" s="1080"/>
      <c r="AZ37" s="1080"/>
      <c r="BA37" s="1080"/>
      <c r="BB37" s="1080"/>
      <c r="BC37" s="1080"/>
      <c r="BD37" s="1080"/>
      <c r="BE37" s="1080"/>
      <c r="BF37" s="1080"/>
      <c r="BG37" s="1080"/>
      <c r="BH37" s="1080"/>
      <c r="BI37" s="1080"/>
      <c r="BJ37" s="1080"/>
      <c r="BK37" s="1080"/>
      <c r="BL37" s="1080"/>
      <c r="BM37" s="1080"/>
      <c r="BN37" s="1080"/>
      <c r="BO37" s="1080"/>
      <c r="BP37" s="1080"/>
      <c r="BQ37" s="1080"/>
      <c r="BR37" s="1080"/>
      <c r="BS37" s="1080"/>
      <c r="BT37" s="1080"/>
      <c r="BU37" s="1080"/>
      <c r="BV37" s="1080"/>
      <c r="BW37" s="1080"/>
      <c r="BX37" s="1080"/>
      <c r="BY37" s="1080"/>
      <c r="BZ37" s="1080"/>
      <c r="CA37" s="1080"/>
      <c r="CB37" s="1080"/>
      <c r="CC37" s="1080"/>
      <c r="CD37" s="1080"/>
      <c r="CE37" s="1080"/>
      <c r="CF37" s="1080"/>
      <c r="CG37" s="1080"/>
      <c r="CH37" s="1080"/>
      <c r="CI37" s="1080"/>
      <c r="CJ37" s="1080"/>
      <c r="CK37" s="1080"/>
      <c r="CL37" s="1080"/>
      <c r="CM37" s="1080"/>
      <c r="CN37" s="1080"/>
      <c r="CO37" s="1080"/>
      <c r="CP37" s="1080"/>
      <c r="CQ37" s="1080"/>
      <c r="CR37" s="1080"/>
      <c r="CS37" s="1080"/>
      <c r="CT37" s="1080"/>
    </row>
    <row r="38" spans="1:98" s="1021" customFormat="1">
      <c r="A38" s="1047" t="s">
        <v>1239</v>
      </c>
      <c r="B38" s="721"/>
      <c r="C38" s="1081">
        <v>967503</v>
      </c>
      <c r="D38" s="1081">
        <v>967503</v>
      </c>
      <c r="E38" s="1081">
        <v>1008846</v>
      </c>
      <c r="F38" s="1034">
        <f t="shared" ref="F38:F50" si="31">(E38-D38)/D38*100</f>
        <v>4.273165044449474</v>
      </c>
      <c r="G38" s="1081">
        <f>SUM(G39:G42)</f>
        <v>1047341</v>
      </c>
      <c r="H38" s="1034">
        <f>(G38-E38)/E38*100</f>
        <v>3.8157459116654078</v>
      </c>
      <c r="I38" s="1081">
        <f>SUM(I39:I42)</f>
        <v>1092457</v>
      </c>
      <c r="J38" s="1034">
        <f>(I38-G38)/G38*100</f>
        <v>4.3076705676565705</v>
      </c>
      <c r="K38" s="1081">
        <f>SUM(K39:K42)</f>
        <v>1266268</v>
      </c>
      <c r="L38" s="1034">
        <f>(K38-I38)/I38*100</f>
        <v>15.910099894091942</v>
      </c>
      <c r="M38" s="1081">
        <f>SUM(M39:M42)</f>
        <v>1243878</v>
      </c>
      <c r="N38" s="1034">
        <f>(M38-K38)/K38*100</f>
        <v>-1.7681880928839706</v>
      </c>
      <c r="O38" s="1081">
        <f>SUM(O39:O42)</f>
        <v>1244174</v>
      </c>
      <c r="P38" s="1034">
        <f>(O38-M38)/M38*100</f>
        <v>2.3796545963510891E-2</v>
      </c>
      <c r="Q38" s="1081">
        <f>SUM(Q39:Q42)</f>
        <v>1266174</v>
      </c>
      <c r="R38" s="1034">
        <f>(Q38-O38)/O38*100</f>
        <v>1.7682414196085114</v>
      </c>
      <c r="S38" s="1081">
        <f>SUM(S39:S42)</f>
        <v>1321373</v>
      </c>
      <c r="T38" s="1034">
        <f>(S38-Q38)/Q38*100</f>
        <v>4.359511409964191</v>
      </c>
      <c r="U38" s="1081">
        <f>SUM(U39:U42)</f>
        <v>1363670</v>
      </c>
      <c r="V38" s="1034">
        <f>(U38-S38)/S38*100</f>
        <v>3.2009886686045501</v>
      </c>
      <c r="W38" s="231">
        <v>1337989</v>
      </c>
      <c r="X38" s="1034">
        <f>(W38-U38)/U38*100</f>
        <v>-1.8832268804036167</v>
      </c>
      <c r="Y38" s="1034"/>
      <c r="Z38" s="1034"/>
      <c r="AA38" s="1081"/>
      <c r="AB38" s="1034"/>
      <c r="AC38" s="1081"/>
      <c r="AD38" s="1034"/>
      <c r="AE38" s="1081">
        <v>0</v>
      </c>
      <c r="AF38" s="1081"/>
      <c r="AG38" s="1081"/>
      <c r="AH38" s="1081"/>
      <c r="AI38" s="1082"/>
      <c r="AJ38" s="1063" t="s">
        <v>47</v>
      </c>
    </row>
    <row r="39" spans="1:98" s="1021" customFormat="1" ht="21.75" customHeight="1">
      <c r="A39" s="1022"/>
      <c r="B39" s="1023" t="s">
        <v>841</v>
      </c>
      <c r="C39" s="1024">
        <v>709356</v>
      </c>
      <c r="D39" s="1024">
        <v>716778</v>
      </c>
      <c r="E39" s="1024">
        <v>746468</v>
      </c>
      <c r="F39" s="1025">
        <f t="shared" si="31"/>
        <v>4.142147219920254</v>
      </c>
      <c r="G39" s="1024">
        <v>770204</v>
      </c>
      <c r="H39" s="1025">
        <f>(G39-E39)/E39*100</f>
        <v>3.1797746186038784</v>
      </c>
      <c r="I39" s="1024">
        <v>792046</v>
      </c>
      <c r="J39" s="1025">
        <f>(I39-G39)/G39*100</f>
        <v>2.8358720546764236</v>
      </c>
      <c r="K39" s="1024">
        <v>938677</v>
      </c>
      <c r="L39" s="1025">
        <f>(K39-I39)/I39*100</f>
        <v>18.512939905005517</v>
      </c>
      <c r="M39" s="1024">
        <v>927077</v>
      </c>
      <c r="N39" s="1025">
        <f>(M39-K39)/K39*100</f>
        <v>-1.2357818504128684</v>
      </c>
      <c r="O39" s="1024">
        <v>903283</v>
      </c>
      <c r="P39" s="1025">
        <f>(O39-M39)/M39*100</f>
        <v>-2.5665613535876739</v>
      </c>
      <c r="Q39" s="1024">
        <v>867035</v>
      </c>
      <c r="R39" s="1025">
        <f>(Q39-O39)/O39*100</f>
        <v>-4.0129173249136754</v>
      </c>
      <c r="S39" s="1024">
        <v>859516</v>
      </c>
      <c r="T39" s="1026">
        <f>(S39-Q39)/Q39*100</f>
        <v>-0.86720835952412523</v>
      </c>
      <c r="U39" s="1024">
        <v>848826</v>
      </c>
      <c r="V39" s="1026">
        <f>(U39-S39)/S39*100</f>
        <v>-1.243723211667962</v>
      </c>
      <c r="W39" s="1027">
        <v>797426</v>
      </c>
      <c r="X39" s="1026">
        <f>(W39-U39)/U39*100</f>
        <v>-6.0554224305099043</v>
      </c>
      <c r="Y39" s="1026"/>
      <c r="Z39" s="1026"/>
      <c r="AA39" s="1024"/>
      <c r="AB39" s="1026"/>
      <c r="AC39" s="1024"/>
      <c r="AD39" s="1026"/>
      <c r="AE39" s="1024"/>
      <c r="AF39" s="1024"/>
      <c r="AG39" s="1024"/>
      <c r="AH39" s="1024"/>
      <c r="AI39" s="1028"/>
      <c r="AJ39" s="1029" t="s">
        <v>48</v>
      </c>
    </row>
    <row r="40" spans="1:98" s="1021" customFormat="1" ht="21.75" customHeight="1">
      <c r="A40" s="1022"/>
      <c r="B40" s="1023" t="s">
        <v>842</v>
      </c>
      <c r="C40" s="1024">
        <v>62237</v>
      </c>
      <c r="D40" s="1024">
        <v>65147</v>
      </c>
      <c r="E40" s="1024">
        <v>68598</v>
      </c>
      <c r="F40" s="1025">
        <f t="shared" si="31"/>
        <v>5.2972508327321286</v>
      </c>
      <c r="G40" s="1024">
        <v>72805</v>
      </c>
      <c r="H40" s="1025">
        <f>(G40-E40)/E40*100</f>
        <v>6.132831860987201</v>
      </c>
      <c r="I40" s="1024">
        <v>79811</v>
      </c>
      <c r="J40" s="1025">
        <f>(I40-G40)/G40*100</f>
        <v>9.6229654556692541</v>
      </c>
      <c r="K40" s="1024">
        <v>84072</v>
      </c>
      <c r="L40" s="1025">
        <f>(K40-I40)/I40*100</f>
        <v>5.3388630639886729</v>
      </c>
      <c r="M40" s="1024">
        <v>82891</v>
      </c>
      <c r="N40" s="1025">
        <f>(M40-K40)/K40*100</f>
        <v>-1.4047483109715482</v>
      </c>
      <c r="O40" s="1024">
        <v>92904</v>
      </c>
      <c r="P40" s="1025">
        <f>(O40-M40)/M40*100</f>
        <v>12.079719149244188</v>
      </c>
      <c r="Q40" s="1024">
        <v>114518</v>
      </c>
      <c r="R40" s="1025">
        <f>(Q40-O40)/O40*100</f>
        <v>23.264875570481358</v>
      </c>
      <c r="S40" s="1024">
        <v>142288</v>
      </c>
      <c r="T40" s="1026">
        <f>(S40-Q40)/Q40*100</f>
        <v>24.249462966520547</v>
      </c>
      <c r="U40" s="1024">
        <v>168559</v>
      </c>
      <c r="V40" s="1026">
        <f>(U40-S40)/S40*100</f>
        <v>18.463257618351513</v>
      </c>
      <c r="W40" s="1027">
        <v>187711</v>
      </c>
      <c r="X40" s="1026">
        <f>(W40-U40)/U40*100</f>
        <v>11.362193653260876</v>
      </c>
      <c r="Y40" s="1026"/>
      <c r="Z40" s="1026"/>
      <c r="AA40" s="1024"/>
      <c r="AB40" s="1026"/>
      <c r="AC40" s="1024"/>
      <c r="AD40" s="1026"/>
      <c r="AE40" s="1024"/>
      <c r="AF40" s="1024"/>
      <c r="AG40" s="1024"/>
      <c r="AH40" s="1024"/>
      <c r="AI40" s="1028"/>
      <c r="AJ40" s="1046" t="s">
        <v>717</v>
      </c>
    </row>
    <row r="41" spans="1:98" s="1021" customFormat="1" ht="21.75" customHeight="1">
      <c r="A41" s="1022"/>
      <c r="B41" s="1023" t="s">
        <v>142</v>
      </c>
      <c r="C41" s="1024">
        <v>180124</v>
      </c>
      <c r="D41" s="1024">
        <v>185578</v>
      </c>
      <c r="E41" s="1024">
        <v>193780</v>
      </c>
      <c r="F41" s="1025">
        <f t="shared" si="31"/>
        <v>4.4197049219196236</v>
      </c>
      <c r="G41" s="1024">
        <v>204332</v>
      </c>
      <c r="H41" s="1025">
        <f>(G41-E41)/E41*100</f>
        <v>5.4453503973578288</v>
      </c>
      <c r="I41" s="1024">
        <v>220600</v>
      </c>
      <c r="J41" s="1025">
        <f>(I41-G41)/G41*100</f>
        <v>7.9615527670653634</v>
      </c>
      <c r="K41" s="1024">
        <v>243519</v>
      </c>
      <c r="L41" s="1025">
        <f>(K41-I41)/I41*100</f>
        <v>10.389392565729828</v>
      </c>
      <c r="M41" s="1024">
        <v>233910</v>
      </c>
      <c r="N41" s="1025">
        <f>(M41-K41)/K41*100</f>
        <v>-3.9458933389181134</v>
      </c>
      <c r="O41" s="1024">
        <v>239110</v>
      </c>
      <c r="P41" s="1025">
        <f>(O41-M41)/M41*100</f>
        <v>2.2230772519345048</v>
      </c>
      <c r="Q41" s="1024">
        <v>255990</v>
      </c>
      <c r="R41" s="1025">
        <f>(Q41-O41)/O41*100</f>
        <v>7.0595123583288029</v>
      </c>
      <c r="S41" s="1024">
        <v>275028</v>
      </c>
      <c r="T41" s="1026">
        <f>(S41-Q41)/Q41*100</f>
        <v>7.4370092581741476</v>
      </c>
      <c r="U41" s="1024">
        <v>290558</v>
      </c>
      <c r="V41" s="1026">
        <f>(U41-S41)/S41*100</f>
        <v>5.6466977907703946</v>
      </c>
      <c r="W41" s="1027">
        <v>293141</v>
      </c>
      <c r="X41" s="1026">
        <f>(W41-U41)/U41*100</f>
        <v>0.88897913669559947</v>
      </c>
      <c r="Y41" s="1083" t="s">
        <v>360</v>
      </c>
      <c r="Z41" s="1026"/>
      <c r="AA41" s="1084" t="s">
        <v>360</v>
      </c>
      <c r="AB41" s="1026"/>
      <c r="AC41" s="1084" t="s">
        <v>360</v>
      </c>
      <c r="AD41" s="1026"/>
      <c r="AE41" s="1084" t="s">
        <v>1142</v>
      </c>
      <c r="AF41" s="1084"/>
      <c r="AG41" s="1084" t="s">
        <v>360</v>
      </c>
      <c r="AH41" s="1084"/>
      <c r="AI41" s="1085" t="s">
        <v>360</v>
      </c>
      <c r="AJ41" s="1046" t="s">
        <v>780</v>
      </c>
    </row>
    <row r="42" spans="1:98" s="1021" customFormat="1" ht="21.75" customHeight="1">
      <c r="A42" s="1022"/>
      <c r="B42" s="1023" t="s">
        <v>1019</v>
      </c>
      <c r="C42" s="1024">
        <v>0</v>
      </c>
      <c r="D42" s="1024"/>
      <c r="E42" s="1024"/>
      <c r="F42" s="1025"/>
      <c r="G42" s="1024"/>
      <c r="H42" s="1025"/>
      <c r="I42" s="1024"/>
      <c r="J42" s="1025"/>
      <c r="K42" s="1024"/>
      <c r="L42" s="1025"/>
      <c r="M42" s="1024"/>
      <c r="N42" s="1025"/>
      <c r="O42" s="1024">
        <v>8877</v>
      </c>
      <c r="P42" s="1025"/>
      <c r="Q42" s="1024">
        <v>28631</v>
      </c>
      <c r="R42" s="1025"/>
      <c r="S42" s="1024">
        <v>44541</v>
      </c>
      <c r="T42" s="1026">
        <f>(S42-Q42)/Q42*100</f>
        <v>55.569138346547454</v>
      </c>
      <c r="U42" s="1024">
        <v>55727</v>
      </c>
      <c r="V42" s="1026">
        <f>(U42-S42)/S42*100</f>
        <v>25.113939965425114</v>
      </c>
      <c r="W42" s="1027">
        <v>59558</v>
      </c>
      <c r="X42" s="1026">
        <f>(W42-U42)/U42*100</f>
        <v>6.8745850305955809</v>
      </c>
      <c r="Y42" s="1026"/>
      <c r="Z42" s="1026"/>
      <c r="AA42" s="1024"/>
      <c r="AB42" s="1026"/>
      <c r="AC42" s="1024"/>
      <c r="AD42" s="1026"/>
      <c r="AE42" s="1024"/>
      <c r="AF42" s="1024"/>
      <c r="AG42" s="1024"/>
      <c r="AH42" s="1024"/>
      <c r="AI42" s="1028"/>
      <c r="AJ42" s="1046" t="s">
        <v>135</v>
      </c>
    </row>
    <row r="43" spans="1:98" s="1021" customFormat="1" ht="21.75" customHeight="1">
      <c r="A43" s="1022"/>
      <c r="B43" s="1023" t="s">
        <v>662</v>
      </c>
      <c r="C43" s="1024"/>
      <c r="D43" s="1024"/>
      <c r="E43" s="1024"/>
      <c r="F43" s="1025"/>
      <c r="G43" s="1024"/>
      <c r="H43" s="1025"/>
      <c r="I43" s="1024"/>
      <c r="J43" s="1025"/>
      <c r="K43" s="1024"/>
      <c r="L43" s="1025"/>
      <c r="M43" s="1024"/>
      <c r="N43" s="1025"/>
      <c r="O43" s="1024"/>
      <c r="P43" s="1025"/>
      <c r="Q43" s="1024"/>
      <c r="R43" s="1025"/>
      <c r="S43" s="1024"/>
      <c r="T43" s="1026"/>
      <c r="U43" s="1086" t="s">
        <v>664</v>
      </c>
      <c r="V43" s="1026"/>
      <c r="W43" s="1027">
        <v>153</v>
      </c>
      <c r="X43" s="1026"/>
      <c r="Y43" s="1026"/>
      <c r="Z43" s="1026"/>
      <c r="AA43" s="1024"/>
      <c r="AB43" s="1026"/>
      <c r="AC43" s="1024"/>
      <c r="AD43" s="1026"/>
      <c r="AE43" s="1024"/>
      <c r="AF43" s="1024"/>
      <c r="AG43" s="1024"/>
      <c r="AH43" s="1024"/>
      <c r="AI43" s="1028"/>
      <c r="AJ43" s="1046" t="s">
        <v>663</v>
      </c>
    </row>
    <row r="44" spans="1:98" s="1004" customFormat="1">
      <c r="A44" s="1047" t="s">
        <v>249</v>
      </c>
      <c r="B44" s="1087"/>
      <c r="C44" s="1081"/>
      <c r="D44" s="1081">
        <v>52861</v>
      </c>
      <c r="E44" s="1081">
        <v>53110</v>
      </c>
      <c r="F44" s="1034">
        <f t="shared" si="31"/>
        <v>0.47104670740243276</v>
      </c>
      <c r="G44" s="1081">
        <f>SUM(G45:G49)</f>
        <v>52908</v>
      </c>
      <c r="H44" s="1034">
        <f>(G44-E44)/E44*100</f>
        <v>-0.3803426849934099</v>
      </c>
      <c r="I44" s="1081">
        <f>SUM(I45:I49)</f>
        <v>52648</v>
      </c>
      <c r="J44" s="1034">
        <f t="shared" ref="J44:J50" si="32">(I44-G44)/G44*100</f>
        <v>-0.49141906705980193</v>
      </c>
      <c r="K44" s="1081">
        <f>SUM(K45:K49)</f>
        <v>52112</v>
      </c>
      <c r="L44" s="1034">
        <f t="shared" ref="L44:L50" si="33">(K44-I44)/I44*100</f>
        <v>-1.0180823583042091</v>
      </c>
      <c r="M44" s="1081">
        <f>M45+M46+M47+M48+M49</f>
        <v>51545</v>
      </c>
      <c r="N44" s="1034">
        <f t="shared" ref="N44:N50" si="34">(M44-K44)/K44*100</f>
        <v>-1.0880411421553577</v>
      </c>
      <c r="O44" s="1081">
        <f>O45+O46+O47+O48+O49</f>
        <v>51053</v>
      </c>
      <c r="P44" s="1034">
        <f t="shared" ref="P44:R50" si="35">(O44-M44)/M44*100</f>
        <v>-0.95450577165583461</v>
      </c>
      <c r="Q44" s="1081">
        <f>Q45+Q46+Q47+Q48+Q49</f>
        <v>50659</v>
      </c>
      <c r="R44" s="1034">
        <f t="shared" si="35"/>
        <v>-0.77174700801128238</v>
      </c>
      <c r="S44" s="1081">
        <f>S45+S46+S47+S48+S49</f>
        <v>50017</v>
      </c>
      <c r="T44" s="1034">
        <f>(S44-Q44)/Q44*100</f>
        <v>-1.2672970252077618</v>
      </c>
      <c r="U44" s="1081">
        <f>U45+U46+U47+U48+U49</f>
        <v>49643</v>
      </c>
      <c r="V44" s="1034">
        <f>(U44-S44)/S44*100</f>
        <v>-0.7477457664394106</v>
      </c>
      <c r="W44" s="1081">
        <f>W45+W46+W47+W48+W49</f>
        <v>49158</v>
      </c>
      <c r="X44" s="1034">
        <f>(W44-U44)/U44*100</f>
        <v>-0.97697560582559484</v>
      </c>
      <c r="Y44" s="1081">
        <f>Y45+Y46+Y47+Y48+Y49</f>
        <v>48550</v>
      </c>
      <c r="Z44" s="1034">
        <f t="shared" ref="Z44:Z50" si="36">(Y44-W44)/W44*100</f>
        <v>-1.2368281866634119</v>
      </c>
      <c r="AA44" s="1081">
        <v>47939</v>
      </c>
      <c r="AB44" s="1034">
        <f>(AA44-Y44)/Y44*100</f>
        <v>-1.258496395468589</v>
      </c>
      <c r="AC44" s="1081">
        <f>SUM(AC45:AC49)</f>
        <v>47336</v>
      </c>
      <c r="AD44" s="1034">
        <f>(AC44-AA44)/AA44*100</f>
        <v>-1.2578485158221906</v>
      </c>
      <c r="AE44" s="231">
        <v>46607</v>
      </c>
      <c r="AF44" s="1034">
        <f>(AE44-AC44)/AC44*100</f>
        <v>-1.5400540814601995</v>
      </c>
      <c r="AG44" s="231">
        <v>45828</v>
      </c>
      <c r="AH44" s="1034">
        <f>(AG44-AE44)/AE44*100</f>
        <v>-1.6714227476559314</v>
      </c>
      <c r="AI44" s="233">
        <f>SUM(AI45:AI49)</f>
        <v>45550</v>
      </c>
      <c r="AJ44" s="1004" t="s">
        <v>879</v>
      </c>
      <c r="AK44" s="1088"/>
    </row>
    <row r="45" spans="1:98" s="1021" customFormat="1" ht="21.75" customHeight="1">
      <c r="A45" s="1022"/>
      <c r="B45" s="1023" t="s">
        <v>535</v>
      </c>
      <c r="C45" s="1024"/>
      <c r="D45" s="1024">
        <v>49</v>
      </c>
      <c r="E45" s="1024">
        <v>30</v>
      </c>
      <c r="F45" s="1025">
        <f t="shared" si="31"/>
        <v>-38.775510204081634</v>
      </c>
      <c r="G45" s="1024">
        <v>20</v>
      </c>
      <c r="H45" s="1025">
        <f t="shared" ref="H45:H50" si="37">(G45-E45)/E45*100</f>
        <v>-33.333333333333329</v>
      </c>
      <c r="I45" s="1024">
        <v>5</v>
      </c>
      <c r="J45" s="1025">
        <f t="shared" si="32"/>
        <v>-75</v>
      </c>
      <c r="K45" s="1024">
        <v>5</v>
      </c>
      <c r="L45" s="1025">
        <f t="shared" si="33"/>
        <v>0</v>
      </c>
      <c r="M45" s="1024">
        <v>3</v>
      </c>
      <c r="N45" s="1025">
        <f t="shared" si="34"/>
        <v>-40</v>
      </c>
      <c r="O45" s="1024">
        <v>2</v>
      </c>
      <c r="P45" s="1025">
        <f t="shared" si="35"/>
        <v>-33.333333333333329</v>
      </c>
      <c r="Q45" s="1024">
        <v>0</v>
      </c>
      <c r="R45" s="1025">
        <f t="shared" si="35"/>
        <v>-100</v>
      </c>
      <c r="S45" s="1024">
        <v>0</v>
      </c>
      <c r="T45" s="1026"/>
      <c r="U45" s="1024">
        <v>0</v>
      </c>
      <c r="V45" s="1026"/>
      <c r="W45" s="1027">
        <v>0</v>
      </c>
      <c r="X45" s="1026"/>
      <c r="Y45" s="1027">
        <v>0</v>
      </c>
      <c r="Z45" s="1026" t="s">
        <v>729</v>
      </c>
      <c r="AA45" s="1027">
        <v>0</v>
      </c>
      <c r="AB45" s="1026">
        <v>0</v>
      </c>
      <c r="AC45" s="1027">
        <v>0</v>
      </c>
      <c r="AD45" s="1026">
        <v>0</v>
      </c>
      <c r="AE45" s="1027">
        <v>0</v>
      </c>
      <c r="AF45" s="1026">
        <v>0</v>
      </c>
      <c r="AG45" s="1027">
        <v>0</v>
      </c>
      <c r="AH45" s="1026">
        <v>0</v>
      </c>
      <c r="AI45" s="1089">
        <v>0</v>
      </c>
      <c r="AJ45" s="1046" t="s">
        <v>861</v>
      </c>
    </row>
    <row r="46" spans="1:98" s="1021" customFormat="1" ht="21.75" customHeight="1">
      <c r="A46" s="1022"/>
      <c r="B46" s="1023" t="s">
        <v>53</v>
      </c>
      <c r="C46" s="1024"/>
      <c r="D46" s="1024">
        <v>10557</v>
      </c>
      <c r="E46" s="1024">
        <v>10052</v>
      </c>
      <c r="F46" s="1025">
        <f t="shared" si="31"/>
        <v>-4.7835559344510754</v>
      </c>
      <c r="G46" s="1024">
        <v>9494</v>
      </c>
      <c r="H46" s="1025">
        <f t="shared" si="37"/>
        <v>-5.5511341026661363</v>
      </c>
      <c r="I46" s="1024">
        <v>8875</v>
      </c>
      <c r="J46" s="1025">
        <f t="shared" si="32"/>
        <v>-6.5199073098799243</v>
      </c>
      <c r="K46" s="1024">
        <v>8340</v>
      </c>
      <c r="L46" s="1025">
        <f t="shared" si="33"/>
        <v>-6.028169014084507</v>
      </c>
      <c r="M46" s="1024">
        <v>7753</v>
      </c>
      <c r="N46" s="1025">
        <f t="shared" si="34"/>
        <v>-7.0383693045563547</v>
      </c>
      <c r="O46" s="1024">
        <v>7216</v>
      </c>
      <c r="P46" s="1025">
        <f t="shared" si="35"/>
        <v>-6.9263510899006846</v>
      </c>
      <c r="Q46" s="1024">
        <v>6662</v>
      </c>
      <c r="R46" s="1025">
        <f t="shared" si="35"/>
        <v>-7.6773835920177378</v>
      </c>
      <c r="S46" s="1024">
        <v>6117</v>
      </c>
      <c r="T46" s="1026">
        <f>(S46-Q46)/Q46*100</f>
        <v>-8.1807265085559902</v>
      </c>
      <c r="U46" s="1024">
        <v>5647</v>
      </c>
      <c r="V46" s="1026">
        <f>(U46-S46)/S46*100</f>
        <v>-7.6835049861042988</v>
      </c>
      <c r="W46" s="1027">
        <v>5181</v>
      </c>
      <c r="X46" s="1026">
        <f>(W46-U46)/U46*100</f>
        <v>-8.2521692934301392</v>
      </c>
      <c r="Y46" s="1027">
        <v>4745</v>
      </c>
      <c r="Z46" s="1026">
        <f t="shared" si="36"/>
        <v>-8.4153638293765685</v>
      </c>
      <c r="AA46" s="1027">
        <v>4258</v>
      </c>
      <c r="AB46" s="1026">
        <f>(AA46-Y46)/Y46*100</f>
        <v>-10.263435194942044</v>
      </c>
      <c r="AC46" s="1027">
        <v>3752</v>
      </c>
      <c r="AD46" s="1026">
        <f>(AC46-AA46)/AA46*100</f>
        <v>-11.883513386566463</v>
      </c>
      <c r="AE46" s="1027">
        <v>3286</v>
      </c>
      <c r="AF46" s="1026">
        <f>(AE46-AC46)/AC46*100</f>
        <v>-12.420042643923241</v>
      </c>
      <c r="AG46" s="1027">
        <v>2853</v>
      </c>
      <c r="AH46" s="1026">
        <f>(AG46-AE46)/AE46*100</f>
        <v>-13.177115033475351</v>
      </c>
      <c r="AI46" s="1089">
        <f>+'15-Diğer Primsizler'!E30</f>
        <v>2691</v>
      </c>
      <c r="AJ46" s="1046" t="s">
        <v>49</v>
      </c>
    </row>
    <row r="47" spans="1:98" s="1021" customFormat="1" ht="21.75" customHeight="1">
      <c r="A47" s="1022"/>
      <c r="B47" s="1023" t="s">
        <v>1240</v>
      </c>
      <c r="C47" s="1024"/>
      <c r="D47" s="1024">
        <v>74</v>
      </c>
      <c r="E47" s="1024">
        <v>76</v>
      </c>
      <c r="F47" s="1025">
        <f t="shared" si="31"/>
        <v>2.7027027027027026</v>
      </c>
      <c r="G47" s="1024">
        <v>78</v>
      </c>
      <c r="H47" s="1025">
        <f t="shared" si="37"/>
        <v>2.6315789473684208</v>
      </c>
      <c r="I47" s="1024">
        <v>81</v>
      </c>
      <c r="J47" s="1025">
        <f t="shared" si="32"/>
        <v>3.8461538461538463</v>
      </c>
      <c r="K47" s="1024">
        <v>82</v>
      </c>
      <c r="L47" s="1025">
        <f t="shared" si="33"/>
        <v>1.2345679012345678</v>
      </c>
      <c r="M47" s="1024">
        <v>85</v>
      </c>
      <c r="N47" s="1025">
        <f t="shared" si="34"/>
        <v>3.6585365853658534</v>
      </c>
      <c r="O47" s="1024">
        <v>88</v>
      </c>
      <c r="P47" s="1025">
        <f t="shared" si="35"/>
        <v>3.5294117647058822</v>
      </c>
      <c r="Q47" s="1024">
        <v>106</v>
      </c>
      <c r="R47" s="1025">
        <f t="shared" si="35"/>
        <v>20.454545454545457</v>
      </c>
      <c r="S47" s="1024">
        <v>76</v>
      </c>
      <c r="T47" s="1026">
        <f>(S47-Q47)/Q47*100</f>
        <v>-28.30188679245283</v>
      </c>
      <c r="U47" s="1024">
        <v>285</v>
      </c>
      <c r="V47" s="1026">
        <f>(U47-S47)/S47*100</f>
        <v>275</v>
      </c>
      <c r="W47" s="1027">
        <v>305</v>
      </c>
      <c r="X47" s="1026">
        <f>(W47-U47)/U47*100</f>
        <v>7.0175438596491224</v>
      </c>
      <c r="Y47" s="1027">
        <v>362</v>
      </c>
      <c r="Z47" s="1026">
        <f t="shared" si="36"/>
        <v>18.688524590163937</v>
      </c>
      <c r="AA47" s="1027">
        <v>414</v>
      </c>
      <c r="AB47" s="1026">
        <f>(AA47-Y47)/Y47*100</f>
        <v>14.3646408839779</v>
      </c>
      <c r="AC47" s="1027">
        <v>555</v>
      </c>
      <c r="AD47" s="1026">
        <f>(AC47-AA47)/AA47*100</f>
        <v>34.057971014492757</v>
      </c>
      <c r="AE47" s="1027">
        <v>596</v>
      </c>
      <c r="AF47" s="1026">
        <f>(AE47-AC47)/AC47*100</f>
        <v>7.3873873873873865</v>
      </c>
      <c r="AG47" s="1027">
        <v>616</v>
      </c>
      <c r="AH47" s="1026">
        <f>(AG47-AE47)/AE47*100</f>
        <v>3.3557046979865772</v>
      </c>
      <c r="AI47" s="1089">
        <f>+'15-Diğer Primsizler'!E38+'15-Diğer Primsizler'!E40</f>
        <v>646</v>
      </c>
      <c r="AJ47" s="1046" t="s">
        <v>456</v>
      </c>
    </row>
    <row r="48" spans="1:98" s="1021" customFormat="1" ht="21.75" customHeight="1">
      <c r="A48" s="1022"/>
      <c r="B48" s="1023" t="s">
        <v>54</v>
      </c>
      <c r="C48" s="1024"/>
      <c r="D48" s="1024">
        <v>33115</v>
      </c>
      <c r="E48" s="1024">
        <v>32944</v>
      </c>
      <c r="F48" s="1025">
        <f t="shared" si="31"/>
        <v>-0.5163823040918013</v>
      </c>
      <c r="G48" s="1024">
        <v>32721</v>
      </c>
      <c r="H48" s="1025">
        <f t="shared" si="37"/>
        <v>-0.67690626517727059</v>
      </c>
      <c r="I48" s="1024">
        <v>32484</v>
      </c>
      <c r="J48" s="1025">
        <f t="shared" si="32"/>
        <v>-0.72430549188594484</v>
      </c>
      <c r="K48" s="1024">
        <v>32268</v>
      </c>
      <c r="L48" s="1025">
        <f t="shared" si="33"/>
        <v>-0.66494274104174367</v>
      </c>
      <c r="M48" s="1024">
        <v>31980</v>
      </c>
      <c r="N48" s="1025">
        <f t="shared" si="34"/>
        <v>-0.89252510226850124</v>
      </c>
      <c r="O48" s="1024">
        <v>31706</v>
      </c>
      <c r="P48" s="1025">
        <f t="shared" si="35"/>
        <v>-0.85678549093183232</v>
      </c>
      <c r="Q48" s="1024">
        <v>31478</v>
      </c>
      <c r="R48" s="1025">
        <f t="shared" si="35"/>
        <v>-0.71910679366681385</v>
      </c>
      <c r="S48" s="1024">
        <v>31133</v>
      </c>
      <c r="T48" s="1026">
        <f>(S48-Q48)/Q48*100</f>
        <v>-1.0960035580405363</v>
      </c>
      <c r="U48" s="1024">
        <v>30897</v>
      </c>
      <c r="V48" s="1026">
        <f>(U48-S48)/S48*100</f>
        <v>-0.7580380946262808</v>
      </c>
      <c r="W48" s="1027">
        <v>30575</v>
      </c>
      <c r="X48" s="1026">
        <f>(W48-U48)/U48*100</f>
        <v>-1.0421723791953912</v>
      </c>
      <c r="Y48" s="1027">
        <v>30200</v>
      </c>
      <c r="Z48" s="1026">
        <f t="shared" si="36"/>
        <v>-1.2264922322158627</v>
      </c>
      <c r="AA48" s="1027">
        <v>29850</v>
      </c>
      <c r="AB48" s="1026">
        <f>(AA48-Y48)/Y48*100</f>
        <v>-1.1589403973509933</v>
      </c>
      <c r="AC48" s="1027">
        <v>29470</v>
      </c>
      <c r="AD48" s="1026">
        <f>(AC48-AA48)/AA48*100</f>
        <v>-1.2730318257956448</v>
      </c>
      <c r="AE48" s="1027">
        <v>29061</v>
      </c>
      <c r="AF48" s="1026">
        <f>(AE48-AC48)/AC48*100</f>
        <v>-1.3878520529351883</v>
      </c>
      <c r="AG48" s="1027">
        <v>28606</v>
      </c>
      <c r="AH48" s="1026">
        <f>(AG48-AE48)/AE48*100</f>
        <v>-1.5656722067375519</v>
      </c>
      <c r="AI48" s="1089">
        <f>+'15-Diğer Primsizler'!E32</f>
        <v>28454</v>
      </c>
      <c r="AJ48" s="1046" t="s">
        <v>136</v>
      </c>
    </row>
    <row r="49" spans="1:36" s="1021" customFormat="1" ht="21.75" customHeight="1">
      <c r="A49" s="1022"/>
      <c r="B49" s="1023" t="s">
        <v>55</v>
      </c>
      <c r="C49" s="1024"/>
      <c r="D49" s="1024">
        <v>9066</v>
      </c>
      <c r="E49" s="1024">
        <v>10008</v>
      </c>
      <c r="F49" s="1025">
        <f t="shared" si="31"/>
        <v>10.390469887491726</v>
      </c>
      <c r="G49" s="1024">
        <v>10595</v>
      </c>
      <c r="H49" s="1025">
        <f t="shared" si="37"/>
        <v>5.8653077537969622</v>
      </c>
      <c r="I49" s="1024">
        <v>11203</v>
      </c>
      <c r="J49" s="1025">
        <f t="shared" si="32"/>
        <v>5.738555922605002</v>
      </c>
      <c r="K49" s="1024">
        <v>11417</v>
      </c>
      <c r="L49" s="1025">
        <f t="shared" si="33"/>
        <v>1.9102026242970633</v>
      </c>
      <c r="M49" s="1024">
        <v>11724</v>
      </c>
      <c r="N49" s="1025">
        <f t="shared" si="34"/>
        <v>2.6889725847420514</v>
      </c>
      <c r="O49" s="1024">
        <v>12041</v>
      </c>
      <c r="P49" s="1025">
        <f t="shared" si="35"/>
        <v>2.7038553394745821</v>
      </c>
      <c r="Q49" s="1024">
        <v>12413</v>
      </c>
      <c r="R49" s="1025">
        <f t="shared" si="35"/>
        <v>3.0894443983057887</v>
      </c>
      <c r="S49" s="1024">
        <v>12691</v>
      </c>
      <c r="T49" s="1026">
        <f>(S49-Q49)/Q49*100</f>
        <v>2.2395875292032548</v>
      </c>
      <c r="U49" s="1024">
        <v>12814</v>
      </c>
      <c r="V49" s="1026">
        <f>(U49-S49)/S49*100</f>
        <v>0.96919076510913249</v>
      </c>
      <c r="W49" s="1027">
        <v>13097</v>
      </c>
      <c r="X49" s="1026">
        <f>(W49-U49)/U49*100</f>
        <v>2.2085219291400033</v>
      </c>
      <c r="Y49" s="1027">
        <v>13243</v>
      </c>
      <c r="Z49" s="1026">
        <f t="shared" si="36"/>
        <v>1.1147591051385815</v>
      </c>
      <c r="AA49" s="1027">
        <v>13417</v>
      </c>
      <c r="AB49" s="1026">
        <f>(AA49-Y49)/Y49*100</f>
        <v>1.3139016839084801</v>
      </c>
      <c r="AC49" s="1027">
        <v>13559</v>
      </c>
      <c r="AD49" s="1026">
        <f>(AC49-AA49)/AA49*100</f>
        <v>1.0583587985391667</v>
      </c>
      <c r="AE49" s="1027">
        <v>13664</v>
      </c>
      <c r="AF49" s="1026">
        <f>(AE49-AC49)/AC49*100</f>
        <v>0.77439339184305633</v>
      </c>
      <c r="AG49" s="1027">
        <v>13753</v>
      </c>
      <c r="AH49" s="1026">
        <f>(AG49-AE49)/AE49*100</f>
        <v>0.65134660421545676</v>
      </c>
      <c r="AI49" s="1089">
        <f>+'15-Diğer Primsizler'!E29+'15-Diğer Primsizler'!E31+'15-Diğer Primsizler'!E33+'15-Diğer Primsizler'!E41</f>
        <v>13759</v>
      </c>
      <c r="AJ49" s="1090" t="s">
        <v>566</v>
      </c>
    </row>
    <row r="50" spans="1:36" s="1021" customFormat="1" ht="15.75" customHeight="1" thickBot="1">
      <c r="A50" s="1091" t="s">
        <v>977</v>
      </c>
      <c r="B50" s="1092"/>
      <c r="C50" s="1093"/>
      <c r="D50" s="1093">
        <v>46052</v>
      </c>
      <c r="E50" s="1093">
        <v>44974</v>
      </c>
      <c r="F50" s="1094">
        <f t="shared" si="31"/>
        <v>-2.3408321028402677</v>
      </c>
      <c r="G50" s="1093">
        <v>44535</v>
      </c>
      <c r="H50" s="1094">
        <f t="shared" si="37"/>
        <v>-0.97611953573175614</v>
      </c>
      <c r="I50" s="1093">
        <v>44320</v>
      </c>
      <c r="J50" s="1094">
        <f t="shared" si="32"/>
        <v>-0.48276636353429886</v>
      </c>
      <c r="K50" s="1093">
        <v>41797</v>
      </c>
      <c r="L50" s="1094">
        <f t="shared" si="33"/>
        <v>-5.6926895306859207</v>
      </c>
      <c r="M50" s="1093">
        <v>40833</v>
      </c>
      <c r="N50" s="1094">
        <f t="shared" si="34"/>
        <v>-2.3063856257626147</v>
      </c>
      <c r="O50" s="1093">
        <v>40833</v>
      </c>
      <c r="P50" s="1094">
        <f t="shared" si="35"/>
        <v>0</v>
      </c>
      <c r="Q50" s="1093">
        <v>37833</v>
      </c>
      <c r="R50" s="1094">
        <f t="shared" si="35"/>
        <v>-7.3469987510102124</v>
      </c>
      <c r="S50" s="1093">
        <v>37895</v>
      </c>
      <c r="T50" s="1094">
        <f>(S50-Q50)/Q50*100</f>
        <v>0.16387809584225413</v>
      </c>
      <c r="U50" s="1093">
        <v>38776</v>
      </c>
      <c r="V50" s="1094">
        <f>(U50-S50)/S50*100</f>
        <v>2.3248449663544002</v>
      </c>
      <c r="W50" s="1093">
        <v>40185</v>
      </c>
      <c r="X50" s="1094">
        <f>(W50-U50)/U50*100</f>
        <v>3.6336909428512483</v>
      </c>
      <c r="Y50" s="1093">
        <v>38060</v>
      </c>
      <c r="Z50" s="1094">
        <f t="shared" si="36"/>
        <v>-5.2880428020405619</v>
      </c>
      <c r="AA50" s="1095">
        <v>36584</v>
      </c>
      <c r="AB50" s="1094">
        <f>(AA50-Y50)/Y50*100</f>
        <v>-3.8780872306883865</v>
      </c>
      <c r="AC50" s="1095">
        <v>51787</v>
      </c>
      <c r="AD50" s="1094">
        <f>(AC50-AA50)/AA50*100</f>
        <v>41.556418106275963</v>
      </c>
      <c r="AE50" s="1095">
        <v>33858</v>
      </c>
      <c r="AF50" s="1094">
        <f>(AE50-AC50)/AC50*100</f>
        <v>-34.620657694015868</v>
      </c>
      <c r="AG50" s="1096">
        <v>57356</v>
      </c>
      <c r="AH50" s="1097">
        <f>(AG50-AE50)/AE50*100</f>
        <v>69.401618524425544</v>
      </c>
      <c r="AI50" s="1098">
        <f>+AG50</f>
        <v>57356</v>
      </c>
      <c r="AJ50" s="1046" t="s">
        <v>457</v>
      </c>
    </row>
    <row r="51" spans="1:36" s="1021" customFormat="1" ht="7.5" customHeight="1" thickBot="1">
      <c r="A51" s="1099"/>
      <c r="B51" s="1100"/>
      <c r="C51" s="1003"/>
      <c r="D51" s="1003"/>
      <c r="E51" s="1003"/>
      <c r="F51" s="1026"/>
      <c r="G51" s="1003"/>
      <c r="H51" s="1026"/>
      <c r="I51" s="1003"/>
      <c r="J51" s="1026"/>
      <c r="K51" s="1003"/>
      <c r="L51" s="1026"/>
      <c r="M51" s="1003"/>
      <c r="N51" s="1026"/>
      <c r="O51" s="1003"/>
      <c r="P51" s="1026"/>
      <c r="Q51" s="1003"/>
      <c r="R51" s="1026"/>
      <c r="S51" s="1003"/>
      <c r="T51" s="1026"/>
      <c r="U51" s="1003"/>
      <c r="V51" s="1026"/>
      <c r="W51" s="1026"/>
      <c r="X51" s="1026"/>
      <c r="Y51" s="1026"/>
      <c r="Z51" s="1026"/>
      <c r="AA51" s="1026"/>
      <c r="AB51" s="1026"/>
      <c r="AC51" s="1003"/>
      <c r="AD51" s="1026"/>
      <c r="AE51" s="1003"/>
      <c r="AF51" s="1003"/>
      <c r="AG51" s="1003"/>
      <c r="AH51" s="1003"/>
      <c r="AI51" s="1003"/>
      <c r="AJ51" s="1037"/>
    </row>
    <row r="52" spans="1:36" s="1021" customFormat="1" ht="29.25" customHeight="1" thickBot="1">
      <c r="A52" s="1768" t="s">
        <v>1241</v>
      </c>
      <c r="B52" s="1770"/>
      <c r="C52" s="1101"/>
      <c r="D52" s="1101"/>
      <c r="E52" s="1101"/>
      <c r="F52" s="1101"/>
      <c r="G52" s="1101"/>
      <c r="H52" s="1101"/>
      <c r="I52" s="1101">
        <v>6852000</v>
      </c>
      <c r="J52" s="1101"/>
      <c r="K52" s="1101">
        <v>7256000</v>
      </c>
      <c r="L52" s="1102"/>
      <c r="M52" s="1101">
        <v>8279000</v>
      </c>
      <c r="N52" s="1101"/>
      <c r="O52" s="1101">
        <v>9355279</v>
      </c>
      <c r="P52" s="1101"/>
      <c r="Q52" s="1101">
        <v>9337850</v>
      </c>
      <c r="R52" s="1101"/>
      <c r="S52" s="1101">
        <v>9647131</v>
      </c>
      <c r="T52" s="1101"/>
      <c r="U52" s="1101">
        <v>9395185</v>
      </c>
      <c r="V52" s="1101"/>
      <c r="W52" s="1101">
        <v>8865470</v>
      </c>
      <c r="X52" s="1101"/>
      <c r="Y52" s="1101">
        <v>11357306</v>
      </c>
      <c r="Z52" s="1101"/>
      <c r="AA52" s="1101">
        <v>12351352.440316334</v>
      </c>
      <c r="AB52" s="1101"/>
      <c r="AC52" s="1101">
        <f>+AC53+AC54</f>
        <v>11385011</v>
      </c>
      <c r="AD52" s="1101"/>
      <c r="AE52" s="1101">
        <v>10180009</v>
      </c>
      <c r="AF52" s="1101"/>
      <c r="AG52" s="1101">
        <v>10189469</v>
      </c>
      <c r="AH52" s="1101"/>
      <c r="AI52" s="1103">
        <f>+AI53+AI54</f>
        <v>10104600</v>
      </c>
      <c r="AJ52" s="1046" t="s">
        <v>1016</v>
      </c>
    </row>
    <row r="53" spans="1:36" s="1021" customFormat="1" ht="38.25" customHeight="1" thickBot="1">
      <c r="A53" s="1768" t="s">
        <v>1010</v>
      </c>
      <c r="B53" s="1769"/>
      <c r="C53" s="1101"/>
      <c r="D53" s="1101"/>
      <c r="E53" s="1101"/>
      <c r="F53" s="1101"/>
      <c r="G53" s="1101"/>
      <c r="H53" s="1101"/>
      <c r="I53" s="1101"/>
      <c r="J53" s="1101"/>
      <c r="K53" s="1101"/>
      <c r="L53" s="1102"/>
      <c r="M53" s="1101"/>
      <c r="N53" s="1101"/>
      <c r="O53" s="1101"/>
      <c r="P53" s="1101"/>
      <c r="Q53" s="1101"/>
      <c r="R53" s="1101"/>
      <c r="S53" s="1101"/>
      <c r="T53" s="1101"/>
      <c r="U53" s="1101"/>
      <c r="V53" s="1101"/>
      <c r="W53" s="1101"/>
      <c r="X53" s="1101"/>
      <c r="Y53" s="1101">
        <v>3798485</v>
      </c>
      <c r="Z53" s="1101"/>
      <c r="AA53" s="1101">
        <v>4699867.4403163325</v>
      </c>
      <c r="AB53" s="1101"/>
      <c r="AC53" s="1101">
        <v>4043415</v>
      </c>
      <c r="AD53" s="1101"/>
      <c r="AE53" s="1101">
        <v>2787922</v>
      </c>
      <c r="AF53" s="1101"/>
      <c r="AG53" s="1101">
        <v>2679737</v>
      </c>
      <c r="AH53" s="1101"/>
      <c r="AI53" s="1103">
        <f>+'23-İL-EMOD-Öncelikli Yaşam'!X88</f>
        <v>2492182</v>
      </c>
      <c r="AJ53" s="1046" t="s">
        <v>1015</v>
      </c>
    </row>
    <row r="54" spans="1:36" s="1021" customFormat="1" ht="39.75" customHeight="1" thickBot="1">
      <c r="A54" s="1768" t="s">
        <v>1011</v>
      </c>
      <c r="B54" s="1769"/>
      <c r="C54" s="1101"/>
      <c r="D54" s="1101"/>
      <c r="E54" s="1101"/>
      <c r="F54" s="1101"/>
      <c r="G54" s="1101"/>
      <c r="H54" s="1101"/>
      <c r="I54" s="1101">
        <v>6852000</v>
      </c>
      <c r="J54" s="1101"/>
      <c r="K54" s="1101">
        <v>7256000</v>
      </c>
      <c r="L54" s="1102"/>
      <c r="M54" s="1101">
        <v>8279000</v>
      </c>
      <c r="N54" s="1101"/>
      <c r="O54" s="1101">
        <v>9355279</v>
      </c>
      <c r="P54" s="1101"/>
      <c r="Q54" s="1101">
        <v>9337850</v>
      </c>
      <c r="R54" s="1101"/>
      <c r="S54" s="1101">
        <v>9647131</v>
      </c>
      <c r="T54" s="1101"/>
      <c r="U54" s="1101">
        <v>9395185</v>
      </c>
      <c r="V54" s="1101"/>
      <c r="W54" s="1101">
        <v>8865470</v>
      </c>
      <c r="X54" s="1101"/>
      <c r="Y54" s="1101">
        <v>7558821</v>
      </c>
      <c r="Z54" s="1101"/>
      <c r="AA54" s="1101">
        <v>7651485.0000000028</v>
      </c>
      <c r="AB54" s="1101"/>
      <c r="AC54" s="1101">
        <v>7341596</v>
      </c>
      <c r="AD54" s="1101"/>
      <c r="AE54" s="1101">
        <v>7392087</v>
      </c>
      <c r="AF54" s="1101"/>
      <c r="AG54" s="1101">
        <v>7509732</v>
      </c>
      <c r="AH54" s="1101"/>
      <c r="AI54" s="1103">
        <f>+'23-İL-EMOD-Öncelikli Yaşam'!W88</f>
        <v>7612418</v>
      </c>
      <c r="AJ54" s="1046" t="s">
        <v>1068</v>
      </c>
    </row>
    <row r="55" spans="1:36" ht="13.5" customHeight="1">
      <c r="A55" s="1104" t="s">
        <v>949</v>
      </c>
      <c r="B55" s="1104"/>
      <c r="C55" s="1104"/>
      <c r="D55" s="1104"/>
      <c r="E55" s="1104"/>
      <c r="F55" s="1104"/>
      <c r="G55" s="1104"/>
      <c r="H55" s="1104"/>
      <c r="I55" s="1104"/>
      <c r="J55" s="1104"/>
      <c r="K55" s="1104"/>
      <c r="L55" s="1104"/>
      <c r="M55" s="1105"/>
      <c r="N55" s="1105"/>
      <c r="O55" s="1105"/>
      <c r="P55" s="1105"/>
      <c r="Q55" s="1106"/>
      <c r="R55" s="1105"/>
      <c r="S55" s="1105"/>
      <c r="T55" s="1105"/>
      <c r="U55" s="1105"/>
      <c r="V55" s="1105"/>
      <c r="W55" s="1105"/>
      <c r="X55" s="1105"/>
      <c r="Y55" s="1105"/>
      <c r="Z55" s="1105"/>
      <c r="AA55" s="1105"/>
      <c r="AB55" s="1105"/>
      <c r="AC55" s="1105"/>
      <c r="AD55" s="1105"/>
      <c r="AE55" s="1105"/>
      <c r="AF55" s="1105"/>
      <c r="AG55" s="1105"/>
      <c r="AH55" s="1105"/>
      <c r="AI55" s="1105"/>
    </row>
    <row r="56" spans="1:36" ht="12.75" customHeight="1">
      <c r="A56" s="1104" t="s">
        <v>1020</v>
      </c>
      <c r="B56" s="1107"/>
      <c r="C56" s="1107"/>
      <c r="D56" s="1107"/>
      <c r="E56" s="1106"/>
      <c r="F56" s="1107"/>
      <c r="G56" s="1107"/>
      <c r="H56" s="1107"/>
      <c r="I56" s="1107"/>
      <c r="J56" s="1107"/>
      <c r="K56" s="1107"/>
      <c r="L56" s="1106"/>
      <c r="M56" s="1106"/>
      <c r="N56" s="1106"/>
      <c r="O56" s="1106"/>
      <c r="P56" s="1106"/>
      <c r="Q56" s="1106"/>
      <c r="R56" s="1106"/>
      <c r="S56" s="1106"/>
      <c r="T56" s="1106"/>
      <c r="U56" s="1108"/>
      <c r="V56" s="1106"/>
      <c r="W56" s="1106"/>
      <c r="X56" s="1106"/>
      <c r="Y56" s="1106"/>
      <c r="Z56" s="1106"/>
      <c r="AA56" s="1106"/>
      <c r="AB56" s="1106"/>
      <c r="AC56" s="1108"/>
      <c r="AD56" s="1106"/>
      <c r="AE56" s="1108" t="s">
        <v>729</v>
      </c>
      <c r="AF56" s="1108"/>
      <c r="AG56" s="1108"/>
      <c r="AH56" s="1108"/>
      <c r="AI56" s="1108"/>
      <c r="AJ56" s="992" t="s">
        <v>729</v>
      </c>
    </row>
    <row r="57" spans="1:36" ht="12" customHeight="1">
      <c r="A57" s="1104" t="s">
        <v>1131</v>
      </c>
      <c r="B57" s="1106"/>
      <c r="C57" s="1106"/>
      <c r="D57" s="1106"/>
      <c r="E57" s="1109"/>
      <c r="F57" s="1106"/>
      <c r="G57" s="1106"/>
      <c r="H57" s="1106"/>
      <c r="I57" s="1106"/>
      <c r="J57" s="1106"/>
      <c r="K57" s="1106"/>
      <c r="L57" s="1106"/>
      <c r="M57" s="1106"/>
      <c r="N57" s="1106"/>
      <c r="O57" s="1110"/>
      <c r="P57" s="1110"/>
      <c r="Q57" s="1106"/>
      <c r="R57" s="1106"/>
      <c r="S57" s="1106"/>
      <c r="T57" s="1106"/>
      <c r="U57" s="1106"/>
      <c r="V57" s="1106"/>
      <c r="W57" s="1106"/>
      <c r="X57" s="1106"/>
      <c r="Y57" s="1106"/>
      <c r="Z57" s="1106"/>
      <c r="AA57" s="1106"/>
      <c r="AB57" s="1106"/>
      <c r="AC57" s="1108"/>
      <c r="AD57" s="1106"/>
      <c r="AE57" s="1108"/>
      <c r="AF57" s="1108"/>
      <c r="AG57" s="1108"/>
      <c r="AH57" s="1108"/>
      <c r="AI57" s="1108"/>
      <c r="AJ57" s="1021" t="s">
        <v>729</v>
      </c>
    </row>
    <row r="58" spans="1:36" ht="12" customHeight="1">
      <c r="A58" s="1104" t="s">
        <v>1021</v>
      </c>
      <c r="B58" s="1104"/>
      <c r="C58" s="1104"/>
      <c r="D58" s="1104"/>
      <c r="E58" s="1109"/>
      <c r="F58" s="1104"/>
      <c r="G58" s="1104"/>
      <c r="H58" s="1104"/>
      <c r="I58" s="1104"/>
      <c r="J58" s="1104"/>
      <c r="K58" s="1104"/>
      <c r="L58" s="1104"/>
      <c r="M58" s="1104"/>
      <c r="N58" s="1104"/>
      <c r="O58" s="1104"/>
      <c r="P58" s="1104"/>
      <c r="Q58" s="1104"/>
      <c r="R58" s="1104"/>
      <c r="S58" s="1104"/>
      <c r="T58" s="1104"/>
      <c r="U58" s="1104"/>
      <c r="V58" s="1104"/>
      <c r="W58" s="1104"/>
      <c r="X58" s="1104"/>
      <c r="Y58" s="1104"/>
      <c r="Z58" s="1104"/>
      <c r="AA58" s="1104"/>
      <c r="AB58" s="1104"/>
      <c r="AC58" s="1104"/>
      <c r="AD58" s="1104"/>
      <c r="AE58" s="1104"/>
      <c r="AF58" s="1104"/>
      <c r="AG58" s="1104"/>
      <c r="AH58" s="1104"/>
      <c r="AI58" s="1104"/>
    </row>
    <row r="59" spans="1:36" s="1005" customFormat="1" ht="24.75" customHeight="1">
      <c r="A59" s="1755" t="s">
        <v>1269</v>
      </c>
      <c r="B59" s="1755"/>
      <c r="C59" s="1755"/>
      <c r="D59" s="1755"/>
      <c r="E59" s="1755"/>
      <c r="F59" s="1755"/>
      <c r="G59" s="1755"/>
      <c r="H59" s="1755"/>
      <c r="I59" s="1755"/>
      <c r="J59" s="1755"/>
      <c r="K59" s="1755"/>
      <c r="L59" s="1755"/>
      <c r="M59" s="1755"/>
      <c r="N59" s="1755"/>
      <c r="O59" s="1755"/>
      <c r="P59" s="1755"/>
      <c r="Q59" s="1755"/>
      <c r="R59" s="1755"/>
      <c r="S59" s="1755"/>
      <c r="T59" s="1755"/>
      <c r="U59" s="1755"/>
      <c r="V59" s="1755"/>
      <c r="W59" s="1755"/>
      <c r="X59" s="1755"/>
      <c r="Y59" s="1755"/>
      <c r="Z59" s="1755"/>
      <c r="AA59" s="1755"/>
      <c r="AB59" s="1755"/>
      <c r="AC59" s="1755"/>
      <c r="AD59" s="1755"/>
      <c r="AE59" s="1112"/>
      <c r="AF59" s="1112"/>
      <c r="AG59" s="1112"/>
      <c r="AH59" s="1112"/>
      <c r="AI59" s="1112"/>
      <c r="AJ59" s="1003"/>
    </row>
    <row r="60" spans="1:36" s="1005" customFormat="1" ht="24.75" customHeight="1">
      <c r="A60" s="1755" t="s">
        <v>1252</v>
      </c>
      <c r="B60" s="1755"/>
      <c r="C60" s="1755"/>
      <c r="D60" s="1755"/>
      <c r="E60" s="1755"/>
      <c r="F60" s="1755"/>
      <c r="G60" s="1755"/>
      <c r="H60" s="1755"/>
      <c r="I60" s="1755"/>
      <c r="J60" s="1755"/>
      <c r="K60" s="1755"/>
      <c r="L60" s="1755"/>
      <c r="M60" s="1755"/>
      <c r="N60" s="1755"/>
      <c r="O60" s="1755"/>
      <c r="P60" s="1755"/>
      <c r="Q60" s="1755"/>
      <c r="R60" s="1755"/>
      <c r="S60" s="1755"/>
      <c r="T60" s="1755"/>
      <c r="U60" s="1755"/>
      <c r="V60" s="1755"/>
      <c r="W60" s="1755"/>
      <c r="X60" s="1755"/>
      <c r="Y60" s="1755"/>
      <c r="Z60" s="1755"/>
      <c r="AA60" s="1755"/>
      <c r="AB60" s="1755"/>
      <c r="AC60" s="1755"/>
      <c r="AD60" s="1755"/>
      <c r="AE60" s="1112"/>
      <c r="AF60" s="1112"/>
      <c r="AG60" s="1112"/>
      <c r="AH60" s="1112"/>
      <c r="AI60" s="1112"/>
      <c r="AJ60" s="1003"/>
    </row>
    <row r="61" spans="1:36" s="1113" customFormat="1" ht="18.75" customHeight="1">
      <c r="A61" s="1759" t="s">
        <v>1242</v>
      </c>
      <c r="B61" s="1760"/>
      <c r="C61" s="1760"/>
      <c r="D61" s="1760"/>
      <c r="E61" s="1760"/>
      <c r="F61" s="1760"/>
      <c r="G61" s="1760"/>
      <c r="H61" s="1760"/>
      <c r="I61" s="1760"/>
      <c r="J61" s="1760"/>
      <c r="K61" s="1760"/>
      <c r="L61" s="1760"/>
      <c r="M61" s="1760"/>
      <c r="N61" s="1760"/>
      <c r="O61" s="1760"/>
      <c r="P61" s="1760"/>
      <c r="Q61" s="1760"/>
      <c r="R61" s="1760"/>
      <c r="S61" s="1760"/>
      <c r="T61" s="1760"/>
      <c r="U61" s="1760"/>
      <c r="V61" s="1760"/>
      <c r="W61" s="1760"/>
      <c r="X61" s="1760"/>
      <c r="Y61" s="1760"/>
      <c r="Z61" s="1760"/>
      <c r="AA61" s="1760"/>
      <c r="AB61" s="1760"/>
      <c r="AC61" s="1760"/>
      <c r="AD61" s="1112"/>
      <c r="AE61" s="1112"/>
      <c r="AF61" s="1112"/>
      <c r="AG61" s="1112"/>
      <c r="AH61" s="1112"/>
      <c r="AI61" s="1112"/>
    </row>
    <row r="62" spans="1:36" s="1113" customFormat="1" ht="14.25" customHeight="1">
      <c r="A62" s="1759" t="s">
        <v>1243</v>
      </c>
      <c r="B62" s="1760"/>
      <c r="C62" s="1760">
        <v>9411710.3957220428</v>
      </c>
      <c r="D62" s="1760">
        <v>9113595.6448757052</v>
      </c>
      <c r="E62" s="1760"/>
      <c r="F62" s="1760"/>
      <c r="G62" s="1760"/>
      <c r="H62" s="1760"/>
      <c r="I62" s="1760"/>
      <c r="J62" s="1760"/>
      <c r="K62" s="1760"/>
      <c r="L62" s="1760"/>
      <c r="M62" s="1760"/>
      <c r="N62" s="1760"/>
      <c r="O62" s="1760"/>
      <c r="P62" s="1760"/>
      <c r="Q62" s="1760"/>
      <c r="R62" s="1760"/>
      <c r="S62" s="1760"/>
      <c r="T62" s="1760"/>
      <c r="U62" s="1760"/>
      <c r="V62" s="1760"/>
      <c r="W62" s="1760"/>
      <c r="X62" s="1760"/>
      <c r="Y62" s="1760"/>
      <c r="Z62" s="1760"/>
      <c r="AA62" s="1760"/>
      <c r="AB62" s="1760"/>
      <c r="AC62" s="1760"/>
      <c r="AD62" s="1112"/>
      <c r="AE62" s="1112"/>
      <c r="AF62" s="1112"/>
      <c r="AG62" s="1112"/>
      <c r="AH62" s="1112"/>
      <c r="AI62" s="1112"/>
    </row>
    <row r="63" spans="1:36" s="1114" customFormat="1" ht="28.5" customHeight="1">
      <c r="A63" s="1755" t="s">
        <v>1244</v>
      </c>
      <c r="B63" s="1755"/>
      <c r="C63" s="1755"/>
      <c r="D63" s="1755"/>
      <c r="E63" s="1755"/>
      <c r="F63" s="1755"/>
      <c r="G63" s="1755"/>
      <c r="H63" s="1755"/>
      <c r="I63" s="1755"/>
      <c r="J63" s="1755"/>
      <c r="K63" s="1755"/>
      <c r="L63" s="1755"/>
      <c r="M63" s="1755"/>
      <c r="N63" s="1755"/>
      <c r="O63" s="1755"/>
      <c r="P63" s="1755"/>
      <c r="Q63" s="1755"/>
      <c r="R63" s="1755"/>
      <c r="S63" s="1755"/>
      <c r="T63" s="1755"/>
      <c r="U63" s="1755"/>
      <c r="V63" s="1755"/>
      <c r="W63" s="1755"/>
      <c r="X63" s="1755"/>
      <c r="Y63" s="1755"/>
      <c r="Z63" s="1755"/>
      <c r="AA63" s="1755"/>
      <c r="AB63" s="1755"/>
      <c r="AC63" s="1755"/>
      <c r="AD63" s="1111"/>
      <c r="AE63" s="1111"/>
      <c r="AF63" s="1111"/>
      <c r="AG63" s="1111"/>
      <c r="AH63" s="1111"/>
      <c r="AI63" s="1111"/>
    </row>
    <row r="64" spans="1:36" s="1117" customFormat="1">
      <c r="A64" s="1115"/>
      <c r="B64" s="1116"/>
      <c r="C64" s="1116">
        <v>26326558.993348755</v>
      </c>
      <c r="D64" s="1116" t="s">
        <v>729</v>
      </c>
      <c r="E64" s="4"/>
      <c r="F64" s="1116"/>
      <c r="G64" s="1116"/>
      <c r="H64" s="1116"/>
      <c r="I64" s="1116"/>
      <c r="J64" s="1116"/>
      <c r="K64" s="1116"/>
      <c r="AJ64" s="1116"/>
    </row>
  </sheetData>
  <mergeCells count="12">
    <mergeCell ref="I3:AI3"/>
    <mergeCell ref="A36:B36"/>
    <mergeCell ref="A15:B15"/>
    <mergeCell ref="A53:B53"/>
    <mergeCell ref="A54:B54"/>
    <mergeCell ref="A52:B52"/>
    <mergeCell ref="A37:AE37"/>
    <mergeCell ref="A60:AD60"/>
    <mergeCell ref="A59:AD59"/>
    <mergeCell ref="A63:AC63"/>
    <mergeCell ref="A62:AC62"/>
    <mergeCell ref="A61:AC61"/>
  </mergeCells>
  <phoneticPr fontId="7" type="noConversion"/>
  <printOptions horizontalCentered="1"/>
  <pageMargins left="0" right="0" top="0.39370078740157483" bottom="0" header="0" footer="0"/>
  <pageSetup paperSize="9" scale="40"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ayfa11">
    <tabColor indexed="44"/>
  </sheetPr>
  <dimension ref="A1:AM49"/>
  <sheetViews>
    <sheetView showGridLines="0" view="pageBreakPreview" topLeftCell="U31" zoomScaleNormal="100" zoomScaleSheetLayoutView="100" workbookViewId="0">
      <selection activeCell="AN36" sqref="AN36"/>
    </sheetView>
  </sheetViews>
  <sheetFormatPr defaultRowHeight="15"/>
  <cols>
    <col min="1" max="1" width="5" style="195" customWidth="1"/>
    <col min="2" max="2" width="28.28515625" style="195" customWidth="1"/>
    <col min="3" max="7" width="15.7109375" style="195" hidden="1" customWidth="1"/>
    <col min="8" max="8" width="0.140625" style="195" hidden="1" customWidth="1"/>
    <col min="9" max="9" width="8.7109375" style="195" hidden="1" customWidth="1"/>
    <col min="10" max="10" width="15.42578125" style="195" customWidth="1"/>
    <col min="11" max="11" width="10.7109375" style="195" customWidth="1"/>
    <col min="12" max="12" width="15.140625" style="195" customWidth="1"/>
    <col min="13" max="13" width="11.140625" style="195" customWidth="1"/>
    <col min="14" max="14" width="15.28515625" style="195" customWidth="1"/>
    <col min="15" max="15" width="9" style="195" customWidth="1"/>
    <col min="16" max="16" width="15.5703125" style="195" customWidth="1"/>
    <col min="17" max="17" width="10.28515625" style="195" customWidth="1"/>
    <col min="18" max="18" width="15.5703125" style="195" customWidth="1"/>
    <col min="19" max="19" width="10.5703125" style="195" customWidth="1"/>
    <col min="20" max="20" width="15.140625" style="195" customWidth="1"/>
    <col min="21" max="21" width="9.85546875" style="195" customWidth="1"/>
    <col min="22" max="22" width="15.42578125" style="195" customWidth="1"/>
    <col min="23" max="23" width="10" style="195" customWidth="1"/>
    <col min="24" max="24" width="15" style="195" customWidth="1"/>
    <col min="25" max="25" width="10.28515625" style="195" customWidth="1"/>
    <col min="26" max="26" width="14" style="195" customWidth="1"/>
    <col min="27" max="27" width="10.7109375" style="195" customWidth="1"/>
    <col min="28" max="28" width="15.5703125" style="195" customWidth="1"/>
    <col min="29" max="29" width="10" style="195" customWidth="1"/>
    <col min="30" max="30" width="15.42578125" style="195" customWidth="1"/>
    <col min="31" max="31" width="9.7109375" style="195" customWidth="1"/>
    <col min="32" max="32" width="15.42578125" style="195" customWidth="1"/>
    <col min="33" max="33" width="10.140625" style="195" customWidth="1"/>
    <col min="34" max="34" width="15.7109375" style="195" customWidth="1"/>
    <col min="35" max="35" width="9.85546875" style="195" customWidth="1"/>
    <col min="36" max="36" width="15.7109375" style="195" customWidth="1"/>
    <col min="37" max="37" width="26.7109375" style="195" customWidth="1"/>
    <col min="38" max="38" width="9.140625" style="195"/>
    <col min="39" max="39" width="10.140625" style="195" bestFit="1" customWidth="1"/>
    <col min="40" max="16384" width="9.140625" style="195"/>
  </cols>
  <sheetData>
    <row r="1" spans="1:38" ht="15.75">
      <c r="A1" s="1776" t="s">
        <v>946</v>
      </c>
      <c r="B1" s="1776"/>
      <c r="C1" s="1776"/>
      <c r="D1" s="1776"/>
      <c r="E1" s="1776"/>
      <c r="F1" s="1776"/>
      <c r="G1" s="1776"/>
      <c r="H1" s="1776"/>
      <c r="I1" s="1776"/>
      <c r="J1" s="1776"/>
      <c r="K1" s="1776"/>
      <c r="L1" s="1776"/>
      <c r="M1" s="1776"/>
      <c r="N1" s="1776"/>
      <c r="O1" s="1776"/>
      <c r="P1" s="1776"/>
      <c r="Q1" s="1776"/>
      <c r="R1" s="1776"/>
      <c r="S1" s="1776"/>
      <c r="T1" s="1776"/>
      <c r="U1" s="1776"/>
      <c r="V1" s="1776"/>
      <c r="W1" s="1776"/>
      <c r="X1" s="215"/>
      <c r="Y1" s="215"/>
      <c r="Z1" s="215"/>
      <c r="AA1" s="215"/>
      <c r="AB1" s="215"/>
      <c r="AC1" s="215"/>
      <c r="AD1" s="215"/>
      <c r="AE1" s="215"/>
      <c r="AF1" s="215"/>
      <c r="AG1" s="215"/>
      <c r="AH1" s="215"/>
      <c r="AI1" s="215"/>
      <c r="AJ1" s="215"/>
      <c r="AK1" s="216"/>
    </row>
    <row r="2" spans="1:38" s="204" customFormat="1">
      <c r="A2" s="1777" t="s">
        <v>286</v>
      </c>
      <c r="B2" s="1777"/>
      <c r="C2" s="1777"/>
      <c r="D2" s="1777"/>
      <c r="E2" s="1777"/>
      <c r="F2" s="1777"/>
      <c r="G2" s="1777"/>
      <c r="H2" s="1777"/>
      <c r="I2" s="1777"/>
      <c r="J2" s="1777"/>
      <c r="K2" s="1777"/>
      <c r="L2" s="1777"/>
      <c r="M2" s="1777"/>
      <c r="N2" s="217"/>
      <c r="O2" s="218"/>
      <c r="P2" s="218"/>
      <c r="Q2" s="218"/>
      <c r="R2" s="218"/>
      <c r="S2" s="218"/>
      <c r="T2" s="218"/>
      <c r="U2" s="218"/>
      <c r="V2" s="219" t="s">
        <v>729</v>
      </c>
      <c r="W2" s="218"/>
      <c r="X2" s="218"/>
      <c r="Y2" s="218"/>
      <c r="Z2" s="218"/>
      <c r="AA2" s="218"/>
      <c r="AB2" s="218"/>
      <c r="AC2" s="218"/>
      <c r="AD2" s="219" t="s">
        <v>729</v>
      </c>
      <c r="AE2" s="218"/>
      <c r="AF2" s="219" t="s">
        <v>729</v>
      </c>
      <c r="AG2" s="218"/>
      <c r="AH2" s="219" t="s">
        <v>729</v>
      </c>
      <c r="AI2" s="218"/>
      <c r="AJ2" s="219" t="s">
        <v>729</v>
      </c>
      <c r="AK2" s="220"/>
    </row>
    <row r="3" spans="1:38" ht="16.5" thickBot="1">
      <c r="A3" s="204"/>
      <c r="B3" s="1119"/>
      <c r="C3" s="1120" t="s">
        <v>729</v>
      </c>
      <c r="D3" s="1120" t="s">
        <v>729</v>
      </c>
      <c r="E3" s="1120"/>
      <c r="F3" s="1120"/>
      <c r="G3" s="1120"/>
      <c r="H3" s="1120"/>
      <c r="I3" s="1120"/>
      <c r="J3" s="1120"/>
      <c r="K3" s="1120"/>
      <c r="L3" s="1120"/>
      <c r="M3" s="1120"/>
      <c r="N3" s="1119"/>
      <c r="O3" s="1119"/>
      <c r="P3" s="1121" t="s">
        <v>729</v>
      </c>
      <c r="Q3" s="1122"/>
      <c r="R3" s="1122"/>
      <c r="S3" s="1122"/>
      <c r="T3" s="1121" t="s">
        <v>729</v>
      </c>
      <c r="U3" s="1122"/>
      <c r="V3" s="1123" t="s">
        <v>729</v>
      </c>
      <c r="W3" s="1122"/>
      <c r="X3" s="1122"/>
      <c r="Y3" s="1122"/>
      <c r="Z3" s="1122"/>
      <c r="AA3" s="1122"/>
      <c r="AB3" s="1122"/>
      <c r="AC3" s="1122"/>
      <c r="AD3" s="1123" t="s">
        <v>729</v>
      </c>
      <c r="AE3" s="1122"/>
      <c r="AF3" s="1123" t="s">
        <v>729</v>
      </c>
      <c r="AG3" s="1122"/>
      <c r="AH3" s="1123" t="s">
        <v>729</v>
      </c>
      <c r="AI3" s="1122"/>
      <c r="AJ3" s="1123" t="s">
        <v>729</v>
      </c>
    </row>
    <row r="4" spans="1:38" ht="29.25" customHeight="1" thickBot="1">
      <c r="A4" s="1778" t="s">
        <v>1182</v>
      </c>
      <c r="B4" s="1779"/>
      <c r="C4" s="1779"/>
      <c r="D4" s="1779"/>
      <c r="E4" s="1779"/>
      <c r="F4" s="1779"/>
      <c r="G4" s="1779"/>
      <c r="H4" s="1779"/>
      <c r="I4" s="1779"/>
      <c r="J4" s="1779"/>
      <c r="K4" s="1779"/>
      <c r="L4" s="1779"/>
      <c r="M4" s="1779"/>
      <c r="N4" s="1779"/>
      <c r="O4" s="1779"/>
      <c r="P4" s="1779"/>
      <c r="Q4" s="1779"/>
      <c r="R4" s="1779"/>
      <c r="S4" s="1779"/>
      <c r="T4" s="1779"/>
      <c r="U4" s="1779"/>
      <c r="V4" s="1779"/>
      <c r="W4" s="1779"/>
      <c r="X4" s="1779"/>
      <c r="Y4" s="1779"/>
      <c r="Z4" s="1779"/>
      <c r="AA4" s="1779"/>
      <c r="AB4" s="1779"/>
      <c r="AC4" s="1779"/>
      <c r="AD4" s="1779"/>
      <c r="AE4" s="1779"/>
      <c r="AF4" s="1779"/>
      <c r="AG4" s="1779"/>
      <c r="AH4" s="1779"/>
      <c r="AI4" s="1779"/>
      <c r="AJ4" s="1780"/>
      <c r="AK4" s="1124"/>
    </row>
    <row r="5" spans="1:38" ht="12.75" customHeight="1">
      <c r="A5" s="1125"/>
      <c r="B5" s="1126"/>
      <c r="C5" s="1127"/>
      <c r="D5" s="1127"/>
      <c r="E5" s="1127"/>
      <c r="F5" s="1127"/>
      <c r="G5" s="1127"/>
      <c r="H5" s="1127"/>
      <c r="I5" s="1127"/>
      <c r="J5" s="1127"/>
      <c r="K5" s="1127"/>
      <c r="L5" s="1127"/>
      <c r="M5" s="1127"/>
      <c r="N5" s="1127"/>
      <c r="O5" s="1127"/>
      <c r="P5" s="1127"/>
      <c r="Q5" s="1127"/>
      <c r="R5" s="1127"/>
      <c r="S5" s="1127"/>
      <c r="T5" s="1127"/>
      <c r="U5" s="1126"/>
      <c r="V5" s="1128"/>
      <c r="W5" s="1126"/>
      <c r="X5" s="1126"/>
      <c r="Y5" s="1126"/>
      <c r="Z5" s="1126"/>
      <c r="AA5" s="1126"/>
      <c r="AB5" s="1126"/>
      <c r="AC5" s="1126"/>
      <c r="AD5" s="1126"/>
      <c r="AE5" s="1126"/>
      <c r="AF5" s="1128"/>
      <c r="AG5" s="1126"/>
      <c r="AH5" s="1128"/>
      <c r="AI5" s="1126"/>
      <c r="AJ5" s="1129"/>
      <c r="AK5" s="1130" t="s">
        <v>729</v>
      </c>
    </row>
    <row r="6" spans="1:38" ht="66.75" customHeight="1" thickBot="1">
      <c r="A6" s="1774" t="s">
        <v>1183</v>
      </c>
      <c r="B6" s="1775"/>
      <c r="C6" s="1131">
        <v>2000</v>
      </c>
      <c r="D6" s="1131">
        <v>2001</v>
      </c>
      <c r="E6" s="1132" t="s">
        <v>56</v>
      </c>
      <c r="F6" s="1131">
        <v>2002</v>
      </c>
      <c r="G6" s="1132" t="s">
        <v>56</v>
      </c>
      <c r="H6" s="1131">
        <v>2003</v>
      </c>
      <c r="I6" s="1132" t="s">
        <v>56</v>
      </c>
      <c r="J6" s="208">
        <v>2004</v>
      </c>
      <c r="K6" s="209" t="s">
        <v>56</v>
      </c>
      <c r="L6" s="208">
        <v>2005</v>
      </c>
      <c r="M6" s="209" t="s">
        <v>56</v>
      </c>
      <c r="N6" s="208">
        <v>2006</v>
      </c>
      <c r="O6" s="209" t="s">
        <v>56</v>
      </c>
      <c r="P6" s="208">
        <v>2007</v>
      </c>
      <c r="Q6" s="209" t="s">
        <v>56</v>
      </c>
      <c r="R6" s="208">
        <v>2008</v>
      </c>
      <c r="S6" s="209" t="s">
        <v>56</v>
      </c>
      <c r="T6" s="209">
        <v>2009</v>
      </c>
      <c r="U6" s="209" t="s">
        <v>56</v>
      </c>
      <c r="V6" s="209">
        <v>2010</v>
      </c>
      <c r="W6" s="209" t="s">
        <v>56</v>
      </c>
      <c r="X6" s="209">
        <v>2011</v>
      </c>
      <c r="Y6" s="209" t="s">
        <v>321</v>
      </c>
      <c r="Z6" s="209">
        <v>2012</v>
      </c>
      <c r="AA6" s="209" t="s">
        <v>321</v>
      </c>
      <c r="AB6" s="209">
        <v>2013</v>
      </c>
      <c r="AC6" s="209" t="s">
        <v>321</v>
      </c>
      <c r="AD6" s="209">
        <v>2014</v>
      </c>
      <c r="AE6" s="209" t="s">
        <v>321</v>
      </c>
      <c r="AF6" s="209">
        <v>2015</v>
      </c>
      <c r="AG6" s="209" t="s">
        <v>321</v>
      </c>
      <c r="AH6" s="209" t="s">
        <v>1151</v>
      </c>
      <c r="AI6" s="1009" t="s">
        <v>321</v>
      </c>
      <c r="AJ6" s="1705" t="s">
        <v>1169</v>
      </c>
      <c r="AK6" s="1133" t="s">
        <v>729</v>
      </c>
    </row>
    <row r="7" spans="1:38" ht="24.95" customHeight="1">
      <c r="A7" s="1134"/>
      <c r="B7" s="1135"/>
      <c r="C7" s="1135"/>
      <c r="D7" s="1135"/>
      <c r="E7" s="1135"/>
      <c r="F7" s="1135"/>
      <c r="G7" s="1135"/>
      <c r="H7" s="1135"/>
      <c r="I7" s="1135"/>
      <c r="J7" s="1135"/>
      <c r="K7" s="1135"/>
      <c r="L7" s="1135"/>
      <c r="M7" s="1135"/>
      <c r="N7" s="1136"/>
      <c r="O7" s="1136"/>
      <c r="P7" s="1135"/>
      <c r="Q7" s="1135"/>
      <c r="R7" s="1135"/>
      <c r="S7" s="1135"/>
      <c r="T7" s="1135"/>
      <c r="U7" s="1135"/>
      <c r="V7" s="1135"/>
      <c r="W7" s="1135"/>
      <c r="X7" s="1135"/>
      <c r="Y7" s="1135"/>
      <c r="Z7" s="1135"/>
      <c r="AA7" s="1135"/>
      <c r="AB7" s="1135"/>
      <c r="AC7" s="1135"/>
      <c r="AD7" s="1135"/>
      <c r="AE7" s="1135"/>
      <c r="AF7" s="1135"/>
      <c r="AG7" s="1135"/>
      <c r="AH7" s="1135"/>
      <c r="AI7" s="1135"/>
      <c r="AJ7" s="1137"/>
      <c r="AK7" s="1130" t="s">
        <v>729</v>
      </c>
    </row>
    <row r="8" spans="1:38" ht="24.95" customHeight="1">
      <c r="A8" s="1138" t="s">
        <v>165</v>
      </c>
      <c r="B8" s="1139"/>
      <c r="C8" s="1140">
        <f>SUM(C9:C13)</f>
        <v>6565167</v>
      </c>
      <c r="D8" s="1140">
        <f t="shared" ref="D8:L8" si="0">SUM(D9:D13)</f>
        <v>6136107</v>
      </c>
      <c r="E8" s="1141">
        <f t="shared" ref="E8:E13" si="1">(D8-C8)/C8*100</f>
        <v>-6.5354011558274152</v>
      </c>
      <c r="F8" s="1140">
        <f t="shared" si="0"/>
        <v>6563187</v>
      </c>
      <c r="G8" s="1141">
        <f t="shared" ref="G8:G13" si="2">(F8-D8)/D8*100</f>
        <v>6.9601133096277499</v>
      </c>
      <c r="H8" s="1140">
        <f t="shared" si="0"/>
        <v>6750460</v>
      </c>
      <c r="I8" s="1141">
        <f>(H8-F8)/F8*100</f>
        <v>2.8533851008663929</v>
      </c>
      <c r="J8" s="1140">
        <f t="shared" si="0"/>
        <v>6952848</v>
      </c>
      <c r="K8" s="1141">
        <f>(J8-H8)/H8*100</f>
        <v>2.9981364232955978</v>
      </c>
      <c r="L8" s="1140">
        <f t="shared" si="0"/>
        <v>7651705</v>
      </c>
      <c r="M8" s="1141">
        <f>(L8-J8)/J8*100</f>
        <v>10.051377507461691</v>
      </c>
      <c r="N8" s="1142">
        <f>SUM(N9:N13)</f>
        <v>8582395</v>
      </c>
      <c r="O8" s="1143">
        <f>(N8-L8)/L8*100</f>
        <v>12.163171476161196</v>
      </c>
      <c r="P8" s="1142">
        <f>SUM(P9:P13)</f>
        <v>9198577</v>
      </c>
      <c r="Q8" s="1143">
        <f>(P8-N8)/N8*100</f>
        <v>7.1796042946054097</v>
      </c>
      <c r="R8" s="1142">
        <f>SUM(R9:R13)</f>
        <v>9574873</v>
      </c>
      <c r="S8" s="1143">
        <f>(R8-P8)/P8*100</f>
        <v>4.0908066541161752</v>
      </c>
      <c r="T8" s="1142">
        <f>SUM(T9:T13)</f>
        <v>9618438</v>
      </c>
      <c r="U8" s="1143">
        <f>(T8-R8)/R8*100</f>
        <v>0.4549929800635476</v>
      </c>
      <c r="V8" s="1142">
        <v>10575935</v>
      </c>
      <c r="W8" s="1143">
        <f t="shared" ref="W8:AI14" si="3">(V8-T8)/T8*100</f>
        <v>9.9548076309271849</v>
      </c>
      <c r="X8" s="1142">
        <v>11547134</v>
      </c>
      <c r="Y8" s="1143">
        <f t="shared" si="3"/>
        <v>9.1831029596910341</v>
      </c>
      <c r="Z8" s="1142">
        <v>12527337</v>
      </c>
      <c r="AA8" s="1143">
        <f t="shared" si="3"/>
        <v>8.488712437216023</v>
      </c>
      <c r="AB8" s="1142">
        <v>13136339</v>
      </c>
      <c r="AC8" s="1143">
        <f t="shared" si="3"/>
        <v>4.8613843468887277</v>
      </c>
      <c r="AD8" s="1142">
        <f>SUM(AD9:AD14)</f>
        <v>13967837</v>
      </c>
      <c r="AE8" s="1143">
        <f t="shared" si="3"/>
        <v>6.3297544315809748</v>
      </c>
      <c r="AF8" s="1142">
        <f>SUM(AF9:AF14)</f>
        <v>14802222</v>
      </c>
      <c r="AG8" s="1143">
        <f t="shared" si="3"/>
        <v>5.9736163874191828</v>
      </c>
      <c r="AH8" s="1142">
        <v>15355158</v>
      </c>
      <c r="AI8" s="1143">
        <f t="shared" si="3"/>
        <v>3.7354932252738808</v>
      </c>
      <c r="AJ8" s="1144">
        <f>+AJ9+AJ10+AJ11+AJ12+AJ13+AJ14</f>
        <v>15883107</v>
      </c>
      <c r="AK8" s="1145" t="s">
        <v>693</v>
      </c>
      <c r="AL8" s="195" t="s">
        <v>729</v>
      </c>
    </row>
    <row r="9" spans="1:38" ht="37.5" customHeight="1">
      <c r="A9" s="1146"/>
      <c r="B9" s="1147" t="s">
        <v>166</v>
      </c>
      <c r="C9" s="1148">
        <f>5254125</f>
        <v>5254125</v>
      </c>
      <c r="D9" s="1148">
        <v>4886881</v>
      </c>
      <c r="E9" s="1141">
        <f t="shared" si="1"/>
        <v>-6.9896319558442181</v>
      </c>
      <c r="F9" s="1148">
        <v>5223283</v>
      </c>
      <c r="G9" s="1149">
        <f t="shared" si="2"/>
        <v>6.8837771985853555</v>
      </c>
      <c r="H9" s="1148">
        <v>5615238</v>
      </c>
      <c r="I9" s="1149">
        <f t="shared" ref="I9:I27" si="4">(H9-F9)/F9*100</f>
        <v>7.503997007246209</v>
      </c>
      <c r="J9" s="1148">
        <v>6181251</v>
      </c>
      <c r="K9" s="1149">
        <f t="shared" ref="K9:K27" si="5">(J9-H9)/H9*100</f>
        <v>10.079946744910902</v>
      </c>
      <c r="L9" s="1148">
        <v>6918605</v>
      </c>
      <c r="M9" s="1149">
        <f t="shared" ref="M9:M27" si="6">(L9-J9)/J9*100</f>
        <v>11.928879768836438</v>
      </c>
      <c r="N9" s="1150">
        <v>7818642</v>
      </c>
      <c r="O9" s="1151">
        <f t="shared" ref="O9:O27" si="7">(N9-L9)/L9*100</f>
        <v>13.00893749534769</v>
      </c>
      <c r="P9" s="1150">
        <v>8505390</v>
      </c>
      <c r="Q9" s="1151">
        <f t="shared" ref="Q9:Q25" si="8">(P9-N9)/N9*100</f>
        <v>8.7834690474381603</v>
      </c>
      <c r="R9" s="1150">
        <v>8802989</v>
      </c>
      <c r="S9" s="1143">
        <f t="shared" ref="S9:S27" si="9">(R9-P9)/P9*100</f>
        <v>3.4989459625014256</v>
      </c>
      <c r="T9" s="1150">
        <v>9030202</v>
      </c>
      <c r="U9" s="1143">
        <f t="shared" ref="U9:U25" si="10">(T9-R9)/R9*100</f>
        <v>2.581089218673339</v>
      </c>
      <c r="V9" s="1150">
        <v>10030810</v>
      </c>
      <c r="W9" s="1143">
        <f t="shared" si="3"/>
        <v>11.080682359043575</v>
      </c>
      <c r="X9" s="1150">
        <v>11030939</v>
      </c>
      <c r="Y9" s="1143">
        <f t="shared" si="3"/>
        <v>9.9705706717603064</v>
      </c>
      <c r="Z9" s="1152">
        <v>11821337</v>
      </c>
      <c r="AA9" s="1143">
        <f t="shared" si="3"/>
        <v>7.1652830280359643</v>
      </c>
      <c r="AB9" s="1150">
        <v>12363785</v>
      </c>
      <c r="AC9" s="1143">
        <f t="shared" si="3"/>
        <v>4.5887195331627879</v>
      </c>
      <c r="AD9" s="1150">
        <v>13093230</v>
      </c>
      <c r="AE9" s="1143">
        <f t="shared" si="3"/>
        <v>5.8998518657514669</v>
      </c>
      <c r="AF9" s="1150">
        <v>13713717</v>
      </c>
      <c r="AG9" s="1143">
        <f t="shared" si="3"/>
        <v>4.7389910663755241</v>
      </c>
      <c r="AH9" s="1150">
        <v>13415843</v>
      </c>
      <c r="AI9" s="1143">
        <f t="shared" si="3"/>
        <v>-2.1720879904405201</v>
      </c>
      <c r="AJ9" s="1153">
        <f>+'10.4-a İL DAĞILIM'!D97</f>
        <v>13849359</v>
      </c>
      <c r="AK9" s="1154" t="s">
        <v>522</v>
      </c>
    </row>
    <row r="10" spans="1:38" ht="37.5" customHeight="1">
      <c r="A10" s="1146"/>
      <c r="B10" s="1147" t="s">
        <v>167</v>
      </c>
      <c r="C10" s="1148">
        <v>253301</v>
      </c>
      <c r="D10" s="1148">
        <v>191187</v>
      </c>
      <c r="E10" s="1141">
        <f t="shared" si="1"/>
        <v>-24.521813968361752</v>
      </c>
      <c r="F10" s="1148">
        <v>215259</v>
      </c>
      <c r="G10" s="1149">
        <f t="shared" si="2"/>
        <v>12.590814229000927</v>
      </c>
      <c r="H10" s="1148">
        <v>231915</v>
      </c>
      <c r="I10" s="1149">
        <f t="shared" si="4"/>
        <v>7.7376555684082904</v>
      </c>
      <c r="J10" s="1148">
        <v>219000</v>
      </c>
      <c r="K10" s="1149">
        <f t="shared" si="5"/>
        <v>-5.5688506564905245</v>
      </c>
      <c r="L10" s="1148">
        <v>241032</v>
      </c>
      <c r="M10" s="1149">
        <f t="shared" si="6"/>
        <v>10.06027397260274</v>
      </c>
      <c r="N10" s="1150">
        <v>248340</v>
      </c>
      <c r="O10" s="1151">
        <f t="shared" si="7"/>
        <v>3.0319625609877527</v>
      </c>
      <c r="P10" s="1150">
        <v>158052</v>
      </c>
      <c r="Q10" s="1151">
        <f t="shared" si="8"/>
        <v>-36.356607876298625</v>
      </c>
      <c r="R10" s="1150">
        <v>249292</v>
      </c>
      <c r="S10" s="1143">
        <f t="shared" si="9"/>
        <v>57.727836408270697</v>
      </c>
      <c r="T10" s="1150">
        <v>321649</v>
      </c>
      <c r="U10" s="1143">
        <f t="shared" si="10"/>
        <v>29.024998796591952</v>
      </c>
      <c r="V10" s="1150">
        <v>349581</v>
      </c>
      <c r="W10" s="1143">
        <f t="shared" si="3"/>
        <v>8.6840002611542406</v>
      </c>
      <c r="X10" s="1150">
        <v>298180</v>
      </c>
      <c r="Y10" s="1143">
        <f t="shared" si="3"/>
        <v>-14.703602312482658</v>
      </c>
      <c r="Z10" s="1152">
        <v>306617</v>
      </c>
      <c r="AA10" s="1143">
        <f t="shared" si="3"/>
        <v>2.8294989603595142</v>
      </c>
      <c r="AB10" s="1150">
        <v>320730</v>
      </c>
      <c r="AC10" s="1143">
        <f t="shared" si="3"/>
        <v>4.6028106725980624</v>
      </c>
      <c r="AD10" s="1150">
        <v>359948</v>
      </c>
      <c r="AE10" s="1143">
        <f t="shared" si="3"/>
        <v>12.227730489820097</v>
      </c>
      <c r="AF10" s="1150">
        <v>392908</v>
      </c>
      <c r="AG10" s="1143">
        <f t="shared" si="3"/>
        <v>9.1568782157422746</v>
      </c>
      <c r="AH10" s="1150">
        <v>1170080</v>
      </c>
      <c r="AI10" s="1143">
        <f t="shared" si="3"/>
        <v>197.79999389169984</v>
      </c>
      <c r="AJ10" s="1153">
        <f>+'10.4-a İL DAĞILIM'!G97</f>
        <v>457249</v>
      </c>
      <c r="AK10" s="1154" t="s">
        <v>536</v>
      </c>
    </row>
    <row r="11" spans="1:38" ht="37.5" customHeight="1">
      <c r="A11" s="1146"/>
      <c r="B11" s="1147" t="s">
        <v>103</v>
      </c>
      <c r="C11" s="1148">
        <v>29109</v>
      </c>
      <c r="D11" s="1148">
        <v>27058</v>
      </c>
      <c r="E11" s="1141">
        <f t="shared" si="1"/>
        <v>-7.0459308117764268</v>
      </c>
      <c r="F11" s="1148">
        <v>33458</v>
      </c>
      <c r="G11" s="1149">
        <f t="shared" si="2"/>
        <v>23.652893783723851</v>
      </c>
      <c r="H11" s="1148">
        <v>40409</v>
      </c>
      <c r="I11" s="1149">
        <f t="shared" si="4"/>
        <v>20.775300376591549</v>
      </c>
      <c r="J11" s="1148">
        <v>47918</v>
      </c>
      <c r="K11" s="1149">
        <f t="shared" si="5"/>
        <v>18.58249399886164</v>
      </c>
      <c r="L11" s="1148">
        <v>47332</v>
      </c>
      <c r="M11" s="1149">
        <f t="shared" si="6"/>
        <v>-1.2229224925915105</v>
      </c>
      <c r="N11" s="1150">
        <v>56093</v>
      </c>
      <c r="O11" s="1151">
        <f t="shared" si="7"/>
        <v>18.509676328910672</v>
      </c>
      <c r="P11" s="1150">
        <v>50720</v>
      </c>
      <c r="Q11" s="1151">
        <f t="shared" si="8"/>
        <v>-9.578735314566881</v>
      </c>
      <c r="R11" s="1150">
        <v>48401</v>
      </c>
      <c r="S11" s="1143">
        <f t="shared" si="9"/>
        <v>-4.5721608832807572</v>
      </c>
      <c r="T11" s="1150">
        <v>35930</v>
      </c>
      <c r="U11" s="1143">
        <f t="shared" si="10"/>
        <v>-25.765996570318794</v>
      </c>
      <c r="V11" s="1150">
        <v>25778</v>
      </c>
      <c r="W11" s="1143">
        <f t="shared" si="3"/>
        <v>-28.25494016142499</v>
      </c>
      <c r="X11" s="1150">
        <v>32867</v>
      </c>
      <c r="Y11" s="1143">
        <f t="shared" si="3"/>
        <v>27.500193963845138</v>
      </c>
      <c r="Z11" s="1152">
        <v>34600</v>
      </c>
      <c r="AA11" s="1143">
        <f t="shared" si="3"/>
        <v>5.2727659962880704</v>
      </c>
      <c r="AB11" s="1150">
        <v>34987</v>
      </c>
      <c r="AC11" s="1143">
        <f t="shared" si="3"/>
        <v>1.1184971098265895</v>
      </c>
      <c r="AD11" s="1150">
        <v>28297</v>
      </c>
      <c r="AE11" s="1143">
        <f t="shared" si="3"/>
        <v>-19.12138794409352</v>
      </c>
      <c r="AF11" s="1150">
        <v>29926</v>
      </c>
      <c r="AG11" s="1143">
        <f t="shared" si="3"/>
        <v>5.7567940064317771</v>
      </c>
      <c r="AH11" s="1150">
        <v>24710</v>
      </c>
      <c r="AI11" s="1143">
        <f t="shared" si="3"/>
        <v>-17.429659827574685</v>
      </c>
      <c r="AJ11" s="1153">
        <f>+'10.4-a İL DAĞILIM'!Q97</f>
        <v>23397</v>
      </c>
      <c r="AK11" s="1154" t="s">
        <v>84</v>
      </c>
    </row>
    <row r="12" spans="1:38" ht="37.5" customHeight="1">
      <c r="A12" s="1146"/>
      <c r="B12" s="1147" t="s">
        <v>555</v>
      </c>
      <c r="C12" s="1148">
        <v>184675</v>
      </c>
      <c r="D12" s="1148">
        <v>142306</v>
      </c>
      <c r="E12" s="1141">
        <f t="shared" si="1"/>
        <v>-22.94246649519426</v>
      </c>
      <c r="F12" s="1148">
        <v>149163</v>
      </c>
      <c r="G12" s="1149">
        <f t="shared" si="2"/>
        <v>4.8184897333914245</v>
      </c>
      <c r="H12" s="1148">
        <v>165268</v>
      </c>
      <c r="I12" s="1149">
        <f t="shared" si="4"/>
        <v>10.796913443682413</v>
      </c>
      <c r="J12" s="1148">
        <v>176717</v>
      </c>
      <c r="K12" s="1149">
        <f t="shared" si="5"/>
        <v>6.9275358811143111</v>
      </c>
      <c r="L12" s="1148">
        <v>178178</v>
      </c>
      <c r="M12" s="1149">
        <f t="shared" si="6"/>
        <v>0.82674558757787875</v>
      </c>
      <c r="N12" s="1150">
        <v>187951</v>
      </c>
      <c r="O12" s="1151">
        <f t="shared" si="7"/>
        <v>5.4849644737285184</v>
      </c>
      <c r="P12" s="1150">
        <v>215340</v>
      </c>
      <c r="Q12" s="1151">
        <f t="shared" si="8"/>
        <v>14.572415150757379</v>
      </c>
      <c r="R12" s="1150">
        <v>218094</v>
      </c>
      <c r="S12" s="1143">
        <f t="shared" si="9"/>
        <v>1.2789077737531347</v>
      </c>
      <c r="T12" s="1155">
        <v>178541</v>
      </c>
      <c r="U12" s="1143">
        <f t="shared" si="10"/>
        <v>-18.13575797591864</v>
      </c>
      <c r="V12" s="1155">
        <v>152802</v>
      </c>
      <c r="W12" s="1143">
        <f t="shared" si="3"/>
        <v>-14.416296536929893</v>
      </c>
      <c r="X12" s="1155">
        <v>124911</v>
      </c>
      <c r="Y12" s="1143">
        <f t="shared" si="3"/>
        <v>-18.253033337259982</v>
      </c>
      <c r="Z12" s="1152">
        <v>85717</v>
      </c>
      <c r="AA12" s="1143">
        <f t="shared" si="3"/>
        <v>-31.377540809056047</v>
      </c>
      <c r="AB12" s="1155">
        <v>62988</v>
      </c>
      <c r="AC12" s="1143">
        <f t="shared" si="3"/>
        <v>-26.516326982978871</v>
      </c>
      <c r="AD12" s="1155">
        <v>46996</v>
      </c>
      <c r="AE12" s="1143">
        <f t="shared" si="3"/>
        <v>-25.388962977074996</v>
      </c>
      <c r="AF12" s="1155">
        <v>40615</v>
      </c>
      <c r="AG12" s="1143">
        <f t="shared" si="3"/>
        <v>-13.577751297982807</v>
      </c>
      <c r="AH12" s="1155">
        <v>36125</v>
      </c>
      <c r="AI12" s="1143">
        <f t="shared" si="3"/>
        <v>-11.055028930198203</v>
      </c>
      <c r="AJ12" s="1156">
        <f>+'10.4-a İL DAĞILIM'!H97</f>
        <v>29699</v>
      </c>
      <c r="AK12" s="1154" t="s">
        <v>779</v>
      </c>
    </row>
    <row r="13" spans="1:38" ht="37.5" customHeight="1">
      <c r="A13" s="1157"/>
      <c r="B13" s="1158" t="s">
        <v>1268</v>
      </c>
      <c r="C13" s="1148">
        <v>843957</v>
      </c>
      <c r="D13" s="1148">
        <v>888675</v>
      </c>
      <c r="E13" s="1141">
        <f t="shared" si="1"/>
        <v>5.298611185167017</v>
      </c>
      <c r="F13" s="1148">
        <v>942024</v>
      </c>
      <c r="G13" s="1149">
        <f t="shared" si="2"/>
        <v>6.0032070216895939</v>
      </c>
      <c r="H13" s="1148">
        <v>697630</v>
      </c>
      <c r="I13" s="1149">
        <f t="shared" si="4"/>
        <v>-25.94350037790969</v>
      </c>
      <c r="J13" s="1148">
        <v>327962</v>
      </c>
      <c r="K13" s="1149">
        <f t="shared" si="5"/>
        <v>-52.989120307326232</v>
      </c>
      <c r="L13" s="1148">
        <v>266558</v>
      </c>
      <c r="M13" s="1149">
        <f t="shared" si="6"/>
        <v>-18.722900823875939</v>
      </c>
      <c r="N13" s="1150">
        <v>271369</v>
      </c>
      <c r="O13" s="1151">
        <f t="shared" si="7"/>
        <v>1.8048604806458632</v>
      </c>
      <c r="P13" s="1150">
        <v>269075</v>
      </c>
      <c r="Q13" s="1151">
        <f t="shared" si="8"/>
        <v>-0.84534342537283191</v>
      </c>
      <c r="R13" s="1150">
        <v>256097</v>
      </c>
      <c r="S13" s="1143">
        <f t="shared" si="9"/>
        <v>-4.8231905602527183</v>
      </c>
      <c r="T13" s="1155">
        <v>52116</v>
      </c>
      <c r="U13" s="1143">
        <f>(T13-R13)/R13*100</f>
        <v>-79.649898280729573</v>
      </c>
      <c r="V13" s="1155">
        <v>16964</v>
      </c>
      <c r="W13" s="1143">
        <f t="shared" si="3"/>
        <v>-67.449535651239543</v>
      </c>
      <c r="X13" s="1155">
        <v>60237</v>
      </c>
      <c r="Y13" s="1143">
        <f t="shared" si="3"/>
        <v>255.08724357462862</v>
      </c>
      <c r="Z13" s="1152">
        <v>160783</v>
      </c>
      <c r="AA13" s="1143">
        <f t="shared" si="3"/>
        <v>166.91734316118001</v>
      </c>
      <c r="AB13" s="1155">
        <v>233521</v>
      </c>
      <c r="AC13" s="1143">
        <f t="shared" si="3"/>
        <v>45.239857447615726</v>
      </c>
      <c r="AD13" s="1155">
        <v>292474</v>
      </c>
      <c r="AE13" s="1143">
        <f t="shared" si="3"/>
        <v>25.24526702095315</v>
      </c>
      <c r="AF13" s="1155">
        <v>339375</v>
      </c>
      <c r="AG13" s="1143">
        <f t="shared" si="3"/>
        <v>16.035955332781718</v>
      </c>
      <c r="AH13" s="1155">
        <v>349055</v>
      </c>
      <c r="AI13" s="1143">
        <f t="shared" si="3"/>
        <v>2.8523020257826888</v>
      </c>
      <c r="AJ13" s="1156">
        <f>+'10.4-a İL DAĞILIM'!I97</f>
        <v>341987</v>
      </c>
      <c r="AK13" s="1154" t="s">
        <v>72</v>
      </c>
    </row>
    <row r="14" spans="1:38" ht="37.5" customHeight="1">
      <c r="A14" s="1157"/>
      <c r="B14" s="1158" t="s">
        <v>1236</v>
      </c>
      <c r="C14" s="1148"/>
      <c r="D14" s="1148"/>
      <c r="E14" s="1141"/>
      <c r="F14" s="1148"/>
      <c r="G14" s="1149"/>
      <c r="H14" s="1148"/>
      <c r="I14" s="1149"/>
      <c r="J14" s="1148"/>
      <c r="K14" s="1149"/>
      <c r="L14" s="1148"/>
      <c r="M14" s="1149"/>
      <c r="N14" s="1150"/>
      <c r="O14" s="1151"/>
      <c r="P14" s="1150"/>
      <c r="Q14" s="1151"/>
      <c r="R14" s="1150"/>
      <c r="S14" s="1143"/>
      <c r="T14" s="1159"/>
      <c r="U14" s="1143"/>
      <c r="V14" s="1155"/>
      <c r="W14" s="1143"/>
      <c r="X14" s="1159"/>
      <c r="Y14" s="1143" t="s">
        <v>729</v>
      </c>
      <c r="Z14" s="1152">
        <v>118283</v>
      </c>
      <c r="AA14" s="1143">
        <v>0</v>
      </c>
      <c r="AB14" s="1155">
        <v>120328</v>
      </c>
      <c r="AC14" s="1143">
        <f t="shared" si="3"/>
        <v>1.7289044072267359</v>
      </c>
      <c r="AD14" s="1155">
        <v>146892</v>
      </c>
      <c r="AE14" s="1143">
        <f t="shared" si="3"/>
        <v>22.076324712452632</v>
      </c>
      <c r="AF14" s="1155">
        <v>285681</v>
      </c>
      <c r="AG14" s="1143">
        <f t="shared" si="3"/>
        <v>94.483702311902618</v>
      </c>
      <c r="AH14" s="1155">
        <v>359345</v>
      </c>
      <c r="AI14" s="1143">
        <f t="shared" si="3"/>
        <v>25.785403999565947</v>
      </c>
      <c r="AJ14" s="1156">
        <f>+'6.SOSYAL GÜVENLİK KAPSAMI'!AI14</f>
        <v>1181416</v>
      </c>
      <c r="AK14" s="1154"/>
    </row>
    <row r="15" spans="1:38" ht="24.95" customHeight="1">
      <c r="A15" s="1160" t="s">
        <v>840</v>
      </c>
      <c r="B15" s="1161"/>
      <c r="C15" s="1148"/>
      <c r="D15" s="1148"/>
      <c r="E15" s="1149"/>
      <c r="F15" s="1148"/>
      <c r="G15" s="1149"/>
      <c r="H15" s="1148"/>
      <c r="I15" s="1149"/>
      <c r="J15" s="1148"/>
      <c r="K15" s="1149"/>
      <c r="L15" s="1148"/>
      <c r="M15" s="1149"/>
      <c r="N15" s="1150"/>
      <c r="O15" s="1151"/>
      <c r="P15" s="1150"/>
      <c r="Q15" s="1151"/>
      <c r="R15" s="1150"/>
      <c r="S15" s="1143"/>
      <c r="T15" s="1143"/>
      <c r="U15" s="1143"/>
      <c r="V15" s="1150"/>
      <c r="W15" s="1143"/>
      <c r="X15" s="1142"/>
      <c r="Y15" s="1143"/>
      <c r="Z15" s="1142"/>
      <c r="AA15" s="1143"/>
      <c r="AB15" s="1150"/>
      <c r="AC15" s="1143"/>
      <c r="AD15" s="1150"/>
      <c r="AE15" s="1143"/>
      <c r="AF15" s="1150"/>
      <c r="AG15" s="1143"/>
      <c r="AH15" s="1150"/>
      <c r="AI15" s="1143"/>
      <c r="AJ15" s="1153"/>
      <c r="AK15" s="1162" t="s">
        <v>250</v>
      </c>
      <c r="AL15" s="195" t="s">
        <v>729</v>
      </c>
    </row>
    <row r="16" spans="1:38" ht="24.95" customHeight="1">
      <c r="A16" s="1157"/>
      <c r="B16" s="1163" t="s">
        <v>542</v>
      </c>
      <c r="C16" s="1164">
        <f t="shared" ref="C16:L16" si="11">C18+C19+C20+C22+C23</f>
        <v>3005537</v>
      </c>
      <c r="D16" s="1164">
        <f t="shared" si="11"/>
        <v>3220325</v>
      </c>
      <c r="E16" s="1141">
        <f t="shared" ref="E16:E25" si="12">(D16-C16)/C16*100</f>
        <v>7.14641010907535</v>
      </c>
      <c r="F16" s="1164">
        <f t="shared" si="11"/>
        <v>3402086</v>
      </c>
      <c r="G16" s="1149">
        <f t="shared" ref="G16:G25" si="13">(F16-D16)/D16*100</f>
        <v>5.6441818760528824</v>
      </c>
      <c r="H16" s="1164">
        <f t="shared" si="11"/>
        <v>3584044</v>
      </c>
      <c r="I16" s="1149">
        <f>(H16-F16)/F16*100</f>
        <v>5.3484244666360574</v>
      </c>
      <c r="J16" s="1164">
        <f t="shared" si="11"/>
        <v>3769896</v>
      </c>
      <c r="K16" s="1149">
        <f t="shared" si="5"/>
        <v>5.1855390168201057</v>
      </c>
      <c r="L16" s="1164">
        <f t="shared" si="11"/>
        <v>3957617</v>
      </c>
      <c r="M16" s="1149">
        <f t="shared" si="6"/>
        <v>4.9794742348330034</v>
      </c>
      <c r="N16" s="1165">
        <f>N18+N19+N20+N22+N23</f>
        <v>4166390</v>
      </c>
      <c r="O16" s="1151">
        <f t="shared" si="7"/>
        <v>5.2752199113759621</v>
      </c>
      <c r="P16" s="1164">
        <v>4391469</v>
      </c>
      <c r="Q16" s="1151">
        <f t="shared" si="8"/>
        <v>5.4022547097127251</v>
      </c>
      <c r="R16" s="1165">
        <f>R18+R19+R20+R22+R23</f>
        <v>4645163</v>
      </c>
      <c r="S16" s="1143">
        <f t="shared" si="9"/>
        <v>5.7769734911028632</v>
      </c>
      <c r="T16" s="1164">
        <f>T18+T19+T20+T22+T23</f>
        <v>4901236</v>
      </c>
      <c r="U16" s="1143">
        <f t="shared" si="10"/>
        <v>5.5126806099161643</v>
      </c>
      <c r="V16" s="1164">
        <v>5135697</v>
      </c>
      <c r="W16" s="1143">
        <f>(V16-T16)/T16*100</f>
        <v>4.7837117004771859</v>
      </c>
      <c r="X16" s="1142">
        <v>5382003</v>
      </c>
      <c r="Y16" s="1143">
        <f>(X16-V16)/V16*100</f>
        <v>4.7959605093524793</v>
      </c>
      <c r="Z16" s="1142">
        <v>5631532</v>
      </c>
      <c r="AA16" s="1143">
        <f>(Z16-X16)/X16*100</f>
        <v>4.6363593628617448</v>
      </c>
      <c r="AB16" s="1164">
        <v>5864305</v>
      </c>
      <c r="AC16" s="1143">
        <f>(AB16-Z16)/Z16*100</f>
        <v>4.1333867942151441</v>
      </c>
      <c r="AD16" s="1164">
        <f>AD18+AD19+AD20+AD22+AD23</f>
        <v>6112784</v>
      </c>
      <c r="AE16" s="1143">
        <f>(AD16-AB16)/AB16*100</f>
        <v>4.2371431908811017</v>
      </c>
      <c r="AF16" s="1164">
        <f>AF18+AF19+AF20+AF22+AF23</f>
        <v>6441029</v>
      </c>
      <c r="AG16" s="1143">
        <f>(AF16-AD16)/AD16*100</f>
        <v>5.3698118565943114</v>
      </c>
      <c r="AH16" s="1164">
        <v>6736070</v>
      </c>
      <c r="AI16" s="1143">
        <f>(AH16-AF16)/AF16*100</f>
        <v>4.5806500793584375</v>
      </c>
      <c r="AJ16" s="1166">
        <f>AJ18+AJ19+AJ20+AJ22+AJ23</f>
        <v>6844355</v>
      </c>
      <c r="AK16" s="1167" t="s">
        <v>543</v>
      </c>
    </row>
    <row r="17" spans="1:39" ht="28.5" customHeight="1">
      <c r="A17" s="1157"/>
      <c r="B17" s="1163" t="s">
        <v>626</v>
      </c>
      <c r="C17" s="1164">
        <f t="shared" ref="C17:L17" si="14">C18+C19+C21+C22+C24</f>
        <v>3339327</v>
      </c>
      <c r="D17" s="1164">
        <f t="shared" si="14"/>
        <v>3560638</v>
      </c>
      <c r="E17" s="1141">
        <f t="shared" si="12"/>
        <v>6.6274132482383425</v>
      </c>
      <c r="F17" s="1164">
        <f t="shared" si="14"/>
        <v>3747573</v>
      </c>
      <c r="G17" s="1149">
        <f t="shared" si="13"/>
        <v>5.2500422677059557</v>
      </c>
      <c r="H17" s="1164">
        <f t="shared" si="14"/>
        <v>3935523</v>
      </c>
      <c r="I17" s="1149">
        <f t="shared" si="4"/>
        <v>5.0152458671252038</v>
      </c>
      <c r="J17" s="1164">
        <f t="shared" si="14"/>
        <v>4120866</v>
      </c>
      <c r="K17" s="1149">
        <f t="shared" si="5"/>
        <v>4.709488421233976</v>
      </c>
      <c r="L17" s="1164">
        <f t="shared" si="14"/>
        <v>4308186</v>
      </c>
      <c r="M17" s="1149">
        <f t="shared" si="6"/>
        <v>4.5456464733383708</v>
      </c>
      <c r="N17" s="1165">
        <f>N18+N19+N21+N22+N24</f>
        <v>4510701</v>
      </c>
      <c r="O17" s="1151">
        <f t="shared" si="7"/>
        <v>4.7007023373642642</v>
      </c>
      <c r="P17" s="1164">
        <v>4763434</v>
      </c>
      <c r="Q17" s="1151">
        <f t="shared" si="8"/>
        <v>5.6029650380284579</v>
      </c>
      <c r="R17" s="1165">
        <f>R18+R19+R21+R22+R24</f>
        <v>5024696</v>
      </c>
      <c r="S17" s="1143">
        <f t="shared" si="9"/>
        <v>5.4847406303939552</v>
      </c>
      <c r="T17" s="1164">
        <f>T18+T19+T21+T22+T24</f>
        <v>5290270</v>
      </c>
      <c r="U17" s="1143">
        <f t="shared" si="10"/>
        <v>5.2853744783764034</v>
      </c>
      <c r="V17" s="1164">
        <v>5535411</v>
      </c>
      <c r="W17" s="1143">
        <f t="shared" ref="W17:AI25" si="15">(V17-T17)/T17*100</f>
        <v>4.6338088604173322</v>
      </c>
      <c r="X17" s="1142">
        <v>5777300</v>
      </c>
      <c r="Y17" s="1143">
        <f t="shared" si="15"/>
        <v>4.3698471531743532</v>
      </c>
      <c r="Z17" s="1142">
        <v>6026431</v>
      </c>
      <c r="AA17" s="1143">
        <f t="shared" si="15"/>
        <v>4.3122392813251862</v>
      </c>
      <c r="AB17" s="1164">
        <v>6260232</v>
      </c>
      <c r="AC17" s="1143">
        <f t="shared" si="15"/>
        <v>3.8795930792205202</v>
      </c>
      <c r="AD17" s="1164">
        <f>AD18+AD19+AD21+AD22+AD24</f>
        <v>6509713</v>
      </c>
      <c r="AE17" s="1143">
        <f t="shared" si="15"/>
        <v>3.9851717955500687</v>
      </c>
      <c r="AF17" s="1164">
        <f>AF18+AF19+AF21+AF22+AF24</f>
        <v>6839981</v>
      </c>
      <c r="AG17" s="1143">
        <f t="shared" si="15"/>
        <v>5.0734648363145967</v>
      </c>
      <c r="AH17" s="1164">
        <v>7144139</v>
      </c>
      <c r="AI17" s="1143">
        <f t="shared" si="15"/>
        <v>4.4467667380947402</v>
      </c>
      <c r="AJ17" s="1166">
        <f>AJ18+AJ19+AJ21+AJ22+AJ24</f>
        <v>7260259</v>
      </c>
      <c r="AK17" s="1167" t="s">
        <v>627</v>
      </c>
    </row>
    <row r="18" spans="1:39" ht="54.75" customHeight="1">
      <c r="A18" s="1157"/>
      <c r="B18" s="1147" t="s">
        <v>841</v>
      </c>
      <c r="C18" s="1148">
        <v>2248287</v>
      </c>
      <c r="D18" s="1148">
        <v>2418992</v>
      </c>
      <c r="E18" s="1141">
        <f t="shared" si="12"/>
        <v>7.5926694412234736</v>
      </c>
      <c r="F18" s="1148">
        <v>2555965</v>
      </c>
      <c r="G18" s="1149">
        <f t="shared" si="13"/>
        <v>5.6623998756506841</v>
      </c>
      <c r="H18" s="1148">
        <v>2694834</v>
      </c>
      <c r="I18" s="1149">
        <f t="shared" si="4"/>
        <v>5.4331338652915822</v>
      </c>
      <c r="J18" s="1148">
        <v>2838422</v>
      </c>
      <c r="K18" s="1149">
        <f t="shared" si="5"/>
        <v>5.3282688284324742</v>
      </c>
      <c r="L18" s="1148">
        <v>2988054</v>
      </c>
      <c r="M18" s="1149">
        <f t="shared" si="6"/>
        <v>5.2716615076968818</v>
      </c>
      <c r="N18" s="1150">
        <v>3151374</v>
      </c>
      <c r="O18" s="1151">
        <f t="shared" si="7"/>
        <v>5.4657646749355937</v>
      </c>
      <c r="P18" s="1148">
        <v>3297393</v>
      </c>
      <c r="Q18" s="1151">
        <f t="shared" si="8"/>
        <v>4.633502719766045</v>
      </c>
      <c r="R18" s="1150">
        <v>3467017</v>
      </c>
      <c r="S18" s="1143">
        <f t="shared" si="9"/>
        <v>5.1441851183647209</v>
      </c>
      <c r="T18" s="1152">
        <v>3665784</v>
      </c>
      <c r="U18" s="1143">
        <f>(T18-R18)/R18*100</f>
        <v>5.7330840892905917</v>
      </c>
      <c r="V18" s="1148">
        <v>3850199</v>
      </c>
      <c r="W18" s="1143">
        <f t="shared" si="15"/>
        <v>5.0307110293459738</v>
      </c>
      <c r="X18" s="1148">
        <v>4041409</v>
      </c>
      <c r="Y18" s="1143">
        <f t="shared" si="15"/>
        <v>4.9662368100973486</v>
      </c>
      <c r="Z18" s="1152">
        <v>4235496</v>
      </c>
      <c r="AA18" s="1143">
        <f t="shared" si="15"/>
        <v>4.8024587464421442</v>
      </c>
      <c r="AB18" s="1148">
        <v>4412711</v>
      </c>
      <c r="AC18" s="1143">
        <f t="shared" si="15"/>
        <v>4.1840436161431862</v>
      </c>
      <c r="AD18" s="1148">
        <v>4601192</v>
      </c>
      <c r="AE18" s="1143">
        <f t="shared" si="15"/>
        <v>4.2713198303718514</v>
      </c>
      <c r="AF18" s="1148">
        <v>4865179</v>
      </c>
      <c r="AG18" s="1143">
        <f t="shared" si="15"/>
        <v>5.7373611012102952</v>
      </c>
      <c r="AH18" s="1148">
        <v>5098801</v>
      </c>
      <c r="AI18" s="1143">
        <f t="shared" si="15"/>
        <v>4.8019199293592285</v>
      </c>
      <c r="AJ18" s="1168">
        <f>+'10.4-a İL DAĞILIM'!S97+'10.4-a İL DAĞILIM'!Z97</f>
        <v>5182590</v>
      </c>
      <c r="AK18" s="1167" t="s">
        <v>191</v>
      </c>
    </row>
    <row r="19" spans="1:39" ht="63" customHeight="1">
      <c r="A19" s="1157"/>
      <c r="B19" s="1147" t="s">
        <v>842</v>
      </c>
      <c r="C19" s="1148">
        <v>59742</v>
      </c>
      <c r="D19" s="1148">
        <v>61649</v>
      </c>
      <c r="E19" s="1141">
        <f t="shared" si="12"/>
        <v>3.1920591878410494</v>
      </c>
      <c r="F19" s="1148">
        <v>62542</v>
      </c>
      <c r="G19" s="1149">
        <f t="shared" si="13"/>
        <v>1.4485230903988711</v>
      </c>
      <c r="H19" s="1148">
        <v>62709</v>
      </c>
      <c r="I19" s="1149">
        <f t="shared" si="4"/>
        <v>0.26702056218221354</v>
      </c>
      <c r="J19" s="1148">
        <v>63071</v>
      </c>
      <c r="K19" s="1149">
        <f t="shared" si="5"/>
        <v>0.57726961042274638</v>
      </c>
      <c r="L19" s="1148">
        <v>62700</v>
      </c>
      <c r="M19" s="1149">
        <f t="shared" si="6"/>
        <v>-0.58822596756036849</v>
      </c>
      <c r="N19" s="1150">
        <v>63861</v>
      </c>
      <c r="O19" s="1151">
        <f t="shared" si="7"/>
        <v>1.8516746411483254</v>
      </c>
      <c r="P19" s="1148">
        <v>64883</v>
      </c>
      <c r="Q19" s="1151">
        <f t="shared" si="8"/>
        <v>1.6003507618108079</v>
      </c>
      <c r="R19" s="1150">
        <v>65175</v>
      </c>
      <c r="S19" s="1143">
        <f t="shared" si="9"/>
        <v>0.45004084274771511</v>
      </c>
      <c r="T19" s="1152">
        <v>66038</v>
      </c>
      <c r="U19" s="1143">
        <f t="shared" si="10"/>
        <v>1.3241273494438051</v>
      </c>
      <c r="V19" s="1150">
        <v>66902</v>
      </c>
      <c r="W19" s="1143">
        <f t="shared" si="15"/>
        <v>1.3083376237923618</v>
      </c>
      <c r="X19" s="1150">
        <v>67575</v>
      </c>
      <c r="Y19" s="1143">
        <f t="shared" si="15"/>
        <v>1.0059490000298943</v>
      </c>
      <c r="Z19" s="1152">
        <v>68593</v>
      </c>
      <c r="AA19" s="1143">
        <f t="shared" si="15"/>
        <v>1.506474287828339</v>
      </c>
      <c r="AB19" s="1150">
        <v>69153</v>
      </c>
      <c r="AC19" s="1143">
        <f t="shared" si="15"/>
        <v>0.8164098377385447</v>
      </c>
      <c r="AD19" s="1150">
        <v>71688</v>
      </c>
      <c r="AE19" s="1143">
        <f t="shared" si="15"/>
        <v>3.665784564660969</v>
      </c>
      <c r="AF19" s="1150">
        <v>73004</v>
      </c>
      <c r="AG19" s="1143">
        <f t="shared" si="15"/>
        <v>1.8357326191273295</v>
      </c>
      <c r="AH19" s="1150">
        <v>74429</v>
      </c>
      <c r="AI19" s="1143">
        <f t="shared" si="15"/>
        <v>1.9519478384746041</v>
      </c>
      <c r="AJ19" s="1153">
        <f>+'10.4-a İL DAĞILIM'!R97+'10.4-a İL DAĞILIM'!Y97</f>
        <v>75218</v>
      </c>
      <c r="AK19" s="1167" t="s">
        <v>717</v>
      </c>
    </row>
    <row r="20" spans="1:39" s="1173" customFormat="1" ht="63" customHeight="1">
      <c r="A20" s="1169"/>
      <c r="B20" s="1170" t="s">
        <v>906</v>
      </c>
      <c r="C20" s="1150">
        <v>608071</v>
      </c>
      <c r="D20" s="1150">
        <v>648100</v>
      </c>
      <c r="E20" s="1141">
        <f t="shared" si="12"/>
        <v>6.5829483728051486</v>
      </c>
      <c r="F20" s="1150">
        <v>690218</v>
      </c>
      <c r="G20" s="1149">
        <f t="shared" si="13"/>
        <v>6.4986884740009261</v>
      </c>
      <c r="H20" s="1150">
        <v>732284</v>
      </c>
      <c r="I20" s="1149">
        <f t="shared" si="4"/>
        <v>6.0945962000411464</v>
      </c>
      <c r="J20" s="1150">
        <v>772363</v>
      </c>
      <c r="K20" s="1149">
        <f t="shared" si="5"/>
        <v>5.4731497615679165</v>
      </c>
      <c r="L20" s="1150">
        <v>809892</v>
      </c>
      <c r="M20" s="1149">
        <f t="shared" si="6"/>
        <v>4.8589847001992581</v>
      </c>
      <c r="N20" s="1150">
        <v>852241</v>
      </c>
      <c r="O20" s="1151">
        <f t="shared" si="7"/>
        <v>5.2289688007783752</v>
      </c>
      <c r="P20" s="1148">
        <v>928495</v>
      </c>
      <c r="Q20" s="1151">
        <f t="shared" si="8"/>
        <v>8.947469084449116</v>
      </c>
      <c r="R20" s="1150">
        <v>1011082</v>
      </c>
      <c r="S20" s="1143">
        <f t="shared" si="9"/>
        <v>8.8947167189914875</v>
      </c>
      <c r="T20" s="1152">
        <v>1065787</v>
      </c>
      <c r="U20" s="1143">
        <f t="shared" si="10"/>
        <v>5.410540391382697</v>
      </c>
      <c r="V20" s="1150">
        <v>1112739</v>
      </c>
      <c r="W20" s="1143">
        <f t="shared" si="15"/>
        <v>4.4053830643458776</v>
      </c>
      <c r="X20" s="1150">
        <v>1165170</v>
      </c>
      <c r="Y20" s="1143">
        <f t="shared" si="15"/>
        <v>4.7118866149204797</v>
      </c>
      <c r="Z20" s="1152">
        <v>1216760</v>
      </c>
      <c r="AA20" s="1143">
        <f t="shared" si="15"/>
        <v>4.4276800810182202</v>
      </c>
      <c r="AB20" s="1150">
        <v>1268502</v>
      </c>
      <c r="AC20" s="1143">
        <f t="shared" si="15"/>
        <v>4.2524409086426251</v>
      </c>
      <c r="AD20" s="1150">
        <v>1323133</v>
      </c>
      <c r="AE20" s="1143">
        <f t="shared" si="15"/>
        <v>4.306733454105709</v>
      </c>
      <c r="AF20" s="1171">
        <v>1381234</v>
      </c>
      <c r="AG20" s="1143">
        <f t="shared" si="15"/>
        <v>4.391168537100957</v>
      </c>
      <c r="AH20" s="1171">
        <v>1436828</v>
      </c>
      <c r="AI20" s="1143">
        <f t="shared" si="15"/>
        <v>4.0249516012493176</v>
      </c>
      <c r="AJ20" s="1172">
        <f>+'10.4-a İL DAĞILIM'!U97+'10.4-a İL DAĞILIM'!AB97</f>
        <v>1458998</v>
      </c>
      <c r="AK20" s="1167" t="s">
        <v>592</v>
      </c>
    </row>
    <row r="21" spans="1:39" s="1173" customFormat="1" ht="63" customHeight="1">
      <c r="A21" s="1169"/>
      <c r="B21" s="1170" t="s">
        <v>907</v>
      </c>
      <c r="C21" s="1150">
        <v>908416</v>
      </c>
      <c r="D21" s="1150">
        <v>955007</v>
      </c>
      <c r="E21" s="1141">
        <f t="shared" si="12"/>
        <v>5.1288176342116385</v>
      </c>
      <c r="F21" s="1150">
        <v>1002706</v>
      </c>
      <c r="G21" s="1149">
        <f t="shared" si="13"/>
        <v>4.9946230760612229</v>
      </c>
      <c r="H21" s="1150">
        <v>1051052</v>
      </c>
      <c r="I21" s="1149">
        <f t="shared" si="4"/>
        <v>4.8215528779123691</v>
      </c>
      <c r="J21" s="1150">
        <v>1091904</v>
      </c>
      <c r="K21" s="1149">
        <f t="shared" si="5"/>
        <v>3.8867724907996939</v>
      </c>
      <c r="L21" s="1150">
        <v>1130420</v>
      </c>
      <c r="M21" s="1149">
        <f t="shared" si="6"/>
        <v>3.5274163296407006</v>
      </c>
      <c r="N21" s="1150">
        <v>1167234</v>
      </c>
      <c r="O21" s="1151">
        <f t="shared" si="7"/>
        <v>3.256665664089454</v>
      </c>
      <c r="P21" s="1150">
        <v>1271873</v>
      </c>
      <c r="Q21" s="1151">
        <f t="shared" si="8"/>
        <v>8.9646977384140634</v>
      </c>
      <c r="R21" s="1150">
        <v>1362588</v>
      </c>
      <c r="S21" s="1143">
        <f t="shared" si="9"/>
        <v>7.1323945079422231</v>
      </c>
      <c r="T21" s="1152">
        <v>1426472</v>
      </c>
      <c r="U21" s="1143">
        <f t="shared" si="10"/>
        <v>4.688431132521349</v>
      </c>
      <c r="V21" s="1150">
        <v>1483417</v>
      </c>
      <c r="W21" s="1143">
        <f t="shared" si="15"/>
        <v>3.9920166676948443</v>
      </c>
      <c r="X21" s="1150">
        <v>1531014</v>
      </c>
      <c r="Y21" s="1143">
        <f t="shared" si="15"/>
        <v>3.2086055370809419</v>
      </c>
      <c r="Z21" s="1152">
        <v>1582401</v>
      </c>
      <c r="AA21" s="1143">
        <f t="shared" si="15"/>
        <v>3.356403011337584</v>
      </c>
      <c r="AB21" s="1150">
        <v>1635705</v>
      </c>
      <c r="AC21" s="1143">
        <f t="shared" si="15"/>
        <v>3.3685519662841465</v>
      </c>
      <c r="AD21" s="1150">
        <v>1690968</v>
      </c>
      <c r="AE21" s="1143">
        <f t="shared" si="15"/>
        <v>3.3785431969701136</v>
      </c>
      <c r="AF21" s="1150">
        <v>1751325</v>
      </c>
      <c r="AG21" s="1143">
        <f t="shared" si="15"/>
        <v>3.5693756475580853</v>
      </c>
      <c r="AH21" s="1150">
        <v>1814407</v>
      </c>
      <c r="AI21" s="1143">
        <f t="shared" si="15"/>
        <v>3.6019585171227497</v>
      </c>
      <c r="AJ21" s="1153">
        <f>+'10.4-a İL DAĞILIM'!T97+'10.4-a İL DAĞILIM'!AA97</f>
        <v>1843873</v>
      </c>
      <c r="AK21" s="1167" t="s">
        <v>566</v>
      </c>
    </row>
    <row r="22" spans="1:39" s="1173" customFormat="1" ht="63" customHeight="1">
      <c r="A22" s="1169"/>
      <c r="B22" s="1170" t="s">
        <v>1133</v>
      </c>
      <c r="C22" s="1150">
        <v>49078</v>
      </c>
      <c r="D22" s="1150">
        <v>50447</v>
      </c>
      <c r="E22" s="1141">
        <f t="shared" si="12"/>
        <v>2.7894372223807</v>
      </c>
      <c r="F22" s="1150">
        <v>51431</v>
      </c>
      <c r="G22" s="1149">
        <f t="shared" si="13"/>
        <v>1.95056197593514</v>
      </c>
      <c r="H22" s="1150">
        <v>51959</v>
      </c>
      <c r="I22" s="1149">
        <f t="shared" si="4"/>
        <v>1.0266181874744804</v>
      </c>
      <c r="J22" s="1150">
        <v>53063</v>
      </c>
      <c r="K22" s="1149">
        <f t="shared" si="5"/>
        <v>2.1247522084720645</v>
      </c>
      <c r="L22" s="1150">
        <v>53584</v>
      </c>
      <c r="M22" s="1149">
        <f t="shared" si="6"/>
        <v>0.98185176111414729</v>
      </c>
      <c r="N22" s="1150">
        <v>54857</v>
      </c>
      <c r="O22" s="1151">
        <f t="shared" si="7"/>
        <v>2.3757091669154971</v>
      </c>
      <c r="P22" s="1150">
        <v>56105</v>
      </c>
      <c r="Q22" s="1151">
        <f t="shared" si="8"/>
        <v>2.2750059244945953</v>
      </c>
      <c r="R22" s="1150">
        <v>56668</v>
      </c>
      <c r="S22" s="1143">
        <f t="shared" si="9"/>
        <v>1.0034756260582836</v>
      </c>
      <c r="T22" s="1152">
        <v>57422</v>
      </c>
      <c r="U22" s="1143">
        <f t="shared" si="10"/>
        <v>1.3305569280722807</v>
      </c>
      <c r="V22" s="1150">
        <v>58496</v>
      </c>
      <c r="W22" s="1143">
        <f t="shared" si="15"/>
        <v>1.8703632753996728</v>
      </c>
      <c r="X22" s="1150">
        <v>58966</v>
      </c>
      <c r="Y22" s="1143">
        <f t="shared" si="15"/>
        <v>0.80347374179431075</v>
      </c>
      <c r="Z22" s="1152">
        <v>60612</v>
      </c>
      <c r="AA22" s="1143">
        <f t="shared" si="15"/>
        <v>2.7914391344164433</v>
      </c>
      <c r="AB22" s="1150">
        <v>61403</v>
      </c>
      <c r="AC22" s="1143">
        <f t="shared" si="15"/>
        <v>1.3050221078334323</v>
      </c>
      <c r="AD22" s="1150">
        <v>62097</v>
      </c>
      <c r="AE22" s="1143">
        <f t="shared" si="15"/>
        <v>1.1302379362571862</v>
      </c>
      <c r="AF22" s="1150">
        <v>65361</v>
      </c>
      <c r="AG22" s="1143">
        <f t="shared" si="15"/>
        <v>5.2562925745205078</v>
      </c>
      <c r="AH22" s="1150">
        <v>69905</v>
      </c>
      <c r="AI22" s="1143">
        <f t="shared" si="15"/>
        <v>6.9521580147182576</v>
      </c>
      <c r="AJ22" s="1153">
        <f>+'10.4-a İL DAĞILIM'!V97+'10.4-a İL DAĞILIM'!AC97</f>
        <v>70850</v>
      </c>
      <c r="AK22" s="1167" t="s">
        <v>722</v>
      </c>
    </row>
    <row r="23" spans="1:39" s="1173" customFormat="1" ht="63" customHeight="1">
      <c r="A23" s="1169"/>
      <c r="B23" s="1170" t="s">
        <v>1184</v>
      </c>
      <c r="C23" s="1150">
        <f>+D23-778</f>
        <v>40359</v>
      </c>
      <c r="D23" s="1150">
        <v>41137</v>
      </c>
      <c r="E23" s="1141">
        <f t="shared" si="12"/>
        <v>1.9276989023513962</v>
      </c>
      <c r="F23" s="1150">
        <v>41930</v>
      </c>
      <c r="G23" s="1149">
        <f t="shared" si="13"/>
        <v>1.9277049857792254</v>
      </c>
      <c r="H23" s="1150">
        <v>42258</v>
      </c>
      <c r="I23" s="1149">
        <f t="shared" si="4"/>
        <v>0.78225614118769371</v>
      </c>
      <c r="J23" s="1150">
        <v>42977</v>
      </c>
      <c r="K23" s="1149">
        <f t="shared" si="5"/>
        <v>1.7014529793175255</v>
      </c>
      <c r="L23" s="1150">
        <v>43387</v>
      </c>
      <c r="M23" s="1149">
        <f t="shared" si="6"/>
        <v>0.95399865044093357</v>
      </c>
      <c r="N23" s="1150">
        <v>44057</v>
      </c>
      <c r="O23" s="1151">
        <f t="shared" si="7"/>
        <v>1.5442413626201397</v>
      </c>
      <c r="P23" s="1148">
        <v>44593</v>
      </c>
      <c r="Q23" s="1151">
        <f t="shared" si="8"/>
        <v>1.2166057607190683</v>
      </c>
      <c r="R23" s="1150">
        <v>45221</v>
      </c>
      <c r="S23" s="1143">
        <f t="shared" si="9"/>
        <v>1.4082927813782433</v>
      </c>
      <c r="T23" s="1152">
        <v>46205</v>
      </c>
      <c r="U23" s="1143">
        <f t="shared" si="10"/>
        <v>2.1759801861966785</v>
      </c>
      <c r="V23" s="1150">
        <v>47361</v>
      </c>
      <c r="W23" s="1143">
        <f t="shared" si="15"/>
        <v>2.5018937344443244</v>
      </c>
      <c r="X23" s="1150">
        <v>48883</v>
      </c>
      <c r="Y23" s="1143">
        <f t="shared" si="15"/>
        <v>3.2136145773949027</v>
      </c>
      <c r="Z23" s="1152">
        <v>50071</v>
      </c>
      <c r="AA23" s="1143">
        <f t="shared" si="15"/>
        <v>2.4302927398072947</v>
      </c>
      <c r="AB23" s="1171">
        <v>52536</v>
      </c>
      <c r="AC23" s="1143">
        <f t="shared" si="15"/>
        <v>4.9230093267560067</v>
      </c>
      <c r="AD23" s="1171">
        <v>54674</v>
      </c>
      <c r="AE23" s="1143">
        <f t="shared" si="15"/>
        <v>4.0695903761230401</v>
      </c>
      <c r="AF23" s="1150">
        <v>56251</v>
      </c>
      <c r="AG23" s="1143">
        <f t="shared" si="15"/>
        <v>2.8843691699893919</v>
      </c>
      <c r="AH23" s="1150">
        <v>56107</v>
      </c>
      <c r="AI23" s="1143">
        <f t="shared" si="15"/>
        <v>-0.25599544896979609</v>
      </c>
      <c r="AJ23" s="1153">
        <f>+'10.4-a İL DAĞILIM'!X97+'10.4-a İL DAĞILIM'!AE97</f>
        <v>56699</v>
      </c>
      <c r="AK23" s="1167" t="s">
        <v>68</v>
      </c>
    </row>
    <row r="24" spans="1:39" ht="63" customHeight="1">
      <c r="A24" s="1157"/>
      <c r="B24" s="1170" t="s">
        <v>1134</v>
      </c>
      <c r="C24" s="1150">
        <v>73804</v>
      </c>
      <c r="D24" s="1150">
        <v>74543</v>
      </c>
      <c r="E24" s="1141">
        <f t="shared" si="12"/>
        <v>1.0013007425071812</v>
      </c>
      <c r="F24" s="1150">
        <v>74929</v>
      </c>
      <c r="G24" s="1149">
        <f t="shared" si="13"/>
        <v>0.51782192828300444</v>
      </c>
      <c r="H24" s="1150">
        <v>74969</v>
      </c>
      <c r="I24" s="1149">
        <f t="shared" si="4"/>
        <v>5.3383870063660271E-2</v>
      </c>
      <c r="J24" s="1150">
        <v>74406</v>
      </c>
      <c r="K24" s="1149">
        <f t="shared" si="5"/>
        <v>-0.75097707052248264</v>
      </c>
      <c r="L24" s="1150">
        <v>73428</v>
      </c>
      <c r="M24" s="1149">
        <f t="shared" si="6"/>
        <v>-1.3144101282154663</v>
      </c>
      <c r="N24" s="1150">
        <v>73375</v>
      </c>
      <c r="O24" s="1151">
        <f t="shared" si="7"/>
        <v>-7.2179550035408838E-2</v>
      </c>
      <c r="P24" s="1150">
        <v>73180</v>
      </c>
      <c r="Q24" s="1151">
        <f t="shared" si="8"/>
        <v>-0.26575809199318567</v>
      </c>
      <c r="R24" s="1150">
        <v>73248</v>
      </c>
      <c r="S24" s="1143">
        <f t="shared" si="9"/>
        <v>9.292156326865264E-2</v>
      </c>
      <c r="T24" s="1152">
        <v>74554</v>
      </c>
      <c r="U24" s="1143">
        <f t="shared" si="10"/>
        <v>1.7829838357361294</v>
      </c>
      <c r="V24" s="1150">
        <v>76397</v>
      </c>
      <c r="W24" s="1143">
        <f t="shared" si="15"/>
        <v>2.4720336936985272</v>
      </c>
      <c r="X24" s="1150">
        <v>78336</v>
      </c>
      <c r="Y24" s="1143">
        <f t="shared" si="15"/>
        <v>2.5380577771378454</v>
      </c>
      <c r="Z24" s="1152">
        <v>79329</v>
      </c>
      <c r="AA24" s="1143">
        <f t="shared" si="15"/>
        <v>1.2676164215686274</v>
      </c>
      <c r="AB24" s="1150">
        <v>81260</v>
      </c>
      <c r="AC24" s="1143">
        <f t="shared" si="15"/>
        <v>2.4341665721236874</v>
      </c>
      <c r="AD24" s="1150">
        <v>83768</v>
      </c>
      <c r="AE24" s="1143">
        <f t="shared" si="15"/>
        <v>3.0863893674624663</v>
      </c>
      <c r="AF24" s="1150">
        <v>85112</v>
      </c>
      <c r="AG24" s="1143">
        <f t="shared" si="15"/>
        <v>1.6044312864100851</v>
      </c>
      <c r="AH24" s="1150">
        <v>86597</v>
      </c>
      <c r="AI24" s="1143">
        <f t="shared" si="15"/>
        <v>1.7447598458501739</v>
      </c>
      <c r="AJ24" s="1153">
        <f>+'10.4-a İL DAĞILIM'!W97+'10.4-a İL DAĞILIM'!AD97</f>
        <v>87728</v>
      </c>
      <c r="AK24" s="1167" t="s">
        <v>518</v>
      </c>
      <c r="AM24" s="1130"/>
    </row>
    <row r="25" spans="1:39" ht="43.5" customHeight="1">
      <c r="A25" s="1160" t="s">
        <v>141</v>
      </c>
      <c r="B25" s="1161"/>
      <c r="C25" s="1174">
        <v>13089973.044743408</v>
      </c>
      <c r="D25" s="1174">
        <v>12853032.210000001</v>
      </c>
      <c r="E25" s="1141">
        <f t="shared" si="12"/>
        <v>-1.8100941379597102</v>
      </c>
      <c r="F25" s="1174">
        <v>13673024.169999998</v>
      </c>
      <c r="G25" s="1149">
        <f t="shared" si="13"/>
        <v>6.3797549605611472</v>
      </c>
      <c r="H25" s="1174">
        <v>14618605.060000002</v>
      </c>
      <c r="I25" s="1149">
        <f t="shared" si="4"/>
        <v>6.9156675088361554</v>
      </c>
      <c r="J25" s="1174">
        <v>15863765.629999999</v>
      </c>
      <c r="K25" s="1149">
        <f t="shared" si="5"/>
        <v>8.5176428591470295</v>
      </c>
      <c r="L25" s="1174">
        <v>17385348.25</v>
      </c>
      <c r="M25" s="1149">
        <f t="shared" si="6"/>
        <v>9.5915601345151806</v>
      </c>
      <c r="N25" s="1174">
        <v>18040101</v>
      </c>
      <c r="O25" s="1151">
        <f t="shared" si="7"/>
        <v>3.7661181161556541</v>
      </c>
      <c r="P25" s="1174">
        <v>18694128</v>
      </c>
      <c r="Q25" s="1151">
        <f t="shared" si="8"/>
        <v>3.6254065318148716</v>
      </c>
      <c r="R25" s="1174">
        <v>18980707</v>
      </c>
      <c r="S25" s="1143">
        <f t="shared" si="9"/>
        <v>1.53298939645647</v>
      </c>
      <c r="T25" s="1174">
        <v>19617515</v>
      </c>
      <c r="U25" s="1143">
        <f t="shared" si="10"/>
        <v>3.3550278185106595</v>
      </c>
      <c r="V25" s="1174">
        <v>20704447.874346957</v>
      </c>
      <c r="W25" s="1143">
        <f t="shared" si="15"/>
        <v>5.5406246629451106</v>
      </c>
      <c r="X25" s="1174">
        <v>21024423.966310024</v>
      </c>
      <c r="Y25" s="1143">
        <f t="shared" si="15"/>
        <v>1.5454461471514129</v>
      </c>
      <c r="Z25" s="1142">
        <v>18461326.220158584</v>
      </c>
      <c r="AA25" s="1143">
        <f t="shared" si="15"/>
        <v>-12.191048612121794</v>
      </c>
      <c r="AB25" s="1174">
        <v>17784125.525144853</v>
      </c>
      <c r="AC25" s="1143">
        <f t="shared" si="15"/>
        <v>-3.6682126025933717</v>
      </c>
      <c r="AD25" s="1174">
        <v>18447685.920783646</v>
      </c>
      <c r="AE25" s="1143">
        <f t="shared" si="15"/>
        <v>3.7311949620496674</v>
      </c>
      <c r="AF25" s="1174">
        <v>18930244.400339</v>
      </c>
      <c r="AG25" s="1143">
        <f t="shared" si="15"/>
        <v>2.6158212017892741</v>
      </c>
      <c r="AH25" s="1174">
        <v>19430890.75569202</v>
      </c>
      <c r="AI25" s="1143">
        <f t="shared" si="15"/>
        <v>2.6446903947212359</v>
      </c>
      <c r="AJ25" s="1175">
        <f>+'10.4-a İL DAĞILIM'!AJ97</f>
        <v>18992721.97678135</v>
      </c>
      <c r="AK25" s="1176" t="s">
        <v>245</v>
      </c>
      <c r="AM25" s="1130"/>
    </row>
    <row r="26" spans="1:39" ht="37.5" customHeight="1">
      <c r="A26" s="1177" t="s">
        <v>489</v>
      </c>
      <c r="B26" s="1161"/>
      <c r="C26" s="1149">
        <f>C8/C16</f>
        <v>2.1843574043507035</v>
      </c>
      <c r="D26" s="1149">
        <f t="shared" ref="D26:N26" si="16">D8/D16</f>
        <v>1.9054309735818589</v>
      </c>
      <c r="E26" s="1149"/>
      <c r="F26" s="1149">
        <f t="shared" si="16"/>
        <v>1.9291655178616884</v>
      </c>
      <c r="G26" s="1149"/>
      <c r="H26" s="1149">
        <f t="shared" si="16"/>
        <v>1.8834757609002568</v>
      </c>
      <c r="I26" s="1149"/>
      <c r="J26" s="1149">
        <f t="shared" si="16"/>
        <v>1.8443076413779054</v>
      </c>
      <c r="K26" s="1149"/>
      <c r="L26" s="1149">
        <f t="shared" si="16"/>
        <v>1.9334122023429756</v>
      </c>
      <c r="M26" s="1149"/>
      <c r="N26" s="1151">
        <f t="shared" si="16"/>
        <v>2.0599115781287876</v>
      </c>
      <c r="O26" s="1151"/>
      <c r="P26" s="1149">
        <f>P8/P16</f>
        <v>2.0946469165557131</v>
      </c>
      <c r="Q26" s="1151"/>
      <c r="R26" s="1151">
        <f>R8/R16</f>
        <v>2.0612566232874929</v>
      </c>
      <c r="S26" s="1143"/>
      <c r="T26" s="1149">
        <f>T8/T16</f>
        <v>1.9624515122307924</v>
      </c>
      <c r="U26" s="1143"/>
      <c r="V26" s="1149">
        <v>2.064273752176323</v>
      </c>
      <c r="W26" s="1143"/>
      <c r="X26" s="1149">
        <v>2.1455086517045792</v>
      </c>
      <c r="Y26" s="1143"/>
      <c r="Z26" s="1178">
        <v>2.2244989462902813</v>
      </c>
      <c r="AA26" s="1143"/>
      <c r="AB26" s="1149">
        <v>2.2400504407598172</v>
      </c>
      <c r="AC26" s="1143"/>
      <c r="AD26" s="1149">
        <f>AD8/AD16</f>
        <v>2.2850205405589334</v>
      </c>
      <c r="AE26" s="1143"/>
      <c r="AF26" s="1149">
        <v>2.2981144782922107</v>
      </c>
      <c r="AG26" s="1143"/>
      <c r="AH26" s="1149">
        <v>2.2795425225687977</v>
      </c>
      <c r="AI26" s="1143"/>
      <c r="AJ26" s="1179">
        <f>AJ8/AJ16</f>
        <v>2.3206141411425913</v>
      </c>
      <c r="AK26" s="1176" t="s">
        <v>246</v>
      </c>
    </row>
    <row r="27" spans="1:39" s="204" customFormat="1" ht="34.5" customHeight="1" thickBot="1">
      <c r="A27" s="1180" t="s">
        <v>804</v>
      </c>
      <c r="B27" s="1181"/>
      <c r="C27" s="1182">
        <f>+C25+C8+C17</f>
        <v>22994467.044743408</v>
      </c>
      <c r="D27" s="1182">
        <f>+D25+D8+D17</f>
        <v>22549777.210000001</v>
      </c>
      <c r="E27" s="1183">
        <f>(D27-C27)/C27*100</f>
        <v>-1.9338992892425564</v>
      </c>
      <c r="F27" s="1182">
        <f>+F25+F8+F17</f>
        <v>23983784.169999998</v>
      </c>
      <c r="G27" s="1183">
        <f>(F27-D27)/D27*100</f>
        <v>6.3592954672921005</v>
      </c>
      <c r="H27" s="1182">
        <f>+H25+H8+H17</f>
        <v>25304588.060000002</v>
      </c>
      <c r="I27" s="1183">
        <f t="shared" si="4"/>
        <v>5.5070704465900153</v>
      </c>
      <c r="J27" s="1182">
        <f>+J25+J8+J17</f>
        <v>26937479.629999999</v>
      </c>
      <c r="K27" s="1183">
        <f t="shared" si="5"/>
        <v>6.4529466598240148</v>
      </c>
      <c r="L27" s="1182">
        <f>+L25+L8+L17</f>
        <v>29345239.25</v>
      </c>
      <c r="M27" s="1183">
        <f t="shared" si="6"/>
        <v>8.9383255340581425</v>
      </c>
      <c r="N27" s="1182">
        <f>+N25+N8+N17</f>
        <v>31133197</v>
      </c>
      <c r="O27" s="1183">
        <f t="shared" si="7"/>
        <v>6.09283752900396</v>
      </c>
      <c r="P27" s="1182">
        <f>+P25+P8+P17</f>
        <v>32656139</v>
      </c>
      <c r="Q27" s="1183">
        <f>(P27-N27)/N27*100</f>
        <v>4.8916980803481245</v>
      </c>
      <c r="R27" s="1182">
        <f>+R25+R8+R17</f>
        <v>33580276</v>
      </c>
      <c r="S27" s="1183">
        <f t="shared" si="9"/>
        <v>2.8299028247031899</v>
      </c>
      <c r="T27" s="1182">
        <v>34526223</v>
      </c>
      <c r="U27" s="1183">
        <f>(T27-R27)/R27*100</f>
        <v>2.8169720820638879</v>
      </c>
      <c r="V27" s="1182">
        <f>+V8+V17+V25</f>
        <v>36815793.874346957</v>
      </c>
      <c r="W27" s="1183">
        <f>(V27-T27)/T27*100</f>
        <v>6.6313968786766981</v>
      </c>
      <c r="X27" s="1182">
        <v>38348857.966310039</v>
      </c>
      <c r="Y27" s="1183">
        <f>(X27-V27)/V27*100</f>
        <v>4.1641478578336821</v>
      </c>
      <c r="Z27" s="1182">
        <v>37015094.220158584</v>
      </c>
      <c r="AA27" s="1183">
        <f>(Z27-X27)/X27*100</f>
        <v>-3.4779751389811486</v>
      </c>
      <c r="AB27" s="1182">
        <f>+AB8+AB17+AB25</f>
        <v>37180696.525144853</v>
      </c>
      <c r="AC27" s="1183">
        <f>(AB27-Z27)/Z27*100</f>
        <v>0.44739128313789495</v>
      </c>
      <c r="AD27" s="1182">
        <f>+AD8+AD17+AD25</f>
        <v>38925235.920783646</v>
      </c>
      <c r="AE27" s="1183">
        <f>(AD27-AB27)/AB27*100</f>
        <v>4.6920567893583778</v>
      </c>
      <c r="AF27" s="1182">
        <v>40572447.400339015</v>
      </c>
      <c r="AG27" s="1183">
        <f>(AF27-AD27)/AD27*100</f>
        <v>4.2317315247814857</v>
      </c>
      <c r="AH27" s="1182">
        <v>41937453.75569202</v>
      </c>
      <c r="AI27" s="1183">
        <f>(AH27-AF27)/AF27*100</f>
        <v>3.3643677983832929</v>
      </c>
      <c r="AJ27" s="1184">
        <f>+'10.4-a İL DAĞILIM'!AH97</f>
        <v>42136087.976781361</v>
      </c>
      <c r="AK27" s="1120" t="s">
        <v>691</v>
      </c>
      <c r="AM27" s="1185"/>
    </row>
    <row r="28" spans="1:39" s="4" customFormat="1" ht="16.5" customHeight="1">
      <c r="A28" s="212" t="s">
        <v>947</v>
      </c>
      <c r="B28" s="1189" t="s">
        <v>948</v>
      </c>
      <c r="C28" s="212"/>
      <c r="D28" s="212"/>
      <c r="E28" s="212"/>
      <c r="F28" s="212"/>
      <c r="G28" s="212"/>
      <c r="H28" s="212"/>
      <c r="I28" s="213"/>
      <c r="J28" s="213"/>
      <c r="K28" s="213"/>
      <c r="T28" s="214"/>
      <c r="V28" s="214" t="s">
        <v>729</v>
      </c>
      <c r="X28" s="214"/>
      <c r="AD28" s="341"/>
      <c r="AF28" s="341"/>
      <c r="AH28" s="341"/>
      <c r="AJ28" s="341"/>
    </row>
    <row r="29" spans="1:39" s="92" customFormat="1" ht="38.25" customHeight="1">
      <c r="A29" s="1755" t="s">
        <v>1269</v>
      </c>
      <c r="B29" s="1755"/>
      <c r="C29" s="1755"/>
      <c r="D29" s="1755"/>
      <c r="E29" s="1755"/>
      <c r="F29" s="1755"/>
      <c r="G29" s="1755"/>
      <c r="H29" s="1755"/>
      <c r="I29" s="1755"/>
      <c r="J29" s="1755"/>
      <c r="K29" s="1755"/>
      <c r="L29" s="1755"/>
      <c r="M29" s="1755"/>
      <c r="N29" s="1755"/>
      <c r="O29" s="1755"/>
      <c r="P29" s="1755"/>
      <c r="Q29" s="1755"/>
      <c r="R29" s="1755"/>
      <c r="S29" s="1755"/>
      <c r="T29" s="1755"/>
      <c r="U29" s="1755"/>
      <c r="V29" s="1755"/>
      <c r="W29" s="1755"/>
      <c r="X29" s="1755"/>
      <c r="Y29" s="1755"/>
      <c r="Z29" s="1755"/>
      <c r="AA29" s="1755"/>
      <c r="AB29" s="1755"/>
      <c r="AC29" s="1755"/>
      <c r="AD29" s="1755"/>
      <c r="AE29" s="1714"/>
      <c r="AF29" s="1714"/>
      <c r="AG29" s="1714"/>
      <c r="AH29" s="1714"/>
      <c r="AI29" s="1714"/>
      <c r="AJ29" s="1714"/>
    </row>
    <row r="30" spans="1:39" ht="34.5" customHeight="1">
      <c r="A30" s="1755" t="s">
        <v>1237</v>
      </c>
      <c r="B30" s="1755"/>
      <c r="C30" s="1755"/>
      <c r="D30" s="1755"/>
      <c r="E30" s="1755"/>
      <c r="F30" s="1755"/>
      <c r="G30" s="1755"/>
      <c r="H30" s="1755"/>
      <c r="I30" s="1755"/>
      <c r="J30" s="1755"/>
      <c r="K30" s="1755"/>
      <c r="L30" s="1755"/>
      <c r="M30" s="1755"/>
      <c r="N30" s="1755"/>
      <c r="O30" s="1755"/>
      <c r="P30" s="1755"/>
      <c r="Q30" s="1755"/>
      <c r="R30" s="1755"/>
      <c r="S30" s="1755"/>
      <c r="T30" s="1755"/>
      <c r="U30" s="1755"/>
      <c r="V30" s="1755"/>
      <c r="W30" s="1755"/>
      <c r="X30" s="1755"/>
      <c r="Y30" s="1755"/>
      <c r="Z30" s="1755"/>
      <c r="AA30" s="1755"/>
      <c r="AB30" s="1755"/>
      <c r="AC30" s="1755"/>
      <c r="AD30" s="1755"/>
      <c r="AE30" s="1186"/>
      <c r="AF30" s="1130"/>
      <c r="AG30" s="1186"/>
      <c r="AH30" s="1130"/>
      <c r="AI30" s="1186"/>
      <c r="AJ30" s="1130"/>
    </row>
    <row r="31" spans="1:39">
      <c r="V31" s="195" t="s">
        <v>729</v>
      </c>
      <c r="W31" s="1130" t="s">
        <v>729</v>
      </c>
      <c r="AD31" s="1130" t="s">
        <v>729</v>
      </c>
      <c r="AF31" s="1130" t="s">
        <v>729</v>
      </c>
      <c r="AH31" s="1130" t="s">
        <v>729</v>
      </c>
      <c r="AJ31" s="1130" t="s">
        <v>729</v>
      </c>
    </row>
    <row r="32" spans="1:39">
      <c r="V32" s="1130" t="s">
        <v>729</v>
      </c>
      <c r="AD32" s="195" t="s">
        <v>729</v>
      </c>
      <c r="AF32" s="195" t="s">
        <v>729</v>
      </c>
      <c r="AH32" s="195" t="s">
        <v>729</v>
      </c>
      <c r="AJ32" s="195" t="s">
        <v>729</v>
      </c>
    </row>
    <row r="33" spans="1:36">
      <c r="V33" s="1130"/>
      <c r="AD33" s="1130"/>
      <c r="AF33" s="1130"/>
      <c r="AH33" s="1130"/>
      <c r="AJ33" s="1130"/>
    </row>
    <row r="39" spans="1:36">
      <c r="AD39" s="1130"/>
      <c r="AF39" s="1130"/>
      <c r="AH39" s="1130"/>
      <c r="AJ39" s="1130"/>
    </row>
    <row r="40" spans="1:36">
      <c r="AD40" s="1130"/>
      <c r="AF40" s="1130"/>
      <c r="AH40" s="1130"/>
      <c r="AJ40" s="1130"/>
    </row>
    <row r="42" spans="1:36">
      <c r="AD42" s="1130"/>
      <c r="AF42" s="1130"/>
      <c r="AH42" s="1130"/>
      <c r="AJ42" s="1130"/>
    </row>
    <row r="43" spans="1:36">
      <c r="A43" s="1773" t="s">
        <v>729</v>
      </c>
      <c r="B43" s="1773"/>
      <c r="C43" s="1773"/>
      <c r="D43" s="1773"/>
      <c r="E43" s="1773"/>
      <c r="F43" s="1773"/>
      <c r="G43" s="1773"/>
      <c r="H43" s="1773"/>
      <c r="I43" s="1773"/>
      <c r="J43" s="1773"/>
    </row>
    <row r="45" spans="1:36">
      <c r="C45" s="195" t="s">
        <v>729</v>
      </c>
    </row>
    <row r="46" spans="1:36">
      <c r="C46" s="1187"/>
    </row>
    <row r="47" spans="1:36">
      <c r="C47" s="1187"/>
    </row>
    <row r="48" spans="1:36">
      <c r="C48" s="1187"/>
    </row>
    <row r="49" spans="3:3">
      <c r="C49" s="1188"/>
    </row>
  </sheetData>
  <mergeCells count="7">
    <mergeCell ref="A43:J43"/>
    <mergeCell ref="A6:B6"/>
    <mergeCell ref="A1:W1"/>
    <mergeCell ref="A2:M2"/>
    <mergeCell ref="A29:AD29"/>
    <mergeCell ref="A4:AJ4"/>
    <mergeCell ref="A30:AD30"/>
  </mergeCells>
  <phoneticPr fontId="7" type="noConversion"/>
  <pageMargins left="0.19685039370078741" right="0.23622047244094491" top="0" bottom="0" header="0" footer="0"/>
  <pageSetup paperSize="9" scale="38" orientation="landscape" r:id="rId1"/>
  <headerFooter alignWithMargins="0"/>
  <rowBreaks count="1" manualBreakCount="1">
    <brk id="41" min="1" max="9" man="1"/>
  </rowBreaks>
  <ignoredErrors>
    <ignoredError sqref="J8 L8 N8:W8 J16:T16 J17:T17 J27:U27"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ayfa12">
    <tabColor theme="3" tint="0.59999389629810485"/>
  </sheetPr>
  <dimension ref="A1:AH61"/>
  <sheetViews>
    <sheetView showGridLines="0" zoomScaleNormal="100" zoomScaleSheetLayoutView="100" workbookViewId="0">
      <selection activeCell="A3" sqref="A3:AG3"/>
    </sheetView>
  </sheetViews>
  <sheetFormatPr defaultRowHeight="15"/>
  <cols>
    <col min="1" max="1" width="46.7109375" style="195" customWidth="1"/>
    <col min="2" max="5" width="13.7109375" style="195" hidden="1" customWidth="1"/>
    <col min="6" max="6" width="10" style="195" hidden="1" customWidth="1"/>
    <col min="7" max="7" width="12.85546875" style="195" customWidth="1"/>
    <col min="8" max="8" width="9.5703125" style="195" customWidth="1"/>
    <col min="9" max="9" width="14.42578125" style="195" customWidth="1"/>
    <col min="10" max="10" width="9.5703125" style="195" customWidth="1"/>
    <col min="11" max="11" width="13.85546875" style="195" customWidth="1"/>
    <col min="12" max="12" width="9.140625" style="195" customWidth="1"/>
    <col min="13" max="13" width="13.140625" style="195" customWidth="1"/>
    <col min="14" max="14" width="10.5703125" style="195" customWidth="1"/>
    <col min="15" max="15" width="12.85546875" style="195" customWidth="1"/>
    <col min="16" max="16" width="10.140625" style="195" customWidth="1"/>
    <col min="17" max="17" width="13.28515625" style="195" customWidth="1"/>
    <col min="18" max="18" width="13.7109375" style="195" customWidth="1"/>
    <col min="19" max="19" width="13.28515625" style="195" customWidth="1"/>
    <col min="20" max="20" width="10" style="195" customWidth="1"/>
    <col min="21" max="21" width="15.85546875" style="195" customWidth="1"/>
    <col min="22" max="22" width="9" style="195" customWidth="1"/>
    <col min="23" max="23" width="13.7109375" style="195" customWidth="1"/>
    <col min="24" max="24" width="9.7109375" style="195" customWidth="1"/>
    <col min="25" max="25" width="13.7109375" style="195" customWidth="1"/>
    <col min="26" max="26" width="9" style="195" customWidth="1"/>
    <col min="27" max="27" width="13.5703125" style="195" customWidth="1"/>
    <col min="28" max="28" width="9" style="195" customWidth="1"/>
    <col min="29" max="29" width="15" style="195" customWidth="1"/>
    <col min="30" max="30" width="9" style="195" customWidth="1"/>
    <col min="31" max="31" width="14.28515625" style="195" customWidth="1"/>
    <col min="32" max="32" width="9" style="195" customWidth="1"/>
    <col min="33" max="33" width="14.28515625" style="195" customWidth="1"/>
    <col min="34" max="16384" width="9.140625" style="195"/>
  </cols>
  <sheetData>
    <row r="1" spans="1:34" ht="15.75">
      <c r="A1" s="1190" t="s">
        <v>287</v>
      </c>
      <c r="B1" s="1190"/>
      <c r="C1" s="1190"/>
      <c r="D1" s="1190"/>
      <c r="E1" s="1190"/>
      <c r="F1" s="1190"/>
      <c r="G1" s="1190"/>
      <c r="H1" s="1190"/>
      <c r="I1" s="1190"/>
      <c r="J1" s="1190"/>
      <c r="K1" s="1190"/>
      <c r="L1" s="1190"/>
      <c r="M1" s="1190"/>
      <c r="N1" s="1190"/>
      <c r="O1" s="1190"/>
      <c r="P1" s="1190"/>
      <c r="Q1" s="1190"/>
      <c r="R1" s="1190"/>
      <c r="S1" s="1190"/>
      <c r="T1" s="1190"/>
      <c r="U1" s="1190"/>
      <c r="V1" s="1190"/>
      <c r="W1" s="1190"/>
      <c r="X1" s="1190"/>
      <c r="Y1" s="1190"/>
      <c r="Z1" s="1190"/>
      <c r="AB1" s="1190"/>
      <c r="AD1" s="1190"/>
      <c r="AF1" s="1190"/>
    </row>
    <row r="2" spans="1:34" ht="15" customHeight="1" thickBot="1">
      <c r="A2" s="1783" t="s">
        <v>288</v>
      </c>
      <c r="B2" s="1783"/>
      <c r="C2" s="1783"/>
      <c r="D2" s="1783"/>
      <c r="E2" s="1783"/>
      <c r="F2" s="1783"/>
      <c r="G2" s="1783"/>
      <c r="H2" s="1783"/>
      <c r="I2" s="1783"/>
      <c r="J2" s="1783"/>
      <c r="K2" s="1783"/>
      <c r="L2" s="1191"/>
      <c r="M2" s="1191"/>
      <c r="N2" s="1191"/>
      <c r="O2" s="1191"/>
      <c r="P2" s="1191"/>
      <c r="Q2" s="1191"/>
      <c r="R2" s="1191"/>
      <c r="S2" s="1191"/>
      <c r="T2" s="1191"/>
      <c r="U2" s="1191"/>
      <c r="V2" s="1191"/>
      <c r="W2" s="1191"/>
      <c r="X2" s="1191"/>
      <c r="Y2" s="1191"/>
      <c r="Z2" s="1191"/>
      <c r="AB2" s="1191"/>
      <c r="AD2" s="1191"/>
      <c r="AF2" s="1191"/>
    </row>
    <row r="3" spans="1:34" ht="36" customHeight="1" thickBot="1">
      <c r="A3" s="1784" t="s">
        <v>1185</v>
      </c>
      <c r="B3" s="1785"/>
      <c r="C3" s="1785"/>
      <c r="D3" s="1785"/>
      <c r="E3" s="1785"/>
      <c r="F3" s="1785"/>
      <c r="G3" s="1785"/>
      <c r="H3" s="1785"/>
      <c r="I3" s="1785"/>
      <c r="J3" s="1785"/>
      <c r="K3" s="1785"/>
      <c r="L3" s="1785"/>
      <c r="M3" s="1785"/>
      <c r="N3" s="1785"/>
      <c r="O3" s="1785"/>
      <c r="P3" s="1785"/>
      <c r="Q3" s="1785"/>
      <c r="R3" s="1785"/>
      <c r="S3" s="1785"/>
      <c r="T3" s="1785"/>
      <c r="U3" s="1785"/>
      <c r="V3" s="1785"/>
      <c r="W3" s="1785"/>
      <c r="X3" s="1785"/>
      <c r="Y3" s="1785"/>
      <c r="Z3" s="1785"/>
      <c r="AA3" s="1785"/>
      <c r="AB3" s="1785"/>
      <c r="AC3" s="1785"/>
      <c r="AD3" s="1785"/>
      <c r="AE3" s="1785"/>
      <c r="AF3" s="1785"/>
      <c r="AG3" s="1786"/>
    </row>
    <row r="4" spans="1:34" ht="31.5">
      <c r="A4" s="1192" t="s">
        <v>1186</v>
      </c>
      <c r="B4" s="1193">
        <v>2001</v>
      </c>
      <c r="C4" s="1193">
        <v>2002</v>
      </c>
      <c r="D4" s="1194" t="s">
        <v>56</v>
      </c>
      <c r="E4" s="1193">
        <v>2003</v>
      </c>
      <c r="F4" s="1194" t="s">
        <v>56</v>
      </c>
      <c r="G4" s="1193">
        <v>2004</v>
      </c>
      <c r="H4" s="1194" t="s">
        <v>56</v>
      </c>
      <c r="I4" s="1193">
        <v>2005</v>
      </c>
      <c r="J4" s="1194" t="s">
        <v>56</v>
      </c>
      <c r="K4" s="1193">
        <v>2006</v>
      </c>
      <c r="L4" s="1194" t="s">
        <v>56</v>
      </c>
      <c r="M4" s="1193">
        <v>2007</v>
      </c>
      <c r="N4" s="1194" t="s">
        <v>56</v>
      </c>
      <c r="O4" s="1193">
        <v>2008</v>
      </c>
      <c r="P4" s="1194" t="s">
        <v>56</v>
      </c>
      <c r="Q4" s="1193">
        <v>2009</v>
      </c>
      <c r="R4" s="1194" t="s">
        <v>56</v>
      </c>
      <c r="S4" s="1194">
        <v>2010</v>
      </c>
      <c r="T4" s="1194" t="s">
        <v>56</v>
      </c>
      <c r="U4" s="1194">
        <v>2011</v>
      </c>
      <c r="V4" s="1194" t="s">
        <v>56</v>
      </c>
      <c r="W4" s="1194">
        <v>2012</v>
      </c>
      <c r="X4" s="1194" t="s">
        <v>56</v>
      </c>
      <c r="Y4" s="1194">
        <v>2013</v>
      </c>
      <c r="Z4" s="1194" t="s">
        <v>56</v>
      </c>
      <c r="AA4" s="1194">
        <f>+'7.4-a Sigortalı Sayıları'!AD6</f>
        <v>2014</v>
      </c>
      <c r="AB4" s="1194" t="s">
        <v>56</v>
      </c>
      <c r="AC4" s="1194">
        <v>2015</v>
      </c>
      <c r="AD4" s="1194" t="s">
        <v>56</v>
      </c>
      <c r="AE4" s="1194" t="s">
        <v>1151</v>
      </c>
      <c r="AF4" s="1195" t="s">
        <v>56</v>
      </c>
      <c r="AG4" s="1196" t="s">
        <v>1169</v>
      </c>
    </row>
    <row r="5" spans="1:34" ht="15.75">
      <c r="A5" s="1197" t="s">
        <v>132</v>
      </c>
      <c r="B5" s="1140">
        <v>3336655</v>
      </c>
      <c r="C5" s="1140">
        <v>3321332</v>
      </c>
      <c r="D5" s="1198">
        <f>(C5-B5)/B5*100</f>
        <v>-0.45923237493837388</v>
      </c>
      <c r="E5" s="1140">
        <f>E24+E42</f>
        <v>3383849</v>
      </c>
      <c r="F5" s="1198">
        <f>(E5-C5)/C5*100</f>
        <v>1.8822869860646272</v>
      </c>
      <c r="G5" s="1140">
        <f>G24+G42</f>
        <v>3448549</v>
      </c>
      <c r="H5" s="1141">
        <f>(G5-E5)/E5*100</f>
        <v>1.9120238521281534</v>
      </c>
      <c r="I5" s="1140">
        <f>I24+I42</f>
        <v>3354372</v>
      </c>
      <c r="J5" s="1141">
        <f>(I5-G5)/G5*100</f>
        <v>-2.7309166840894532</v>
      </c>
      <c r="K5" s="1140">
        <f>K24+K42</f>
        <v>3375629</v>
      </c>
      <c r="L5" s="1141">
        <f>(K5-I5)/I5*100</f>
        <v>0.63371027423315007</v>
      </c>
      <c r="M5" s="1140">
        <f>M24+M42</f>
        <v>3376300</v>
      </c>
      <c r="N5" s="1141">
        <f>(M5-K5)/K5*100</f>
        <v>1.9877776852847275E-2</v>
      </c>
      <c r="O5" s="1140">
        <f>O24+O42</f>
        <v>3260719</v>
      </c>
      <c r="P5" s="1141">
        <f>(O5-M5)/M5*100</f>
        <v>-3.4233036163847999</v>
      </c>
      <c r="Q5" s="1140">
        <f>Q24+Q42</f>
        <v>3236872</v>
      </c>
      <c r="R5" s="1141">
        <f>(Q5-O5)/O5*100</f>
        <v>-0.73134176848725696</v>
      </c>
      <c r="S5" s="1140">
        <f>S24+S42</f>
        <v>3337858</v>
      </c>
      <c r="T5" s="1141">
        <f>(S5-Q5)/Q5*100</f>
        <v>3.1198638685743521</v>
      </c>
      <c r="U5" s="1140">
        <v>3273297.1964713852</v>
      </c>
      <c r="V5" s="1141">
        <f>(U5-S5)/S5*100</f>
        <v>-1.9341986246453506</v>
      </c>
      <c r="W5" s="1199">
        <f>W24+W42</f>
        <v>3162914</v>
      </c>
      <c r="X5" s="1141">
        <f>(W5-U5)/U5*100</f>
        <v>-3.372232640237443</v>
      </c>
      <c r="Y5" s="1199">
        <v>2927250</v>
      </c>
      <c r="Z5" s="1141">
        <f>(Y5-W5)/W5*100</f>
        <v>-7.4508507028645106</v>
      </c>
      <c r="AA5" s="1199">
        <f>AA24+AA42</f>
        <v>2943837</v>
      </c>
      <c r="AB5" s="1141">
        <f>(AA5-Y5)/Y5*100</f>
        <v>0.56664104534973092</v>
      </c>
      <c r="AC5" s="1199">
        <f>AC24+AC42</f>
        <v>2938034</v>
      </c>
      <c r="AD5" s="1141">
        <f>(AC5-AA5)/AA5*100</f>
        <v>-0.19712368585624815</v>
      </c>
      <c r="AE5" s="1142">
        <v>2794132</v>
      </c>
      <c r="AF5" s="1141">
        <f>(AE5-AC5)/AC5*100</f>
        <v>-4.8979011134656716</v>
      </c>
      <c r="AG5" s="1144">
        <f>AG24+AG42</f>
        <v>2849954</v>
      </c>
      <c r="AH5" s="1130" t="s">
        <v>729</v>
      </c>
    </row>
    <row r="6" spans="1:34" ht="26.25" customHeight="1">
      <c r="A6" s="1200" t="s">
        <v>698</v>
      </c>
      <c r="B6" s="1148">
        <v>2167511</v>
      </c>
      <c r="C6" s="1148">
        <v>2163850</v>
      </c>
      <c r="D6" s="1201">
        <f t="shared" ref="D6:D57" si="0">(C6-B6)/B6*100</f>
        <v>-0.16890341040945123</v>
      </c>
      <c r="E6" s="1148">
        <f t="shared" ref="E6:K6" si="1">+E27</f>
        <v>2245732</v>
      </c>
      <c r="F6" s="1201">
        <f>(E6-C6)/C6*100</f>
        <v>3.7840885458788733</v>
      </c>
      <c r="G6" s="1148">
        <f t="shared" si="1"/>
        <v>2187137</v>
      </c>
      <c r="H6" s="1149">
        <f>(G6-E6)/E6*100</f>
        <v>-2.6091715307080277</v>
      </c>
      <c r="I6" s="1148">
        <f t="shared" si="1"/>
        <v>2081713</v>
      </c>
      <c r="J6" s="1149">
        <f>(I6-G6)/G6*100</f>
        <v>-4.8201827320373622</v>
      </c>
      <c r="K6" s="1148">
        <f t="shared" si="1"/>
        <v>2062689</v>
      </c>
      <c r="L6" s="1149">
        <f>(K6-I6)/I6*100</f>
        <v>-0.91386276590481008</v>
      </c>
      <c r="M6" s="1148">
        <f>+M27</f>
        <v>2034842</v>
      </c>
      <c r="N6" s="1149">
        <f>(M6-K6)/K6*100</f>
        <v>-1.3500338635635327</v>
      </c>
      <c r="O6" s="1148">
        <f>+O27</f>
        <v>1883836</v>
      </c>
      <c r="P6" s="1149">
        <f>(O6-M6)/M6*100</f>
        <v>-7.4210184377951709</v>
      </c>
      <c r="Q6" s="1148">
        <f>+Q27</f>
        <v>1816933</v>
      </c>
      <c r="R6" s="1149">
        <f>(Q6-O6)/O6*100</f>
        <v>-3.5514237969759574</v>
      </c>
      <c r="S6" s="1148">
        <f>+S27</f>
        <v>1847844</v>
      </c>
      <c r="T6" s="1149">
        <f>(S6-Q6)/Q6*100</f>
        <v>1.7012735197170177</v>
      </c>
      <c r="U6" s="1148">
        <v>1868181</v>
      </c>
      <c r="V6" s="1149">
        <f>(U6-S6)/S6*100</f>
        <v>1.1005799190840786</v>
      </c>
      <c r="W6" s="1148">
        <v>1899053</v>
      </c>
      <c r="X6" s="1149">
        <f>(W6-U6)/U6*100</f>
        <v>1.6525165388150291</v>
      </c>
      <c r="Y6" s="1150">
        <v>1821939</v>
      </c>
      <c r="Z6" s="1149">
        <f>(Y6-W6)/W6*100</f>
        <v>-4.0606554951336271</v>
      </c>
      <c r="AA6" s="1150">
        <v>1947718</v>
      </c>
      <c r="AB6" s="1149">
        <f>(AA6-Y6)/Y6*100</f>
        <v>6.9035790989709316</v>
      </c>
      <c r="AC6" s="1150">
        <v>2021157</v>
      </c>
      <c r="AD6" s="1149">
        <f>(AC6-AA6)/AA6*100</f>
        <v>3.7705150334904745</v>
      </c>
      <c r="AE6" s="1150">
        <v>1969805</v>
      </c>
      <c r="AF6" s="1149">
        <f>(AE6-AC6)/AC6*100</f>
        <v>-2.5407229621449496</v>
      </c>
      <c r="AG6" s="1153">
        <f>+AG27</f>
        <v>2015579</v>
      </c>
      <c r="AH6" s="1130"/>
    </row>
    <row r="7" spans="1:34" ht="26.25" customHeight="1">
      <c r="A7" s="1200" t="s">
        <v>65</v>
      </c>
      <c r="B7" s="1148">
        <v>889149</v>
      </c>
      <c r="C7" s="1148">
        <v>890976</v>
      </c>
      <c r="D7" s="1201">
        <f t="shared" si="0"/>
        <v>0.2054773721839647</v>
      </c>
      <c r="E7" s="1148">
        <f>+E44</f>
        <v>923234</v>
      </c>
      <c r="F7" s="1201">
        <f>(E7-C7)/C7*100</f>
        <v>3.6205240096253997</v>
      </c>
      <c r="G7" s="1148">
        <f>+G44</f>
        <v>997937</v>
      </c>
      <c r="H7" s="1149">
        <f>(G7-E7)/E7*100</f>
        <v>8.0914481052474247</v>
      </c>
      <c r="I7" s="1148">
        <f>+I44</f>
        <v>1011333</v>
      </c>
      <c r="J7" s="1149">
        <f>(I7-G7)/G7*100</f>
        <v>1.342369307882161</v>
      </c>
      <c r="K7" s="1148">
        <f>+K44</f>
        <v>1049206</v>
      </c>
      <c r="L7" s="1149">
        <f>(K7-I7)/I7*100</f>
        <v>3.7448595072048474</v>
      </c>
      <c r="M7" s="1148">
        <f>+M44</f>
        <v>1079785</v>
      </c>
      <c r="N7" s="1149">
        <f>(M7-K7)/K7*100</f>
        <v>2.914489623582023</v>
      </c>
      <c r="O7" s="1148">
        <f>+O44</f>
        <v>1127744</v>
      </c>
      <c r="P7" s="1149">
        <f>(O7-M7)/M7*100</f>
        <v>4.4415323420866191</v>
      </c>
      <c r="Q7" s="1148">
        <f>+Q44</f>
        <v>1014948</v>
      </c>
      <c r="R7" s="1149">
        <f>(Q7-O7)/O7*100</f>
        <v>-10.001915328301457</v>
      </c>
      <c r="S7" s="1148">
        <f>+S44</f>
        <v>1101131</v>
      </c>
      <c r="T7" s="1149">
        <f>(S7-Q7)/Q7*100</f>
        <v>8.4913709864938891</v>
      </c>
      <c r="U7" s="1148">
        <v>1121777</v>
      </c>
      <c r="V7" s="1149">
        <f>(U7-S7)/S7*100</f>
        <v>1.8749812692586076</v>
      </c>
      <c r="W7" s="1148">
        <v>1056852</v>
      </c>
      <c r="X7" s="1149">
        <f>(W7-U7)/U7*100</f>
        <v>-5.7876922062049765</v>
      </c>
      <c r="Y7" s="1150">
        <v>928454</v>
      </c>
      <c r="Z7" s="1149">
        <f>(Y7-W7)/W7*100</f>
        <v>-12.149099400862182</v>
      </c>
      <c r="AA7" s="1150">
        <v>864468</v>
      </c>
      <c r="AB7" s="1149">
        <f>(AA7-Y7)/Y7*100</f>
        <v>-6.8916715313844303</v>
      </c>
      <c r="AC7" s="1150">
        <v>797334</v>
      </c>
      <c r="AD7" s="1149">
        <f>(AC7-AA7)/AA7*100</f>
        <v>-7.765932342203528</v>
      </c>
      <c r="AE7" s="1150">
        <v>717876</v>
      </c>
      <c r="AF7" s="1149">
        <f>(AE7-AC7)/AC7*100</f>
        <v>-9.9654598951004214</v>
      </c>
      <c r="AG7" s="1153">
        <f>+AG44</f>
        <v>728918</v>
      </c>
    </row>
    <row r="8" spans="1:34" ht="26.25" customHeight="1">
      <c r="A8" s="1200" t="s">
        <v>699</v>
      </c>
      <c r="B8" s="1148">
        <v>30689</v>
      </c>
      <c r="C8" s="1148">
        <v>28705</v>
      </c>
      <c r="D8" s="1201">
        <f t="shared" si="0"/>
        <v>-6.4648571149271721</v>
      </c>
      <c r="E8" s="1148">
        <f>+E25</f>
        <v>23239</v>
      </c>
      <c r="F8" s="1201">
        <f>(E8-C8)/C8*100</f>
        <v>-19.041978749346804</v>
      </c>
      <c r="G8" s="1148">
        <f>+G25</f>
        <v>25162</v>
      </c>
      <c r="H8" s="1149">
        <f>(G8-E8)/E8*100</f>
        <v>8.2748827402211802</v>
      </c>
      <c r="I8" s="1148">
        <f>+I25</f>
        <v>21938</v>
      </c>
      <c r="J8" s="1149">
        <f>(I8-G8)/G8*100</f>
        <v>-12.812971941817025</v>
      </c>
      <c r="K8" s="1148">
        <f>+K25</f>
        <v>19629</v>
      </c>
      <c r="L8" s="1149">
        <f>(K8-I8)/I8*100</f>
        <v>-10.525116236666971</v>
      </c>
      <c r="M8" s="1148">
        <f>+M25</f>
        <v>17742</v>
      </c>
      <c r="N8" s="1149">
        <f>(M8-K8)/K8*100</f>
        <v>-9.6133272199296957</v>
      </c>
      <c r="O8" s="1148">
        <f>+O25</f>
        <v>14070</v>
      </c>
      <c r="P8" s="1149">
        <f>(O8-M8)/M8*100</f>
        <v>-20.696652012174503</v>
      </c>
      <c r="Q8" s="1148">
        <f>+Q25</f>
        <v>15200</v>
      </c>
      <c r="R8" s="1149">
        <f>(Q8-O8)/O8*100</f>
        <v>8.031272210376688</v>
      </c>
      <c r="S8" s="1148">
        <f>+S25</f>
        <v>14348</v>
      </c>
      <c r="T8" s="1149">
        <f>(S8-Q8)/Q8*100</f>
        <v>-5.6052631578947372</v>
      </c>
      <c r="U8" s="1148">
        <v>12559</v>
      </c>
      <c r="V8" s="1149">
        <f>(U8-S8)/S8*100</f>
        <v>-12.468636743797044</v>
      </c>
      <c r="W8" s="1148">
        <v>11452</v>
      </c>
      <c r="X8" s="1149">
        <f>(W8-U8)/U8*100</f>
        <v>-8.8143960506409744</v>
      </c>
      <c r="Y8" s="1150">
        <v>10524</v>
      </c>
      <c r="Z8" s="1149">
        <f>(Y8-W8)/W8*100</f>
        <v>-8.103388054488299</v>
      </c>
      <c r="AA8" s="1150">
        <v>15447</v>
      </c>
      <c r="AB8" s="1149">
        <f>(AA8-Y8)/Y8*100</f>
        <v>46.778791334093498</v>
      </c>
      <c r="AC8" s="1150">
        <v>14544</v>
      </c>
      <c r="AD8" s="1149">
        <f>(AC8-AA8)/AA8*100</f>
        <v>-5.8457953000582634</v>
      </c>
      <c r="AE8" s="1150">
        <v>13856</v>
      </c>
      <c r="AF8" s="1149">
        <f>(AE8-AC8)/AC8*100</f>
        <v>-4.7304730473047307</v>
      </c>
      <c r="AG8" s="1153">
        <f>+AG25</f>
        <v>15592</v>
      </c>
    </row>
    <row r="9" spans="1:34" ht="26.25" customHeight="1">
      <c r="A9" s="1200" t="s">
        <v>604</v>
      </c>
      <c r="B9" s="1148">
        <v>249306</v>
      </c>
      <c r="C9" s="1148">
        <v>237801</v>
      </c>
      <c r="D9" s="1201">
        <f t="shared" si="0"/>
        <v>-4.6148107145435731</v>
      </c>
      <c r="E9" s="1148">
        <f>+E26+E43</f>
        <v>191644</v>
      </c>
      <c r="F9" s="1201">
        <f>(E9-C9)/C9*100</f>
        <v>-19.409926787524022</v>
      </c>
      <c r="G9" s="1148">
        <f>+G26+G43</f>
        <v>238313</v>
      </c>
      <c r="H9" s="1149">
        <f>(G9-E9)/E9*100</f>
        <v>24.351923357892762</v>
      </c>
      <c r="I9" s="1148">
        <f>+I26+I43</f>
        <v>239388</v>
      </c>
      <c r="J9" s="1149">
        <f>(I9-G9)/G9*100</f>
        <v>0.45108743543155427</v>
      </c>
      <c r="K9" s="1148">
        <f>+K26+K43</f>
        <v>244105</v>
      </c>
      <c r="L9" s="1149">
        <f>(K9-I9)/I9*100</f>
        <v>1.9704412919611676</v>
      </c>
      <c r="M9" s="1148">
        <f>+M26+M43</f>
        <v>243931</v>
      </c>
      <c r="N9" s="1149">
        <f>(M9-K9)/K9*100</f>
        <v>-7.1280801294524895E-2</v>
      </c>
      <c r="O9" s="1148">
        <f>+O26+O43</f>
        <v>235069</v>
      </c>
      <c r="P9" s="1149">
        <f>(O9-M9)/M9*100</f>
        <v>-3.6329945763351112</v>
      </c>
      <c r="Q9" s="1148">
        <f>+Q26+Q43</f>
        <v>389791</v>
      </c>
      <c r="R9" s="1149">
        <f>(Q9-O9)/O9*100</f>
        <v>65.819823115766013</v>
      </c>
      <c r="S9" s="1148">
        <f>+S26+S43</f>
        <v>374535</v>
      </c>
      <c r="T9" s="1149">
        <f>(S9-Q9)/Q9*100</f>
        <v>-3.9138923166517445</v>
      </c>
      <c r="U9" s="1148">
        <v>270780.19647138508</v>
      </c>
      <c r="V9" s="1149">
        <f>(U9-S9)/S9*100</f>
        <v>-27.702298457718218</v>
      </c>
      <c r="W9" s="1148">
        <v>195557</v>
      </c>
      <c r="X9" s="1149">
        <f>(W9-U9)/U9*100</f>
        <v>-27.780169100857549</v>
      </c>
      <c r="Y9" s="1150">
        <v>166333</v>
      </c>
      <c r="Z9" s="1149">
        <f>(Y9-W9)/W9*100</f>
        <v>-14.943980527416558</v>
      </c>
      <c r="AA9" s="1150">
        <v>116204</v>
      </c>
      <c r="AB9" s="1149">
        <f>(AA9-Y9)/Y9*100</f>
        <v>-30.137735746965426</v>
      </c>
      <c r="AC9" s="1150">
        <v>104999</v>
      </c>
      <c r="AD9" s="1149">
        <f>(AC9-AA9)/AA9*100</f>
        <v>-9.6425252142783382</v>
      </c>
      <c r="AE9" s="1150">
        <v>92595</v>
      </c>
      <c r="AF9" s="1149">
        <f>(AE9-AC9)/AC9*100</f>
        <v>-11.813445842341356</v>
      </c>
      <c r="AG9" s="1153">
        <f>+AG26+AG43</f>
        <v>89865</v>
      </c>
    </row>
    <row r="10" spans="1:34" ht="21.75" customHeight="1">
      <c r="A10" s="1160" t="s">
        <v>396</v>
      </c>
      <c r="B10" s="1148"/>
      <c r="C10" s="1148"/>
      <c r="D10" s="1201"/>
      <c r="E10" s="1148"/>
      <c r="F10" s="1201"/>
      <c r="G10" s="1148"/>
      <c r="H10" s="1149"/>
      <c r="I10" s="1148"/>
      <c r="J10" s="1149"/>
      <c r="K10" s="1148"/>
      <c r="L10" s="1149"/>
      <c r="M10" s="1148"/>
      <c r="N10" s="1148" t="s">
        <v>729</v>
      </c>
      <c r="O10" s="1148"/>
      <c r="P10" s="1148" t="s">
        <v>729</v>
      </c>
      <c r="Q10" s="1148"/>
      <c r="R10" s="1148"/>
      <c r="S10" s="1148"/>
      <c r="T10" s="1148"/>
      <c r="U10" s="1148"/>
      <c r="V10" s="1148"/>
      <c r="W10" s="1148"/>
      <c r="X10" s="1148"/>
      <c r="Y10" s="1150"/>
      <c r="Z10" s="1148"/>
      <c r="AA10" s="1150"/>
      <c r="AB10" s="1148"/>
      <c r="AC10" s="1150"/>
      <c r="AD10" s="1148"/>
      <c r="AE10" s="1150"/>
      <c r="AF10" s="1148"/>
      <c r="AG10" s="1153"/>
    </row>
    <row r="11" spans="1:34" ht="22.5" customHeight="1">
      <c r="A11" s="1177" t="s">
        <v>130</v>
      </c>
      <c r="B11" s="1164">
        <v>1171372</v>
      </c>
      <c r="C11" s="1164">
        <v>1225619</v>
      </c>
      <c r="D11" s="1201">
        <f t="shared" si="0"/>
        <v>4.6310651099736031</v>
      </c>
      <c r="E11" s="1164">
        <f t="shared" ref="E11:E16" si="2">E29+E46</f>
        <v>1279556</v>
      </c>
      <c r="F11" s="1201">
        <f t="shared" ref="F11:F16" si="3">(E11-C11)/C11*100</f>
        <v>4.4007966586679874</v>
      </c>
      <c r="G11" s="1164">
        <f t="shared" ref="G11:G16" si="4">G29+G46</f>
        <v>1349284</v>
      </c>
      <c r="H11" s="1149">
        <f t="shared" ref="H11:H20" si="5">(G11-E11)/E11*100</f>
        <v>5.449390257245482</v>
      </c>
      <c r="I11" s="1164">
        <f t="shared" ref="I11:I16" si="6">I29+I46</f>
        <v>1435587</v>
      </c>
      <c r="J11" s="1149">
        <f t="shared" ref="J11:J20" si="7">(I11-G11)/G11*100</f>
        <v>6.3962071735824324</v>
      </c>
      <c r="K11" s="1164">
        <f t="shared" ref="K11:K16" si="8">K29+K46</f>
        <v>1583997</v>
      </c>
      <c r="L11" s="1149">
        <f t="shared" ref="L11:L20" si="9">(K11-I11)/I11*100</f>
        <v>10.33793145243026</v>
      </c>
      <c r="M11" s="1164">
        <f t="shared" ref="M11:M16" si="10">M29+M46</f>
        <v>1650860</v>
      </c>
      <c r="N11" s="1149">
        <f t="shared" ref="N11:N16" si="11">(M11-K11)/K11*100</f>
        <v>4.221156984514491</v>
      </c>
      <c r="O11" s="1164">
        <f>O29+O46</f>
        <v>1795064</v>
      </c>
      <c r="P11" s="1149">
        <f t="shared" ref="P11:P16" si="12">(O11-M11)/M11*100</f>
        <v>8.735083532219571</v>
      </c>
      <c r="Q11" s="1164">
        <f>Q29+Q46</f>
        <v>1945571</v>
      </c>
      <c r="R11" s="1149">
        <f t="shared" ref="R11:R20" si="13">(Q11-O11)/O11*100</f>
        <v>8.3844921406701935</v>
      </c>
      <c r="S11" s="1164">
        <f>S29+S46</f>
        <v>2002277</v>
      </c>
      <c r="T11" s="1149">
        <f t="shared" ref="T11:T16" si="14">(S11-Q11)/Q11*100</f>
        <v>2.9146199239195076</v>
      </c>
      <c r="U11" s="1165">
        <f>U29+U46</f>
        <v>2177195</v>
      </c>
      <c r="V11" s="1149">
        <f t="shared" ref="V11:V16" si="15">(U11-S11)/S11*100</f>
        <v>8.7359541162386609</v>
      </c>
      <c r="W11" s="1165">
        <f>W29+W46</f>
        <v>2259401</v>
      </c>
      <c r="X11" s="1149">
        <f t="shared" ref="X11:X16" si="16">(W11-U11)/U11*100</f>
        <v>3.7757757114084871</v>
      </c>
      <c r="Y11" s="1165">
        <v>2249013</v>
      </c>
      <c r="Z11" s="1149">
        <f t="shared" ref="Z11:AF16" si="17">(Y11-W11)/W11*100</f>
        <v>-0.45976787653010692</v>
      </c>
      <c r="AA11" s="1202">
        <f>AA29+AA46</f>
        <v>2292768</v>
      </c>
      <c r="AB11" s="1149">
        <f t="shared" si="17"/>
        <v>1.9455201014845178</v>
      </c>
      <c r="AC11" s="1202">
        <f>AC29+AC46</f>
        <v>2501153</v>
      </c>
      <c r="AD11" s="1149">
        <f t="shared" si="17"/>
        <v>9.0887957263883656</v>
      </c>
      <c r="AE11" s="1165">
        <v>2402298</v>
      </c>
      <c r="AF11" s="1149">
        <f t="shared" si="17"/>
        <v>-3.9523771636521237</v>
      </c>
      <c r="AG11" s="1203">
        <f>AG29+AG46</f>
        <v>2412364</v>
      </c>
    </row>
    <row r="12" spans="1:34" ht="25.5" customHeight="1">
      <c r="A12" s="1177" t="s">
        <v>131</v>
      </c>
      <c r="B12" s="1164">
        <v>1343840</v>
      </c>
      <c r="C12" s="1164">
        <v>1393670</v>
      </c>
      <c r="D12" s="1201">
        <f t="shared" si="0"/>
        <v>3.708030717942612</v>
      </c>
      <c r="E12" s="1164">
        <f t="shared" si="2"/>
        <v>1445820</v>
      </c>
      <c r="F12" s="1201">
        <f t="shared" si="3"/>
        <v>3.7419188186586494</v>
      </c>
      <c r="G12" s="1164">
        <f t="shared" si="4"/>
        <v>1519190</v>
      </c>
      <c r="H12" s="1149">
        <f t="shared" si="5"/>
        <v>5.07462893029561</v>
      </c>
      <c r="I12" s="1164">
        <f t="shared" si="6"/>
        <v>1600294</v>
      </c>
      <c r="J12" s="1149">
        <f t="shared" si="7"/>
        <v>5.3386344038599516</v>
      </c>
      <c r="K12" s="1164">
        <f t="shared" si="8"/>
        <v>1753025</v>
      </c>
      <c r="L12" s="1149">
        <f t="shared" si="9"/>
        <v>9.5439338021638527</v>
      </c>
      <c r="M12" s="1164">
        <f t="shared" si="10"/>
        <v>1817685</v>
      </c>
      <c r="N12" s="1149">
        <f t="shared" si="11"/>
        <v>3.688481339399039</v>
      </c>
      <c r="O12" s="1164">
        <f>O30+O47</f>
        <v>1965248</v>
      </c>
      <c r="P12" s="1149">
        <f t="shared" si="12"/>
        <v>8.1181832935849734</v>
      </c>
      <c r="Q12" s="1164">
        <f>Q30+Q47</f>
        <v>2088176</v>
      </c>
      <c r="R12" s="1149">
        <f t="shared" si="13"/>
        <v>6.2550884163220122</v>
      </c>
      <c r="S12" s="1164">
        <f>S30+S47</f>
        <v>2160563</v>
      </c>
      <c r="T12" s="1149">
        <f t="shared" si="14"/>
        <v>3.4665181478955795</v>
      </c>
      <c r="U12" s="1165">
        <f>U30+U47</f>
        <v>2381498</v>
      </c>
      <c r="V12" s="1149">
        <f t="shared" si="15"/>
        <v>10.225806884594432</v>
      </c>
      <c r="W12" s="1165">
        <f>W30+W47</f>
        <v>2469620</v>
      </c>
      <c r="X12" s="1149">
        <f t="shared" si="16"/>
        <v>3.700276044741587</v>
      </c>
      <c r="Y12" s="1165">
        <v>2411813</v>
      </c>
      <c r="Z12" s="1149">
        <f t="shared" si="17"/>
        <v>-2.3407244839287014</v>
      </c>
      <c r="AA12" s="1165">
        <f>AA30+AA47</f>
        <v>2452887</v>
      </c>
      <c r="AB12" s="1149">
        <f t="shared" si="17"/>
        <v>1.7030341904616983</v>
      </c>
      <c r="AC12" s="1165">
        <f>AC30+AC47</f>
        <v>2541927</v>
      </c>
      <c r="AD12" s="1149">
        <f t="shared" si="17"/>
        <v>3.630008231117047</v>
      </c>
      <c r="AE12" s="1165">
        <v>2559823</v>
      </c>
      <c r="AF12" s="1149">
        <f t="shared" si="17"/>
        <v>0.70403280660695611</v>
      </c>
      <c r="AG12" s="1203">
        <f>AG30+AG47</f>
        <v>2574445</v>
      </c>
    </row>
    <row r="13" spans="1:34" ht="36" customHeight="1">
      <c r="A13" s="1200" t="s">
        <v>759</v>
      </c>
      <c r="B13" s="1148">
        <v>788834</v>
      </c>
      <c r="C13" s="1148">
        <v>820546</v>
      </c>
      <c r="D13" s="1201">
        <f t="shared" si="0"/>
        <v>4.0201106950258225</v>
      </c>
      <c r="E13" s="1148">
        <f t="shared" si="2"/>
        <v>852981</v>
      </c>
      <c r="F13" s="1201">
        <f t="shared" si="3"/>
        <v>3.9528557813943399</v>
      </c>
      <c r="G13" s="1148">
        <f t="shared" si="4"/>
        <v>899832</v>
      </c>
      <c r="H13" s="1149">
        <f t="shared" si="5"/>
        <v>5.4926194135625526</v>
      </c>
      <c r="I13" s="1148">
        <f t="shared" si="6"/>
        <v>963818</v>
      </c>
      <c r="J13" s="1149">
        <f t="shared" si="7"/>
        <v>7.1108829203673576</v>
      </c>
      <c r="K13" s="1148">
        <f t="shared" si="8"/>
        <v>1087865</v>
      </c>
      <c r="L13" s="1149">
        <f t="shared" si="9"/>
        <v>12.870375942345962</v>
      </c>
      <c r="M13" s="1148">
        <f t="shared" si="10"/>
        <v>1136641</v>
      </c>
      <c r="N13" s="1149">
        <f t="shared" si="11"/>
        <v>4.4836445698685035</v>
      </c>
      <c r="O13" s="1150">
        <f>+O31+O48</f>
        <v>1252324</v>
      </c>
      <c r="P13" s="1149">
        <f t="shared" si="12"/>
        <v>10.177619846547854</v>
      </c>
      <c r="Q13" s="1150">
        <f>+Q31+Q48</f>
        <v>1341488</v>
      </c>
      <c r="R13" s="1149">
        <f t="shared" si="13"/>
        <v>7.1198827140580239</v>
      </c>
      <c r="S13" s="1150">
        <f>+S31+S48</f>
        <v>1383633</v>
      </c>
      <c r="T13" s="1149">
        <f t="shared" si="14"/>
        <v>3.1416606037474799</v>
      </c>
      <c r="U13" s="1150">
        <f>+U31+U48</f>
        <v>1515943</v>
      </c>
      <c r="V13" s="1149">
        <f t="shared" si="15"/>
        <v>9.5625068208115884</v>
      </c>
      <c r="W13" s="1150">
        <f>+W31+W48</f>
        <v>1553730</v>
      </c>
      <c r="X13" s="1149">
        <f t="shared" si="16"/>
        <v>2.4926398947717692</v>
      </c>
      <c r="Y13" s="1150">
        <f>+Y31+Y48</f>
        <v>1571185</v>
      </c>
      <c r="Z13" s="1149">
        <f t="shared" si="17"/>
        <v>1.1234255630000065</v>
      </c>
      <c r="AA13" s="1150">
        <f>+AA31+AA48</f>
        <v>1590450</v>
      </c>
      <c r="AB13" s="1149">
        <f t="shared" si="17"/>
        <v>1.226144597867215</v>
      </c>
      <c r="AC13" s="1150">
        <v>1648715</v>
      </c>
      <c r="AD13" s="1149">
        <f t="shared" si="17"/>
        <v>3.663428589392939</v>
      </c>
      <c r="AE13" s="1150">
        <v>1647662</v>
      </c>
      <c r="AF13" s="1149">
        <f t="shared" si="17"/>
        <v>-6.3867921381196874E-2</v>
      </c>
      <c r="AG13" s="1153">
        <f>+AG31+AG48</f>
        <v>1646598</v>
      </c>
    </row>
    <row r="14" spans="1:34" ht="36" customHeight="1">
      <c r="A14" s="1200" t="s">
        <v>1022</v>
      </c>
      <c r="B14" s="1148">
        <v>16681</v>
      </c>
      <c r="C14" s="1148">
        <v>16749</v>
      </c>
      <c r="D14" s="1201">
        <f t="shared" si="0"/>
        <v>0.4076494214975121</v>
      </c>
      <c r="E14" s="1148">
        <f t="shared" si="2"/>
        <v>16391</v>
      </c>
      <c r="F14" s="1201">
        <f t="shared" si="3"/>
        <v>-2.1374410412561944</v>
      </c>
      <c r="G14" s="1148">
        <f t="shared" si="4"/>
        <v>16515</v>
      </c>
      <c r="H14" s="1149">
        <f t="shared" si="5"/>
        <v>0.7565127203953389</v>
      </c>
      <c r="I14" s="1148">
        <f t="shared" si="6"/>
        <v>16097</v>
      </c>
      <c r="J14" s="1149">
        <f t="shared" si="7"/>
        <v>-2.531032394792613</v>
      </c>
      <c r="K14" s="1148">
        <f t="shared" si="8"/>
        <v>15667</v>
      </c>
      <c r="L14" s="1149">
        <f t="shared" si="9"/>
        <v>-2.6713052121513323</v>
      </c>
      <c r="M14" s="1148">
        <f t="shared" si="10"/>
        <v>15149</v>
      </c>
      <c r="N14" s="1149">
        <f t="shared" si="11"/>
        <v>-3.3063126316461346</v>
      </c>
      <c r="O14" s="1150">
        <f t="shared" ref="O14:O19" si="18">+O49+O32</f>
        <v>14917</v>
      </c>
      <c r="P14" s="1149">
        <f t="shared" si="12"/>
        <v>-1.5314542214007525</v>
      </c>
      <c r="Q14" s="1150">
        <f t="shared" ref="Q14:Q19" si="19">+Q49+Q32</f>
        <v>15480</v>
      </c>
      <c r="R14" s="1149">
        <f t="shared" si="13"/>
        <v>3.7742173359254538</v>
      </c>
      <c r="S14" s="1150">
        <f t="shared" ref="S14:S19" si="20">+S49+S32</f>
        <v>16741</v>
      </c>
      <c r="T14" s="1149">
        <f t="shared" si="14"/>
        <v>8.1459948320413442</v>
      </c>
      <c r="U14" s="1150">
        <f t="shared" ref="U14:W19" si="21">+U49+U32</f>
        <v>17748</v>
      </c>
      <c r="V14" s="1149">
        <f t="shared" si="15"/>
        <v>6.0151723314019474</v>
      </c>
      <c r="W14" s="1150">
        <f t="shared" si="21"/>
        <v>19358</v>
      </c>
      <c r="X14" s="1149">
        <f t="shared" si="16"/>
        <v>9.0714446698219522</v>
      </c>
      <c r="Y14" s="1150">
        <f t="shared" ref="Y14:Y19" si="22">+Y49+Y32</f>
        <v>18639</v>
      </c>
      <c r="Z14" s="1149">
        <f t="shared" si="17"/>
        <v>-3.714226676309536</v>
      </c>
      <c r="AA14" s="1150">
        <f t="shared" ref="AA14:AA19" si="23">+AA49+AA32</f>
        <v>19865</v>
      </c>
      <c r="AB14" s="1149">
        <f t="shared" si="17"/>
        <v>6.5776060947475719</v>
      </c>
      <c r="AC14" s="1150">
        <v>20727</v>
      </c>
      <c r="AD14" s="1149">
        <f t="shared" si="17"/>
        <v>4.3392902089101435</v>
      </c>
      <c r="AE14" s="1150">
        <v>21234</v>
      </c>
      <c r="AF14" s="1149">
        <f t="shared" si="17"/>
        <v>2.4460848169054858</v>
      </c>
      <c r="AG14" s="1153">
        <f t="shared" ref="AG14:AG19" si="24">+AG49+AG32</f>
        <v>21500</v>
      </c>
    </row>
    <row r="15" spans="1:34" ht="36" customHeight="1">
      <c r="A15" s="1204" t="s">
        <v>215</v>
      </c>
      <c r="B15" s="1148">
        <v>365857</v>
      </c>
      <c r="C15" s="1148">
        <v>388324</v>
      </c>
      <c r="D15" s="1201">
        <f t="shared" si="0"/>
        <v>6.1409239128949284</v>
      </c>
      <c r="E15" s="1148">
        <f t="shared" si="2"/>
        <v>410184</v>
      </c>
      <c r="F15" s="1201">
        <f t="shared" si="3"/>
        <v>5.6293198463139031</v>
      </c>
      <c r="G15" s="1148">
        <f t="shared" si="4"/>
        <v>432937</v>
      </c>
      <c r="H15" s="1149">
        <f t="shared" si="5"/>
        <v>5.5470227995241155</v>
      </c>
      <c r="I15" s="1148">
        <f t="shared" si="6"/>
        <v>455672</v>
      </c>
      <c r="J15" s="1149">
        <f t="shared" si="7"/>
        <v>5.2513414191903207</v>
      </c>
      <c r="K15" s="1148">
        <f t="shared" si="8"/>
        <v>480465</v>
      </c>
      <c r="L15" s="1149">
        <f t="shared" si="9"/>
        <v>5.4409750873435279</v>
      </c>
      <c r="M15" s="1148">
        <f t="shared" si="10"/>
        <v>499070</v>
      </c>
      <c r="N15" s="1149">
        <f t="shared" si="11"/>
        <v>3.8722903853558535</v>
      </c>
      <c r="O15" s="1150">
        <f t="shared" si="18"/>
        <v>527822</v>
      </c>
      <c r="P15" s="1149">
        <f t="shared" si="12"/>
        <v>5.7611156751557893</v>
      </c>
      <c r="Q15" s="1150">
        <f t="shared" si="19"/>
        <v>588593</v>
      </c>
      <c r="R15" s="1149">
        <f t="shared" si="13"/>
        <v>11.513540549654998</v>
      </c>
      <c r="S15" s="1150">
        <f t="shared" si="20"/>
        <v>601885</v>
      </c>
      <c r="T15" s="1149">
        <f t="shared" si="14"/>
        <v>2.2582667479905472</v>
      </c>
      <c r="U15" s="1150">
        <f t="shared" si="21"/>
        <v>643468</v>
      </c>
      <c r="V15" s="1149">
        <f t="shared" si="15"/>
        <v>6.9087948694518051</v>
      </c>
      <c r="W15" s="1150">
        <f t="shared" si="21"/>
        <v>686171</v>
      </c>
      <c r="X15" s="1149">
        <f t="shared" si="16"/>
        <v>6.6363828504292375</v>
      </c>
      <c r="Y15" s="1150">
        <f t="shared" si="22"/>
        <v>658980</v>
      </c>
      <c r="Z15" s="1149">
        <f t="shared" si="17"/>
        <v>-3.9627148334744544</v>
      </c>
      <c r="AA15" s="1150">
        <f t="shared" si="23"/>
        <v>682177</v>
      </c>
      <c r="AB15" s="1149">
        <f t="shared" si="17"/>
        <v>3.5201371817050595</v>
      </c>
      <c r="AC15" s="1150">
        <v>831136</v>
      </c>
      <c r="AD15" s="1149">
        <f t="shared" si="17"/>
        <v>21.835828531304927</v>
      </c>
      <c r="AE15" s="1150">
        <v>732988</v>
      </c>
      <c r="AF15" s="1149">
        <f t="shared" si="17"/>
        <v>-11.808897701459207</v>
      </c>
      <c r="AG15" s="1153">
        <f t="shared" si="24"/>
        <v>743808</v>
      </c>
    </row>
    <row r="16" spans="1:34" ht="36" customHeight="1">
      <c r="A16" s="1200" t="s">
        <v>119</v>
      </c>
      <c r="B16" s="1148">
        <v>538325</v>
      </c>
      <c r="C16" s="1148">
        <v>556375</v>
      </c>
      <c r="D16" s="1201">
        <f t="shared" si="0"/>
        <v>3.3529930803882411</v>
      </c>
      <c r="E16" s="1148">
        <f t="shared" si="2"/>
        <v>576448</v>
      </c>
      <c r="F16" s="1201">
        <f t="shared" si="3"/>
        <v>3.6078184677600538</v>
      </c>
      <c r="G16" s="1148">
        <f t="shared" si="4"/>
        <v>602843</v>
      </c>
      <c r="H16" s="1149">
        <f t="shared" si="5"/>
        <v>4.5789039080715002</v>
      </c>
      <c r="I16" s="1148">
        <f t="shared" si="6"/>
        <v>620379</v>
      </c>
      <c r="J16" s="1149">
        <f t="shared" si="7"/>
        <v>2.9088834074543457</v>
      </c>
      <c r="K16" s="1148">
        <f t="shared" si="8"/>
        <v>649493</v>
      </c>
      <c r="L16" s="1149">
        <f t="shared" si="9"/>
        <v>4.6929377042098457</v>
      </c>
      <c r="M16" s="1148">
        <f t="shared" si="10"/>
        <v>665895</v>
      </c>
      <c r="N16" s="1149">
        <f t="shared" si="11"/>
        <v>2.5253543918102275</v>
      </c>
      <c r="O16" s="1150">
        <f t="shared" si="18"/>
        <v>698006</v>
      </c>
      <c r="P16" s="1149">
        <f t="shared" si="12"/>
        <v>4.8222317332312148</v>
      </c>
      <c r="Q16" s="1150">
        <f t="shared" si="19"/>
        <v>731178</v>
      </c>
      <c r="R16" s="1149">
        <f t="shared" si="13"/>
        <v>4.7523946785557722</v>
      </c>
      <c r="S16" s="1150">
        <f t="shared" si="20"/>
        <v>760130</v>
      </c>
      <c r="T16" s="1149">
        <f t="shared" si="14"/>
        <v>3.9596377352710288</v>
      </c>
      <c r="U16" s="1150">
        <f t="shared" si="21"/>
        <v>847705</v>
      </c>
      <c r="V16" s="1149">
        <f t="shared" si="15"/>
        <v>11.521055608909002</v>
      </c>
      <c r="W16" s="1150">
        <f t="shared" si="21"/>
        <v>896174</v>
      </c>
      <c r="X16" s="1149">
        <f t="shared" si="16"/>
        <v>5.7176730112480163</v>
      </c>
      <c r="Y16" s="1150">
        <f t="shared" si="22"/>
        <v>821485</v>
      </c>
      <c r="Z16" s="1149">
        <f t="shared" si="17"/>
        <v>-8.3342074195412934</v>
      </c>
      <c r="AA16" s="1150">
        <f t="shared" si="23"/>
        <v>841920</v>
      </c>
      <c r="AB16" s="1149">
        <f t="shared" si="17"/>
        <v>2.4875682453118437</v>
      </c>
      <c r="AC16" s="1150">
        <v>871773</v>
      </c>
      <c r="AD16" s="1149">
        <f t="shared" si="17"/>
        <v>3.5458238312428731</v>
      </c>
      <c r="AE16" s="1150">
        <v>890045</v>
      </c>
      <c r="AF16" s="1149">
        <f t="shared" si="17"/>
        <v>2.0959584662521094</v>
      </c>
      <c r="AG16" s="1153">
        <f t="shared" si="24"/>
        <v>905377</v>
      </c>
    </row>
    <row r="17" spans="1:33" ht="36" customHeight="1">
      <c r="A17" s="1205" t="s">
        <v>1137</v>
      </c>
      <c r="B17" s="1206" t="s">
        <v>17</v>
      </c>
      <c r="C17" s="1206" t="s">
        <v>17</v>
      </c>
      <c r="D17" s="1201"/>
      <c r="E17" s="1206" t="s">
        <v>17</v>
      </c>
      <c r="F17" s="1206" t="s">
        <v>17</v>
      </c>
      <c r="G17" s="1206" t="s">
        <v>17</v>
      </c>
      <c r="H17" s="1206" t="s">
        <v>17</v>
      </c>
      <c r="I17" s="1206" t="s">
        <v>17</v>
      </c>
      <c r="J17" s="1206" t="s">
        <v>17</v>
      </c>
      <c r="K17" s="1206" t="s">
        <v>17</v>
      </c>
      <c r="L17" s="1206" t="s">
        <v>17</v>
      </c>
      <c r="M17" s="1206" t="s">
        <v>17</v>
      </c>
      <c r="N17" s="1206" t="s">
        <v>17</v>
      </c>
      <c r="O17" s="1150">
        <f t="shared" si="18"/>
        <v>0</v>
      </c>
      <c r="P17" s="1206" t="s">
        <v>17</v>
      </c>
      <c r="Q17" s="1150">
        <f t="shared" si="19"/>
        <v>0</v>
      </c>
      <c r="R17" s="1206" t="s">
        <v>17</v>
      </c>
      <c r="S17" s="1150">
        <f t="shared" si="20"/>
        <v>3</v>
      </c>
      <c r="T17" s="1206" t="s">
        <v>686</v>
      </c>
      <c r="U17" s="1150">
        <f t="shared" si="21"/>
        <v>13</v>
      </c>
      <c r="V17" s="1206" t="s">
        <v>686</v>
      </c>
      <c r="W17" s="1150">
        <f t="shared" si="21"/>
        <v>45</v>
      </c>
      <c r="X17" s="1206" t="s">
        <v>686</v>
      </c>
      <c r="Y17" s="1150">
        <f t="shared" si="22"/>
        <v>64</v>
      </c>
      <c r="Z17" s="1206" t="s">
        <v>686</v>
      </c>
      <c r="AA17" s="1150">
        <f t="shared" si="23"/>
        <v>82</v>
      </c>
      <c r="AB17" s="1206" t="s">
        <v>686</v>
      </c>
      <c r="AC17" s="1150">
        <v>116</v>
      </c>
      <c r="AD17" s="1206" t="s">
        <v>686</v>
      </c>
      <c r="AE17" s="1150">
        <v>157</v>
      </c>
      <c r="AF17" s="1206" t="s">
        <v>686</v>
      </c>
      <c r="AG17" s="1153">
        <f t="shared" si="24"/>
        <v>179</v>
      </c>
    </row>
    <row r="18" spans="1:33" ht="36" customHeight="1">
      <c r="A18" s="1205" t="s">
        <v>1187</v>
      </c>
      <c r="B18" s="1206"/>
      <c r="C18" s="1206"/>
      <c r="D18" s="1207"/>
      <c r="E18" s="1206" t="s">
        <v>17</v>
      </c>
      <c r="F18" s="1206" t="s">
        <v>17</v>
      </c>
      <c r="G18" s="1206" t="s">
        <v>17</v>
      </c>
      <c r="H18" s="1206" t="s">
        <v>17</v>
      </c>
      <c r="I18" s="1206" t="s">
        <v>17</v>
      </c>
      <c r="J18" s="1206" t="s">
        <v>17</v>
      </c>
      <c r="K18" s="1206" t="s">
        <v>17</v>
      </c>
      <c r="L18" s="1206" t="s">
        <v>17</v>
      </c>
      <c r="M18" s="1206" t="s">
        <v>17</v>
      </c>
      <c r="N18" s="1206" t="s">
        <v>17</v>
      </c>
      <c r="O18" s="1150">
        <f t="shared" si="18"/>
        <v>1</v>
      </c>
      <c r="P18" s="1206" t="s">
        <v>17</v>
      </c>
      <c r="Q18" s="1150">
        <f t="shared" si="19"/>
        <v>10</v>
      </c>
      <c r="R18" s="1206" t="s">
        <v>17</v>
      </c>
      <c r="S18" s="1150">
        <f t="shared" si="20"/>
        <v>15</v>
      </c>
      <c r="T18" s="1206" t="s">
        <v>17</v>
      </c>
      <c r="U18" s="1150">
        <f t="shared" si="21"/>
        <v>23</v>
      </c>
      <c r="V18" s="1206" t="s">
        <v>17</v>
      </c>
      <c r="W18" s="1150">
        <f t="shared" si="21"/>
        <v>97</v>
      </c>
      <c r="X18" s="1206" t="s">
        <v>17</v>
      </c>
      <c r="Y18" s="1150">
        <f t="shared" si="22"/>
        <v>145</v>
      </c>
      <c r="Z18" s="1206" t="s">
        <v>17</v>
      </c>
      <c r="AA18" s="1150">
        <f t="shared" si="23"/>
        <v>194</v>
      </c>
      <c r="AB18" s="1206" t="s">
        <v>17</v>
      </c>
      <c r="AC18" s="1150">
        <v>459</v>
      </c>
      <c r="AD18" s="1206" t="s">
        <v>17</v>
      </c>
      <c r="AE18" s="1150">
        <v>257</v>
      </c>
      <c r="AF18" s="1206" t="s">
        <v>17</v>
      </c>
      <c r="AG18" s="1153">
        <f t="shared" si="24"/>
        <v>279</v>
      </c>
    </row>
    <row r="19" spans="1:33" ht="36" customHeight="1">
      <c r="A19" s="1205" t="s">
        <v>1138</v>
      </c>
      <c r="B19" s="1206"/>
      <c r="C19" s="1206"/>
      <c r="D19" s="1207"/>
      <c r="E19" s="1206" t="s">
        <v>17</v>
      </c>
      <c r="F19" s="1206" t="s">
        <v>17</v>
      </c>
      <c r="G19" s="1206" t="s">
        <v>17</v>
      </c>
      <c r="H19" s="1206" t="s">
        <v>17</v>
      </c>
      <c r="I19" s="1206" t="s">
        <v>17</v>
      </c>
      <c r="J19" s="1206" t="s">
        <v>17</v>
      </c>
      <c r="K19" s="1206" t="s">
        <v>17</v>
      </c>
      <c r="L19" s="1206" t="s">
        <v>17</v>
      </c>
      <c r="M19" s="1206" t="s">
        <v>17</v>
      </c>
      <c r="N19" s="1206" t="s">
        <v>17</v>
      </c>
      <c r="O19" s="1150">
        <f t="shared" si="18"/>
        <v>1</v>
      </c>
      <c r="P19" s="1206" t="s">
        <v>17</v>
      </c>
      <c r="Q19" s="1150">
        <f t="shared" si="19"/>
        <v>30</v>
      </c>
      <c r="R19" s="1206" t="s">
        <v>17</v>
      </c>
      <c r="S19" s="1150">
        <f t="shared" si="20"/>
        <v>56</v>
      </c>
      <c r="T19" s="1206" t="s">
        <v>17</v>
      </c>
      <c r="U19" s="1150">
        <f t="shared" si="21"/>
        <v>89</v>
      </c>
      <c r="V19" s="1206" t="s">
        <v>17</v>
      </c>
      <c r="W19" s="1150">
        <f t="shared" si="21"/>
        <v>313</v>
      </c>
      <c r="X19" s="1206" t="s">
        <v>17</v>
      </c>
      <c r="Y19" s="1150">
        <f t="shared" si="22"/>
        <v>440</v>
      </c>
      <c r="Z19" s="1206" t="s">
        <v>17</v>
      </c>
      <c r="AA19" s="1150">
        <f t="shared" si="23"/>
        <v>570</v>
      </c>
      <c r="AB19" s="1206" t="s">
        <v>17</v>
      </c>
      <c r="AC19" s="1150">
        <v>596</v>
      </c>
      <c r="AD19" s="1206" t="s">
        <v>17</v>
      </c>
      <c r="AE19" s="1150">
        <v>725</v>
      </c>
      <c r="AF19" s="1206" t="s">
        <v>17</v>
      </c>
      <c r="AG19" s="1153">
        <f t="shared" si="24"/>
        <v>791</v>
      </c>
    </row>
    <row r="20" spans="1:33" ht="21" customHeight="1">
      <c r="A20" s="1160" t="s">
        <v>10</v>
      </c>
      <c r="B20" s="1208">
        <v>9235589.0064816773</v>
      </c>
      <c r="C20" s="1208">
        <v>9232591.3880267441</v>
      </c>
      <c r="D20" s="1209">
        <f t="shared" si="0"/>
        <v>-3.2457252621672449E-2</v>
      </c>
      <c r="E20" s="1208">
        <v>9419701.4471274558</v>
      </c>
      <c r="F20" s="1201">
        <f>(E20-C20)/C20*100</f>
        <v>2.0266255836185363</v>
      </c>
      <c r="G20" s="1208">
        <v>9582499.7983186133</v>
      </c>
      <c r="H20" s="1149">
        <f t="shared" si="5"/>
        <v>1.7282750637580231</v>
      </c>
      <c r="I20" s="1208">
        <v>9335521.11980954</v>
      </c>
      <c r="J20" s="1149">
        <f t="shared" si="7"/>
        <v>-2.5773929945963503</v>
      </c>
      <c r="K20" s="1208">
        <v>9523225.7766003162</v>
      </c>
      <c r="L20" s="1149">
        <f t="shared" si="9"/>
        <v>2.0106500149464144</v>
      </c>
      <c r="M20" s="1208">
        <v>9540584.3226907961</v>
      </c>
      <c r="N20" s="1149">
        <f>(M20-K20)/K20*100</f>
        <v>0.18227590627045645</v>
      </c>
      <c r="O20" s="1208">
        <f>+O38+O55</f>
        <v>9341481</v>
      </c>
      <c r="P20" s="1149">
        <f>(O20-M20)/M20*100</f>
        <v>-2.0869091028026432</v>
      </c>
      <c r="Q20" s="1208">
        <f>+Q38+Q55</f>
        <v>9380917.0805839971</v>
      </c>
      <c r="R20" s="1149">
        <f t="shared" si="13"/>
        <v>0.42216090343701468</v>
      </c>
      <c r="S20" s="1208">
        <f>+S38+S55</f>
        <v>9679425.7943963576</v>
      </c>
      <c r="T20" s="1149">
        <f>(S20-Q20)/Q20*100</f>
        <v>3.1820845579180546</v>
      </c>
      <c r="U20" s="1208">
        <f>+U38+U55</f>
        <v>9735493.1217252091</v>
      </c>
      <c r="V20" s="1149">
        <f>(U20-S20)/S20*100</f>
        <v>0.57924228688555168</v>
      </c>
      <c r="W20" s="1208">
        <f>+W38+W55</f>
        <v>9552698.4071846493</v>
      </c>
      <c r="X20" s="1149">
        <f>(W20-U20)/U20*100</f>
        <v>-1.8776112545613617</v>
      </c>
      <c r="Y20" s="1208">
        <f>+Y38+Y55</f>
        <v>9056082.130034253</v>
      </c>
      <c r="Z20" s="1149">
        <f>(Y20-W20)/W20*100</f>
        <v>-5.1987015184828591</v>
      </c>
      <c r="AA20" s="1208">
        <f>+AA38+AA55</f>
        <v>9213757</v>
      </c>
      <c r="AB20" s="1149">
        <f>(AA20-Y20)/Y20*100</f>
        <v>1.7410936396305698</v>
      </c>
      <c r="AC20" s="1208">
        <f>+AC38+AC55</f>
        <v>9330878.9444077574</v>
      </c>
      <c r="AD20" s="1149">
        <f>(AC20-AA20)/AA20*100</f>
        <v>1.2711638087238177</v>
      </c>
      <c r="AE20" s="1208">
        <v>9008655.5134306885</v>
      </c>
      <c r="AF20" s="1149">
        <f>(AE20-AC20)/AC20*100</f>
        <v>-3.4533020189934613</v>
      </c>
      <c r="AG20" s="1210">
        <f>+AG38+AG55</f>
        <v>9176517.7385011576</v>
      </c>
    </row>
    <row r="21" spans="1:33" ht="26.25" customHeight="1">
      <c r="A21" s="1177" t="s">
        <v>489</v>
      </c>
      <c r="B21" s="1149">
        <v>2.8485015861741614</v>
      </c>
      <c r="C21" s="1149">
        <v>2.7099220883488262</v>
      </c>
      <c r="D21" s="1149"/>
      <c r="E21" s="1149">
        <f>E5/E11</f>
        <v>2.6445493593090101</v>
      </c>
      <c r="F21" s="1201"/>
      <c r="G21" s="1149">
        <f>G5/G11</f>
        <v>2.5558362805754755</v>
      </c>
      <c r="H21" s="1149"/>
      <c r="I21" s="1149">
        <f>I5/I11</f>
        <v>2.3365856614750622</v>
      </c>
      <c r="J21" s="1149"/>
      <c r="K21" s="1149">
        <f>K5/K11</f>
        <v>2.1310829502833655</v>
      </c>
      <c r="L21" s="1149"/>
      <c r="M21" s="1149">
        <f>M5/M11</f>
        <v>2.0451764534848502</v>
      </c>
      <c r="N21" s="1149"/>
      <c r="O21" s="1149">
        <f>O5/O11</f>
        <v>1.8164917796802789</v>
      </c>
      <c r="P21" s="1149"/>
      <c r="Q21" s="1149">
        <f>Q5/Q11</f>
        <v>1.6637131207239417</v>
      </c>
      <c r="R21" s="1149"/>
      <c r="S21" s="1149">
        <f>S5/S11</f>
        <v>1.6670310851096026</v>
      </c>
      <c r="T21" s="1149"/>
      <c r="U21" s="1211">
        <v>1.5034628391653875</v>
      </c>
      <c r="V21" s="1149"/>
      <c r="W21" s="1149">
        <f>W5/W11</f>
        <v>1.3998905019516235</v>
      </c>
      <c r="X21" s="1149"/>
      <c r="Y21" s="1149">
        <f>Y5/Y11</f>
        <v>1.3015709557926076</v>
      </c>
      <c r="Z21" s="1149"/>
      <c r="AA21" s="1149">
        <f>AA5/AA11</f>
        <v>1.2839663672905415</v>
      </c>
      <c r="AB21" s="1149" t="s">
        <v>729</v>
      </c>
      <c r="AC21" s="1149">
        <f>AC5/AC11</f>
        <v>1.1746718413467709</v>
      </c>
      <c r="AD21" s="1149"/>
      <c r="AE21" s="1149">
        <v>1.1631079907655086</v>
      </c>
      <c r="AF21" s="1149"/>
      <c r="AG21" s="1179">
        <f>AG5/AG11</f>
        <v>1.181394681731281</v>
      </c>
    </row>
    <row r="22" spans="1:33" ht="27" customHeight="1">
      <c r="A22" s="1212" t="s">
        <v>804</v>
      </c>
      <c r="B22" s="1127">
        <v>13916084.006481677</v>
      </c>
      <c r="C22" s="1127">
        <v>13947593.388026744</v>
      </c>
      <c r="D22" s="1213">
        <f t="shared" si="0"/>
        <v>0.2264241975716067</v>
      </c>
      <c r="E22" s="1127">
        <f t="shared" ref="E22:Y22" si="25">+E20+E12+E5</f>
        <v>14249370.447127456</v>
      </c>
      <c r="F22" s="1214">
        <f>(E22-C22)/C22*100</f>
        <v>2.163649675647779</v>
      </c>
      <c r="G22" s="1127">
        <f t="shared" si="25"/>
        <v>14550238.798318613</v>
      </c>
      <c r="H22" s="1213">
        <f>(G22-E22)/E22*100</f>
        <v>2.1114501325341695</v>
      </c>
      <c r="I22" s="1127">
        <f t="shared" si="25"/>
        <v>14290187.11980954</v>
      </c>
      <c r="J22" s="1213">
        <f>(I22-G22)/G22*100</f>
        <v>-1.7872674264227486</v>
      </c>
      <c r="K22" s="1127">
        <f t="shared" si="25"/>
        <v>14651879.776600316</v>
      </c>
      <c r="L22" s="1213">
        <f>(K22-I22)/I22*100</f>
        <v>2.5310561279452077</v>
      </c>
      <c r="M22" s="1127">
        <f t="shared" si="25"/>
        <v>14734569.322690796</v>
      </c>
      <c r="N22" s="1213">
        <f>(M22-K22)/K22*100</f>
        <v>0.56436134715313946</v>
      </c>
      <c r="O22" s="1127">
        <f t="shared" si="25"/>
        <v>14567448</v>
      </c>
      <c r="P22" s="1213">
        <f>(O22-M22)/M22*100</f>
        <v>-1.1342124702174652</v>
      </c>
      <c r="Q22" s="1127">
        <f t="shared" si="25"/>
        <v>14705965.080583997</v>
      </c>
      <c r="R22" s="1213">
        <f>(Q22-O22)/O22*100</f>
        <v>0.95086717031011236</v>
      </c>
      <c r="S22" s="1127">
        <f t="shared" si="25"/>
        <v>15177846.794396358</v>
      </c>
      <c r="T22" s="1213">
        <f>(S22-Q22)/Q22*100</f>
        <v>3.2087776030107462</v>
      </c>
      <c r="U22" s="1127">
        <f t="shared" si="25"/>
        <v>15390288.318196595</v>
      </c>
      <c r="V22" s="1213">
        <f>(U22-S22)/S22*100</f>
        <v>1.3996815666809226</v>
      </c>
      <c r="W22" s="1127">
        <f t="shared" si="25"/>
        <v>15185232.407184649</v>
      </c>
      <c r="X22" s="1213">
        <f>(W22-U22)/U22*100</f>
        <v>-1.3323721217717481</v>
      </c>
      <c r="Y22" s="1127">
        <f t="shared" si="25"/>
        <v>14395145.130034253</v>
      </c>
      <c r="Z22" s="1213">
        <f>(Y22-W22)/W22*100</f>
        <v>-5.2029975963790918</v>
      </c>
      <c r="AA22" s="1127">
        <f>+AA40+AA57</f>
        <v>14610481</v>
      </c>
      <c r="AB22" s="1213">
        <f>(AA22-Y22)/Y22*100</f>
        <v>1.4958923166149045</v>
      </c>
      <c r="AC22" s="1127">
        <f>+AC40+AC57</f>
        <v>14810839.944407757</v>
      </c>
      <c r="AD22" s="1213">
        <f>(AC22-AA22)/AA22*100</f>
        <v>1.371337086080584</v>
      </c>
      <c r="AE22" s="1127">
        <v>14362610.513430689</v>
      </c>
      <c r="AF22" s="1213">
        <f>(AE22-AC22)/AC22*100</f>
        <v>-3.0263606430120817</v>
      </c>
      <c r="AG22" s="1215">
        <f>+AG40+AG57</f>
        <v>14600916.738501158</v>
      </c>
    </row>
    <row r="23" spans="1:33" s="1222" customFormat="1" ht="30.75" customHeight="1">
      <c r="A23" s="1216" t="s">
        <v>729</v>
      </c>
      <c r="B23" s="1217" t="s">
        <v>729</v>
      </c>
      <c r="C23" s="1218" t="s">
        <v>1188</v>
      </c>
      <c r="D23" s="1218"/>
      <c r="E23" s="1218"/>
      <c r="F23" s="1218"/>
      <c r="G23" s="1218"/>
      <c r="H23" s="1218"/>
      <c r="I23" s="1218"/>
      <c r="J23" s="1781" t="s">
        <v>1188</v>
      </c>
      <c r="K23" s="1781"/>
      <c r="L23" s="1781"/>
      <c r="M23" s="1781"/>
      <c r="N23" s="1781"/>
      <c r="O23" s="1781"/>
      <c r="P23" s="1781"/>
      <c r="Q23" s="1781"/>
      <c r="R23" s="1781"/>
      <c r="S23" s="1781"/>
      <c r="T23" s="1781"/>
      <c r="U23" s="1219"/>
      <c r="V23" s="1218"/>
      <c r="W23" s="1219"/>
      <c r="X23" s="1218"/>
      <c r="Y23" s="1220"/>
      <c r="Z23" s="1218"/>
      <c r="AA23" s="1220"/>
      <c r="AB23" s="1218"/>
      <c r="AC23" s="1220"/>
      <c r="AD23" s="1218"/>
      <c r="AE23" s="1220"/>
      <c r="AF23" s="1218"/>
      <c r="AG23" s="1221"/>
    </row>
    <row r="24" spans="1:33" ht="36" customHeight="1">
      <c r="A24" s="1223" t="s">
        <v>832</v>
      </c>
      <c r="B24" s="1224">
        <v>2436656</v>
      </c>
      <c r="C24" s="1224">
        <v>2420641</v>
      </c>
      <c r="D24" s="1225">
        <f t="shared" si="0"/>
        <v>-0.65725321916593882</v>
      </c>
      <c r="E24" s="1224">
        <v>2450408</v>
      </c>
      <c r="F24" s="1198">
        <f t="shared" ref="F24:F40" si="26">(E24-C24)/C24*100</f>
        <v>1.2297156001240994</v>
      </c>
      <c r="G24" s="1224">
        <v>2438614</v>
      </c>
      <c r="H24" s="1141">
        <f>(G24-E24)/E24*100</f>
        <v>-0.481307602652293</v>
      </c>
      <c r="I24" s="1224">
        <v>2329901</v>
      </c>
      <c r="J24" s="1141">
        <f>(I24-G24)/G24*100</f>
        <v>-4.4579831002364454</v>
      </c>
      <c r="K24" s="1224">
        <v>2312256</v>
      </c>
      <c r="L24" s="1141">
        <f>(K24-I24)/I24*100</f>
        <v>-0.75732831566663139</v>
      </c>
      <c r="M24" s="1224">
        <f>+M25+M26+M27</f>
        <v>2283059</v>
      </c>
      <c r="N24" s="1141">
        <f>(M24-K24)/K24*100</f>
        <v>-1.262706205541255</v>
      </c>
      <c r="O24" s="1224">
        <f>+O25+O26+O27</f>
        <v>2119252</v>
      </c>
      <c r="P24" s="1141">
        <f>(O24-M24)/M24*100</f>
        <v>-7.1748912314574431</v>
      </c>
      <c r="Q24" s="1224">
        <f>+Q25+Q26+Q27</f>
        <v>2220180</v>
      </c>
      <c r="R24" s="1141">
        <f>(Q24-O24)/O24*100</f>
        <v>4.7624350478376334</v>
      </c>
      <c r="S24" s="1224">
        <f>+S25+S26+S27</f>
        <v>2236727</v>
      </c>
      <c r="T24" s="1141">
        <f>(S24-Q24)/Q24*100</f>
        <v>0.74529993063625477</v>
      </c>
      <c r="U24" s="1224">
        <f>+U25+U26+U27</f>
        <v>2151520.1964713852</v>
      </c>
      <c r="V24" s="1141">
        <f>(U24-S24)/S24*100</f>
        <v>-3.8094413635913016</v>
      </c>
      <c r="W24" s="1224">
        <f>SUM(W25:W27)</f>
        <v>2106062</v>
      </c>
      <c r="X24" s="1141">
        <f>(W24-U24)/U24*100</f>
        <v>-2.1128407972158105</v>
      </c>
      <c r="Y24" s="1226">
        <v>1998796</v>
      </c>
      <c r="Z24" s="1141">
        <f>(Y24-W24)/W24*100</f>
        <v>-5.0932023843552559</v>
      </c>
      <c r="AA24" s="1226">
        <f>+AA25+AA26+AA27</f>
        <v>2078678</v>
      </c>
      <c r="AB24" s="1141">
        <f>(AA24-Y24)/Y24*100</f>
        <v>3.9965058965497229</v>
      </c>
      <c r="AC24" s="1226">
        <f>+AC25+AC26+AC27</f>
        <v>2140178</v>
      </c>
      <c r="AD24" s="1141">
        <f>(AC24-AA24)/AA24*100</f>
        <v>2.9586111942301789</v>
      </c>
      <c r="AE24" s="1224">
        <v>2075900</v>
      </c>
      <c r="AF24" s="1141">
        <f>(AE24-AC24)/AC24*100</f>
        <v>-3.0033950447112345</v>
      </c>
      <c r="AG24" s="1227">
        <f>+AG25+AG26+AG27</f>
        <v>2120714</v>
      </c>
    </row>
    <row r="25" spans="1:33" ht="36" customHeight="1">
      <c r="A25" s="1157" t="s">
        <v>533</v>
      </c>
      <c r="B25" s="1228">
        <v>30689</v>
      </c>
      <c r="C25" s="1228">
        <v>28705</v>
      </c>
      <c r="D25" s="1229">
        <f t="shared" si="0"/>
        <v>-6.4648571149271721</v>
      </c>
      <c r="E25" s="1228">
        <v>23239</v>
      </c>
      <c r="F25" s="1201">
        <f t="shared" si="26"/>
        <v>-19.041978749346804</v>
      </c>
      <c r="G25" s="1228">
        <v>25162</v>
      </c>
      <c r="H25" s="1149">
        <f>(G25-E25)/E25*100</f>
        <v>8.2748827402211802</v>
      </c>
      <c r="I25" s="1230">
        <v>21938</v>
      </c>
      <c r="J25" s="1149">
        <f>(I25-G25)/G25*100</f>
        <v>-12.812971941817025</v>
      </c>
      <c r="K25" s="329">
        <v>19629</v>
      </c>
      <c r="L25" s="1149">
        <f>(K25-I25)/I25*100</f>
        <v>-10.525116236666971</v>
      </c>
      <c r="M25" s="329">
        <v>17742</v>
      </c>
      <c r="N25" s="1149">
        <f>(M25-K25)/K25*100</f>
        <v>-9.6133272199296957</v>
      </c>
      <c r="O25" s="329">
        <v>14070</v>
      </c>
      <c r="P25" s="1149">
        <f>(O25-M25)/M25*100</f>
        <v>-20.696652012174503</v>
      </c>
      <c r="Q25" s="329">
        <v>15200</v>
      </c>
      <c r="R25" s="1149">
        <f>(Q25-O25)/O25*100</f>
        <v>8.031272210376688</v>
      </c>
      <c r="S25" s="329">
        <v>14348</v>
      </c>
      <c r="T25" s="1149">
        <f>(S25-Q25)/Q25*100</f>
        <v>-5.6052631578947372</v>
      </c>
      <c r="U25" s="329">
        <v>12559</v>
      </c>
      <c r="V25" s="1149">
        <f>(U25-S25)/S25*100</f>
        <v>-12.468636743797044</v>
      </c>
      <c r="W25" s="329">
        <v>11452</v>
      </c>
      <c r="X25" s="1149">
        <f>(W25-U25)/U25*100</f>
        <v>-8.8143960506409744</v>
      </c>
      <c r="Y25" s="329">
        <v>10524</v>
      </c>
      <c r="Z25" s="1149">
        <f>(Y25-W25)/W25*100</f>
        <v>-8.103388054488299</v>
      </c>
      <c r="AA25" s="329">
        <v>15447</v>
      </c>
      <c r="AB25" s="1149">
        <f>(AA25-Y25)/Y25*100</f>
        <v>46.778791334093498</v>
      </c>
      <c r="AC25" s="329">
        <v>14544</v>
      </c>
      <c r="AD25" s="1149">
        <f>(AC25-AA25)/AA25*100</f>
        <v>-5.8457953000582634</v>
      </c>
      <c r="AE25" s="329">
        <v>13856</v>
      </c>
      <c r="AF25" s="1149">
        <f>(AE25-AC25)/AC25*100</f>
        <v>-4.7304730473047307</v>
      </c>
      <c r="AG25" s="1231">
        <f>+'11.4-b-İL-ESNAF'!F93</f>
        <v>15592</v>
      </c>
    </row>
    <row r="26" spans="1:33" ht="36" customHeight="1">
      <c r="A26" s="1157" t="s">
        <v>534</v>
      </c>
      <c r="B26" s="1228">
        <v>238456</v>
      </c>
      <c r="C26" s="1228">
        <v>228086</v>
      </c>
      <c r="D26" s="1229">
        <f t="shared" si="0"/>
        <v>-4.3488106820545509</v>
      </c>
      <c r="E26" s="1228">
        <v>181437</v>
      </c>
      <c r="F26" s="1201">
        <f t="shared" si="26"/>
        <v>-20.452373227642205</v>
      </c>
      <c r="G26" s="1228">
        <v>226315</v>
      </c>
      <c r="H26" s="1149">
        <f>(G26-E26)/E26*100</f>
        <v>24.734756416827882</v>
      </c>
      <c r="I26" s="1230">
        <v>226250</v>
      </c>
      <c r="J26" s="1149">
        <f>(I26-G26)/G26*100</f>
        <v>-2.8721030422199149E-2</v>
      </c>
      <c r="K26" s="329">
        <v>229938</v>
      </c>
      <c r="L26" s="1149">
        <f>(K26-I26)/I26*100</f>
        <v>1.6300552486187847</v>
      </c>
      <c r="M26" s="329">
        <v>230475</v>
      </c>
      <c r="N26" s="1149">
        <f>(M26-K26)/K26*100</f>
        <v>0.23354121545808001</v>
      </c>
      <c r="O26" s="329">
        <v>221346</v>
      </c>
      <c r="P26" s="1149">
        <f>(O26-M26)/M26*100</f>
        <v>-3.960950211519688</v>
      </c>
      <c r="Q26" s="329">
        <v>388047</v>
      </c>
      <c r="R26" s="1149">
        <f>(Q26-O26)/O26*100</f>
        <v>75.312406820091624</v>
      </c>
      <c r="S26" s="329">
        <v>374535</v>
      </c>
      <c r="T26" s="1149">
        <f>(S26-Q26)/Q26*100</f>
        <v>-3.4820524317930563</v>
      </c>
      <c r="U26" s="329">
        <v>270780.19647138508</v>
      </c>
      <c r="V26" s="1149">
        <f>(U26-S26)/S26*100</f>
        <v>-27.702298457718218</v>
      </c>
      <c r="W26" s="329">
        <v>195557</v>
      </c>
      <c r="X26" s="1149">
        <f>(W26-U26)/U26*100</f>
        <v>-27.780169100857549</v>
      </c>
      <c r="Y26" s="329">
        <v>166333</v>
      </c>
      <c r="Z26" s="1149">
        <f>(Y26-W26)/W26*100</f>
        <v>-14.943980527416558</v>
      </c>
      <c r="AA26" s="329">
        <v>115513</v>
      </c>
      <c r="AB26" s="1149">
        <f>(AA26-Y26)/Y26*100</f>
        <v>-30.553167441217315</v>
      </c>
      <c r="AC26" s="329">
        <v>104477</v>
      </c>
      <c r="AD26" s="1149">
        <f>(AC26-AA26)/AA26*100</f>
        <v>-9.5539030239020715</v>
      </c>
      <c r="AE26" s="329">
        <v>92239</v>
      </c>
      <c r="AF26" s="1149">
        <f>(AE26-AC26)/AC26*100</f>
        <v>-11.713582893842664</v>
      </c>
      <c r="AG26" s="1231">
        <f>+'11.4-b-İL-ESNAF'!E93</f>
        <v>89543</v>
      </c>
    </row>
    <row r="27" spans="1:33" ht="36" customHeight="1">
      <c r="A27" s="1157" t="s">
        <v>485</v>
      </c>
      <c r="B27" s="1228">
        <v>2167511</v>
      </c>
      <c r="C27" s="1228">
        <v>2163850</v>
      </c>
      <c r="D27" s="1229">
        <f t="shared" si="0"/>
        <v>-0.16890341040945123</v>
      </c>
      <c r="E27" s="1228">
        <v>2245732</v>
      </c>
      <c r="F27" s="1201">
        <f t="shared" si="26"/>
        <v>3.7840885458788733</v>
      </c>
      <c r="G27" s="1228">
        <v>2187137</v>
      </c>
      <c r="H27" s="1149">
        <f>(G27-E27)/E27*100</f>
        <v>-2.6091715307080277</v>
      </c>
      <c r="I27" s="1228">
        <v>2081713</v>
      </c>
      <c r="J27" s="1149">
        <f>(I27-G27)/G27*100</f>
        <v>-4.8201827320373622</v>
      </c>
      <c r="K27" s="329">
        <v>2062689</v>
      </c>
      <c r="L27" s="1149">
        <f>(K27-I27)/I27*100</f>
        <v>-0.91386276590481008</v>
      </c>
      <c r="M27" s="329">
        <v>2034842</v>
      </c>
      <c r="N27" s="1149">
        <f>(M27-K27)/K27*100</f>
        <v>-1.3500338635635327</v>
      </c>
      <c r="O27" s="329">
        <v>1883836</v>
      </c>
      <c r="P27" s="1149">
        <f>(O27-M27)/M27*100</f>
        <v>-7.4210184377951709</v>
      </c>
      <c r="Q27" s="329">
        <v>1816933</v>
      </c>
      <c r="R27" s="1149">
        <f>(Q27-O27)/O27*100</f>
        <v>-3.5514237969759574</v>
      </c>
      <c r="S27" s="329">
        <v>1847844</v>
      </c>
      <c r="T27" s="1149">
        <f>(S27-Q27)/Q27*100</f>
        <v>1.7012735197170177</v>
      </c>
      <c r="U27" s="329">
        <v>1868181</v>
      </c>
      <c r="V27" s="1149">
        <f>(U27-S27)/S27*100</f>
        <v>1.1005799190840786</v>
      </c>
      <c r="W27" s="329">
        <v>1899053</v>
      </c>
      <c r="X27" s="1149">
        <f>(W27-U27)/U27*100</f>
        <v>1.6525165388150291</v>
      </c>
      <c r="Y27" s="329">
        <v>1821939</v>
      </c>
      <c r="Z27" s="1149">
        <f>(Y27-W27)/W27*100</f>
        <v>-4.0606554951336271</v>
      </c>
      <c r="AA27" s="329">
        <v>1947718</v>
      </c>
      <c r="AB27" s="1149">
        <f>(AA27-Y27)/Y27*100</f>
        <v>6.9035790989709316</v>
      </c>
      <c r="AC27" s="329">
        <v>2021157</v>
      </c>
      <c r="AD27" s="1149">
        <f>(AC27-AA27)/AA27*100</f>
        <v>3.7705150334904745</v>
      </c>
      <c r="AE27" s="329">
        <v>1969805</v>
      </c>
      <c r="AF27" s="1149">
        <f>(AE27-AC27)/AC27*100</f>
        <v>-2.5407229621449496</v>
      </c>
      <c r="AG27" s="1231">
        <f>+'11.4-b-İL-ESNAF'!D93</f>
        <v>2015579</v>
      </c>
    </row>
    <row r="28" spans="1:33" ht="36" customHeight="1">
      <c r="A28" s="1232" t="s">
        <v>106</v>
      </c>
      <c r="B28" s="1228"/>
      <c r="C28" s="1228"/>
      <c r="D28" s="1229"/>
      <c r="E28" s="1228"/>
      <c r="F28" s="1201"/>
      <c r="G28" s="1228"/>
      <c r="H28" s="1149"/>
      <c r="I28" s="1228"/>
      <c r="J28" s="1149"/>
      <c r="K28" s="1228"/>
      <c r="L28" s="1149"/>
      <c r="M28" s="1228"/>
      <c r="N28" s="1149"/>
      <c r="O28" s="1228"/>
      <c r="P28" s="1149"/>
      <c r="Q28" s="1228"/>
      <c r="R28" s="1149"/>
      <c r="S28" s="1228"/>
      <c r="T28" s="1149"/>
      <c r="U28" s="1228"/>
      <c r="V28" s="1149"/>
      <c r="W28" s="1228"/>
      <c r="X28" s="1149"/>
      <c r="Y28" s="1228"/>
      <c r="Z28" s="1149"/>
      <c r="AA28" s="1228"/>
      <c r="AB28" s="1149"/>
      <c r="AC28" s="1228"/>
      <c r="AD28" s="1149"/>
      <c r="AE28" s="1228"/>
      <c r="AF28" s="1149"/>
      <c r="AG28" s="1233"/>
    </row>
    <row r="29" spans="1:33" ht="32.25" customHeight="1">
      <c r="A29" s="1232" t="s">
        <v>542</v>
      </c>
      <c r="B29" s="1234">
        <v>1042118</v>
      </c>
      <c r="C29" s="1234">
        <v>1078292</v>
      </c>
      <c r="D29" s="1235">
        <f t="shared" si="0"/>
        <v>3.4711999984646651</v>
      </c>
      <c r="E29" s="1234">
        <v>1111548</v>
      </c>
      <c r="F29" s="1201">
        <f t="shared" si="26"/>
        <v>3.0841367644385751</v>
      </c>
      <c r="G29" s="1234">
        <v>1161739</v>
      </c>
      <c r="H29" s="1149">
        <f t="shared" ref="H29:H34" si="27">(G29-E29)/E29*100</f>
        <v>4.5154145390032641</v>
      </c>
      <c r="I29" s="1234">
        <v>1231794</v>
      </c>
      <c r="J29" s="1149">
        <f t="shared" ref="J29:J34" si="28">(I29-G29)/G29*100</f>
        <v>6.0301840602751566</v>
      </c>
      <c r="K29" s="1234">
        <v>1331637</v>
      </c>
      <c r="L29" s="1149">
        <f t="shared" ref="L29:L34" si="29">(K29-I29)/I29*100</f>
        <v>8.1054949122986475</v>
      </c>
      <c r="M29" s="1234">
        <v>1385129</v>
      </c>
      <c r="N29" s="1149">
        <f t="shared" ref="N29:P34" si="30">(M29-K29)/K29*100</f>
        <v>4.0170106417890166</v>
      </c>
      <c r="O29" s="1234">
        <f>+O31+O32+O33+O35+O36</f>
        <v>1471458</v>
      </c>
      <c r="P29" s="1149">
        <f t="shared" si="30"/>
        <v>6.2325602886084974</v>
      </c>
      <c r="Q29" s="1234">
        <f>+Q31+Q32+Q33+Q35+Q36</f>
        <v>1568225</v>
      </c>
      <c r="R29" s="1149">
        <f t="shared" ref="R29:R34" si="31">(Q29-O29)/O29*100</f>
        <v>6.5762665329217693</v>
      </c>
      <c r="S29" s="1234">
        <f>+S31+S32+S33+S35+S36</f>
        <v>1598513</v>
      </c>
      <c r="T29" s="1149">
        <f t="shared" ref="T29:X34" si="32">(S29-Q29)/Q29*100</f>
        <v>1.9313555133989062</v>
      </c>
      <c r="U29" s="1234">
        <f>+U31+U32+U33+U35+U36</f>
        <v>1667522</v>
      </c>
      <c r="V29" s="1149">
        <f t="shared" si="32"/>
        <v>4.3170746812819161</v>
      </c>
      <c r="W29" s="1234">
        <f>W31+W32+W33+W35+W36</f>
        <v>1719984</v>
      </c>
      <c r="X29" s="1149">
        <f t="shared" si="32"/>
        <v>3.1461054186991237</v>
      </c>
      <c r="Y29" s="1234">
        <f>Y31+Y32+Y33+Y35+Y36</f>
        <v>1693036</v>
      </c>
      <c r="Z29" s="1149">
        <f t="shared" ref="Z29:AF34" si="33">(Y29-W29)/W29*100</f>
        <v>-1.5667587605466098</v>
      </c>
      <c r="AA29" s="1234">
        <f>AA31+AA32+AA33+AA35+AA36</f>
        <v>1715758</v>
      </c>
      <c r="AB29" s="1149">
        <f t="shared" si="33"/>
        <v>1.342086051330273</v>
      </c>
      <c r="AC29" s="1234">
        <f>AC31+AC32+AC33+AC35+AC36</f>
        <v>1846998</v>
      </c>
      <c r="AD29" s="1149">
        <f t="shared" si="33"/>
        <v>7.6490973668780802</v>
      </c>
      <c r="AE29" s="1234">
        <v>1765680</v>
      </c>
      <c r="AF29" s="1149">
        <f t="shared" si="33"/>
        <v>-4.4027118600020145</v>
      </c>
      <c r="AG29" s="1236">
        <f>AG31+AG32+AG33+AG35+AG36</f>
        <v>1771537</v>
      </c>
    </row>
    <row r="30" spans="1:33" ht="32.25" customHeight="1">
      <c r="A30" s="1232" t="s">
        <v>626</v>
      </c>
      <c r="B30" s="1234">
        <v>1195327</v>
      </c>
      <c r="C30" s="1234">
        <v>1226808</v>
      </c>
      <c r="D30" s="1235">
        <f t="shared" si="0"/>
        <v>2.6336726268209452</v>
      </c>
      <c r="E30" s="1234">
        <v>1258623</v>
      </c>
      <c r="F30" s="1201">
        <f t="shared" si="26"/>
        <v>2.5933153354070075</v>
      </c>
      <c r="G30" s="1234">
        <v>1311106</v>
      </c>
      <c r="H30" s="1149">
        <f t="shared" si="27"/>
        <v>4.1698745374905748</v>
      </c>
      <c r="I30" s="1234">
        <v>1375681</v>
      </c>
      <c r="J30" s="1149">
        <f t="shared" si="28"/>
        <v>4.9252310644600819</v>
      </c>
      <c r="K30" s="1234">
        <f>+K31+K32+K34</f>
        <v>1477905</v>
      </c>
      <c r="L30" s="1149">
        <f t="shared" si="29"/>
        <v>7.4307924584260441</v>
      </c>
      <c r="M30" s="1234">
        <v>1528909</v>
      </c>
      <c r="N30" s="1149">
        <f t="shared" si="30"/>
        <v>3.4511013901434802</v>
      </c>
      <c r="O30" s="1234">
        <f>O31+O32+O34+O35+O37</f>
        <v>1616861</v>
      </c>
      <c r="P30" s="1149">
        <f t="shared" si="30"/>
        <v>5.752598748519369</v>
      </c>
      <c r="Q30" s="1234">
        <f>Q31+Q32+Q34+Q35+Q37</f>
        <v>1687984</v>
      </c>
      <c r="R30" s="1149">
        <f t="shared" si="31"/>
        <v>4.3988320579196358</v>
      </c>
      <c r="S30" s="1234">
        <f>S31+S32+S34+S35+S37</f>
        <v>1730034</v>
      </c>
      <c r="T30" s="1149">
        <f t="shared" si="32"/>
        <v>2.4911373567521968</v>
      </c>
      <c r="U30" s="1234">
        <f>U31+U32+U34+U35+U37</f>
        <v>1831298</v>
      </c>
      <c r="V30" s="1149">
        <f t="shared" si="32"/>
        <v>5.8532953687615388</v>
      </c>
      <c r="W30" s="1234">
        <f>W31+W32+W34+W35+W37</f>
        <v>1886242</v>
      </c>
      <c r="X30" s="1149">
        <f t="shared" si="32"/>
        <v>3.000276306750731</v>
      </c>
      <c r="Y30" s="1234">
        <f>Y31+Y32+Y34+Y35+Y37</f>
        <v>1821114</v>
      </c>
      <c r="Z30" s="1149">
        <f t="shared" si="33"/>
        <v>-3.4527913173389204</v>
      </c>
      <c r="AA30" s="1234">
        <f>AA31+AA32+AA34+AA35+AA37</f>
        <v>1840980</v>
      </c>
      <c r="AB30" s="1149">
        <f t="shared" si="33"/>
        <v>1.0908707527370609</v>
      </c>
      <c r="AC30" s="1234">
        <f>AC31+AC32+AC34+AC35+AC37</f>
        <v>1879938</v>
      </c>
      <c r="AD30" s="1149">
        <f t="shared" si="33"/>
        <v>2.1161555258612261</v>
      </c>
      <c r="AE30" s="1234">
        <v>1887472</v>
      </c>
      <c r="AF30" s="1149">
        <f t="shared" si="33"/>
        <v>0.40075789733491213</v>
      </c>
      <c r="AG30" s="1236">
        <f>AG31+AG32+AG34+AG35+AG37</f>
        <v>1896860</v>
      </c>
    </row>
    <row r="31" spans="1:33" ht="32.25" customHeight="1">
      <c r="A31" s="1157" t="s">
        <v>759</v>
      </c>
      <c r="B31" s="1228">
        <v>698559</v>
      </c>
      <c r="C31" s="1228">
        <v>717326</v>
      </c>
      <c r="D31" s="1229">
        <f t="shared" si="0"/>
        <v>2.6865304147538001</v>
      </c>
      <c r="E31" s="1228">
        <v>733984</v>
      </c>
      <c r="F31" s="1201">
        <f t="shared" si="26"/>
        <v>2.3222356362379166</v>
      </c>
      <c r="G31" s="1228">
        <v>767032</v>
      </c>
      <c r="H31" s="1149">
        <f t="shared" si="27"/>
        <v>4.5025504643152985</v>
      </c>
      <c r="I31" s="1228">
        <v>820781</v>
      </c>
      <c r="J31" s="1149">
        <f t="shared" si="28"/>
        <v>7.0073999520228618</v>
      </c>
      <c r="K31" s="1228">
        <v>904676</v>
      </c>
      <c r="L31" s="1149">
        <f t="shared" si="29"/>
        <v>10.221362336603795</v>
      </c>
      <c r="M31" s="1228">
        <v>945782</v>
      </c>
      <c r="N31" s="1149">
        <f t="shared" si="30"/>
        <v>4.5437261516830336</v>
      </c>
      <c r="O31" s="1228">
        <v>1011711</v>
      </c>
      <c r="P31" s="1149">
        <f t="shared" si="30"/>
        <v>6.9708452899293922</v>
      </c>
      <c r="Q31" s="1228">
        <v>1062306</v>
      </c>
      <c r="R31" s="1149">
        <f t="shared" si="31"/>
        <v>5.000934061209179</v>
      </c>
      <c r="S31" s="1228">
        <v>1086678</v>
      </c>
      <c r="T31" s="1149">
        <f t="shared" si="32"/>
        <v>2.2942541979429656</v>
      </c>
      <c r="U31" s="1228">
        <v>1135172</v>
      </c>
      <c r="V31" s="1149">
        <f t="shared" si="32"/>
        <v>4.4625914944445366</v>
      </c>
      <c r="W31" s="1228">
        <v>1157099</v>
      </c>
      <c r="X31" s="1149">
        <f t="shared" si="32"/>
        <v>1.9316015546542726</v>
      </c>
      <c r="Y31" s="1228">
        <v>1161431</v>
      </c>
      <c r="Z31" s="1149">
        <f t="shared" si="33"/>
        <v>0.37438456000739778</v>
      </c>
      <c r="AA31" s="1228">
        <v>1170070</v>
      </c>
      <c r="AB31" s="1149">
        <f t="shared" si="33"/>
        <v>0.74382378290229889</v>
      </c>
      <c r="AC31" s="1228">
        <v>1192240</v>
      </c>
      <c r="AD31" s="1149">
        <f t="shared" si="33"/>
        <v>1.89475843325613</v>
      </c>
      <c r="AE31" s="1228">
        <v>1189705</v>
      </c>
      <c r="AF31" s="1149">
        <f t="shared" si="33"/>
        <v>-0.2126249748372811</v>
      </c>
      <c r="AG31" s="1233">
        <f>+'11.4-b-İL-ESNAF'!H93</f>
        <v>1188283</v>
      </c>
    </row>
    <row r="32" spans="1:33" ht="32.25" customHeight="1">
      <c r="A32" s="1157" t="s">
        <v>486</v>
      </c>
      <c r="B32" s="1228">
        <v>15054</v>
      </c>
      <c r="C32" s="1228">
        <v>15059</v>
      </c>
      <c r="D32" s="1229">
        <f t="shared" si="0"/>
        <v>3.3213763783711971E-2</v>
      </c>
      <c r="E32" s="1228">
        <v>14643</v>
      </c>
      <c r="F32" s="1201">
        <f t="shared" si="26"/>
        <v>-2.7624676273324922</v>
      </c>
      <c r="G32" s="1228">
        <v>14642</v>
      </c>
      <c r="H32" s="1149">
        <f t="shared" si="27"/>
        <v>-6.8292016663252068E-3</v>
      </c>
      <c r="I32" s="1228">
        <v>14222</v>
      </c>
      <c r="J32" s="1149">
        <f t="shared" si="28"/>
        <v>-2.8684605928151892</v>
      </c>
      <c r="K32" s="1228">
        <v>13742</v>
      </c>
      <c r="L32" s="1149">
        <f t="shared" si="29"/>
        <v>-3.3750527351989876</v>
      </c>
      <c r="M32" s="1228">
        <v>13231</v>
      </c>
      <c r="N32" s="1149">
        <f t="shared" si="30"/>
        <v>-3.7185271430650562</v>
      </c>
      <c r="O32" s="1228">
        <v>12918</v>
      </c>
      <c r="P32" s="1149">
        <f t="shared" si="30"/>
        <v>-2.3656564129695412</v>
      </c>
      <c r="Q32" s="1228">
        <v>13258</v>
      </c>
      <c r="R32" s="1149">
        <f t="shared" si="31"/>
        <v>2.6319863755999382</v>
      </c>
      <c r="S32" s="1228">
        <v>13992</v>
      </c>
      <c r="T32" s="1149">
        <f t="shared" si="32"/>
        <v>5.5362799818977226</v>
      </c>
      <c r="U32" s="1228">
        <v>14530</v>
      </c>
      <c r="V32" s="1149">
        <f t="shared" si="32"/>
        <v>3.8450543167524298</v>
      </c>
      <c r="W32" s="1228">
        <v>15367</v>
      </c>
      <c r="X32" s="1149">
        <f t="shared" si="32"/>
        <v>5.7604955264969036</v>
      </c>
      <c r="Y32" s="1228">
        <v>14582</v>
      </c>
      <c r="Z32" s="1149">
        <f t="shared" si="33"/>
        <v>-5.1083490596733263</v>
      </c>
      <c r="AA32" s="1228">
        <v>15149</v>
      </c>
      <c r="AB32" s="1149">
        <f t="shared" si="33"/>
        <v>3.8883555067891922</v>
      </c>
      <c r="AC32" s="1228">
        <v>15426</v>
      </c>
      <c r="AD32" s="1149">
        <f t="shared" si="33"/>
        <v>1.8285035315862432</v>
      </c>
      <c r="AE32" s="1228">
        <v>15611</v>
      </c>
      <c r="AF32" s="1149">
        <f t="shared" si="33"/>
        <v>1.1992739530662517</v>
      </c>
      <c r="AG32" s="1233">
        <f>+'11.4-b-İL-ESNAF'!G93</f>
        <v>15731</v>
      </c>
    </row>
    <row r="33" spans="1:33" ht="32.25" customHeight="1">
      <c r="A33" s="1157" t="s">
        <v>634</v>
      </c>
      <c r="B33" s="1228">
        <v>328505</v>
      </c>
      <c r="C33" s="1228">
        <v>345907</v>
      </c>
      <c r="D33" s="1229">
        <f t="shared" si="0"/>
        <v>5.2973318518744001</v>
      </c>
      <c r="E33" s="1228">
        <v>362921</v>
      </c>
      <c r="F33" s="1201">
        <f t="shared" si="26"/>
        <v>4.9186631088703034</v>
      </c>
      <c r="G33" s="1228">
        <v>380065</v>
      </c>
      <c r="H33" s="1149">
        <f t="shared" si="27"/>
        <v>4.7238930786589917</v>
      </c>
      <c r="I33" s="1228">
        <v>396791</v>
      </c>
      <c r="J33" s="1149">
        <f t="shared" si="28"/>
        <v>4.400826174470156</v>
      </c>
      <c r="K33" s="1228">
        <v>413219</v>
      </c>
      <c r="L33" s="1149">
        <f t="shared" si="29"/>
        <v>4.1402148738252631</v>
      </c>
      <c r="M33" s="1228">
        <v>426116</v>
      </c>
      <c r="N33" s="1149">
        <f t="shared" si="30"/>
        <v>3.1211052734748401</v>
      </c>
      <c r="O33" s="1228">
        <v>446828</v>
      </c>
      <c r="P33" s="1149">
        <f t="shared" si="30"/>
        <v>4.8606482741788621</v>
      </c>
      <c r="Q33" s="1228">
        <v>492656</v>
      </c>
      <c r="R33" s="1149">
        <f t="shared" si="31"/>
        <v>10.256295487301601</v>
      </c>
      <c r="S33" s="1228">
        <v>497831</v>
      </c>
      <c r="T33" s="1149">
        <f t="shared" si="32"/>
        <v>1.0504286966970868</v>
      </c>
      <c r="U33" s="1228">
        <v>517791</v>
      </c>
      <c r="V33" s="1149">
        <f t="shared" si="32"/>
        <v>4.009392745730981</v>
      </c>
      <c r="W33" s="1228">
        <v>547424</v>
      </c>
      <c r="X33" s="1149">
        <f t="shared" si="32"/>
        <v>5.722965443586312</v>
      </c>
      <c r="Y33" s="1228">
        <v>516889</v>
      </c>
      <c r="Z33" s="1149">
        <f t="shared" si="33"/>
        <v>-5.5779432396095165</v>
      </c>
      <c r="AA33" s="1228">
        <v>530365</v>
      </c>
      <c r="AB33" s="1149">
        <f t="shared" si="33"/>
        <v>2.6071361549578342</v>
      </c>
      <c r="AC33" s="1228">
        <v>638947</v>
      </c>
      <c r="AD33" s="1149">
        <f t="shared" si="33"/>
        <v>20.473070432626585</v>
      </c>
      <c r="AE33" s="1228">
        <v>560083</v>
      </c>
      <c r="AF33" s="1149">
        <f t="shared" si="33"/>
        <v>-12.342807775918816</v>
      </c>
      <c r="AG33" s="1233">
        <f>+'11.4-b-İL-ESNAF'!I93</f>
        <v>567212</v>
      </c>
    </row>
    <row r="34" spans="1:33" ht="32.25" customHeight="1">
      <c r="A34" s="1157" t="s">
        <v>488</v>
      </c>
      <c r="B34" s="1228">
        <v>481714</v>
      </c>
      <c r="C34" s="1228">
        <v>494423</v>
      </c>
      <c r="D34" s="1229">
        <f t="shared" si="0"/>
        <v>2.6382874485690677</v>
      </c>
      <c r="E34" s="1228">
        <v>509996</v>
      </c>
      <c r="F34" s="1201">
        <f t="shared" si="26"/>
        <v>3.149732111976991</v>
      </c>
      <c r="G34" s="1228">
        <v>529432</v>
      </c>
      <c r="H34" s="1149">
        <f t="shared" si="27"/>
        <v>3.8110102824335876</v>
      </c>
      <c r="I34" s="1228">
        <v>540678</v>
      </c>
      <c r="J34" s="1149">
        <f t="shared" si="28"/>
        <v>2.1241632542045057</v>
      </c>
      <c r="K34" s="1228">
        <v>559487</v>
      </c>
      <c r="L34" s="1149">
        <f t="shared" si="29"/>
        <v>3.4787803461579716</v>
      </c>
      <c r="M34" s="1228">
        <v>569896</v>
      </c>
      <c r="N34" s="1149">
        <f t="shared" si="30"/>
        <v>1.8604543090366712</v>
      </c>
      <c r="O34" s="1228">
        <v>592231</v>
      </c>
      <c r="P34" s="1149">
        <f t="shared" si="30"/>
        <v>3.9191361230821062</v>
      </c>
      <c r="Q34" s="1228">
        <v>612407</v>
      </c>
      <c r="R34" s="1149">
        <f t="shared" si="31"/>
        <v>3.4067787738230519</v>
      </c>
      <c r="S34" s="1228">
        <v>629325</v>
      </c>
      <c r="T34" s="1149">
        <f t="shared" si="32"/>
        <v>2.7625419043217989</v>
      </c>
      <c r="U34" s="1228">
        <v>681523</v>
      </c>
      <c r="V34" s="1149">
        <f t="shared" si="32"/>
        <v>8.2942835577801617</v>
      </c>
      <c r="W34" s="1228">
        <v>713528</v>
      </c>
      <c r="X34" s="1149">
        <f t="shared" si="32"/>
        <v>4.6960997647915041</v>
      </c>
      <c r="Y34" s="1228">
        <v>644767</v>
      </c>
      <c r="Z34" s="1149">
        <f t="shared" si="33"/>
        <v>-9.6367626778486617</v>
      </c>
      <c r="AA34" s="1228">
        <v>655340</v>
      </c>
      <c r="AB34" s="1149">
        <f t="shared" si="33"/>
        <v>1.6398171742660526</v>
      </c>
      <c r="AC34" s="1228">
        <v>671793</v>
      </c>
      <c r="AD34" s="1149">
        <f t="shared" si="33"/>
        <v>2.5106051820429092</v>
      </c>
      <c r="AE34" s="1228">
        <v>681555</v>
      </c>
      <c r="AF34" s="1149">
        <f t="shared" si="33"/>
        <v>1.4531261861912821</v>
      </c>
      <c r="AG34" s="1233">
        <f>+'11.4-b-İL-ESNAF'!J93</f>
        <v>692183</v>
      </c>
    </row>
    <row r="35" spans="1:33" ht="32.25" customHeight="1">
      <c r="A35" s="1200" t="s">
        <v>1049</v>
      </c>
      <c r="B35" s="1206" t="s">
        <v>686</v>
      </c>
      <c r="C35" s="1206" t="s">
        <v>686</v>
      </c>
      <c r="D35" s="1207"/>
      <c r="E35" s="1206" t="s">
        <v>686</v>
      </c>
      <c r="F35" s="1206" t="s">
        <v>686</v>
      </c>
      <c r="G35" s="1206" t="s">
        <v>686</v>
      </c>
      <c r="H35" s="1206" t="s">
        <v>686</v>
      </c>
      <c r="I35" s="1206" t="s">
        <v>686</v>
      </c>
      <c r="J35" s="1206" t="s">
        <v>686</v>
      </c>
      <c r="K35" s="1206" t="s">
        <v>686</v>
      </c>
      <c r="L35" s="1206" t="s">
        <v>686</v>
      </c>
      <c r="M35" s="1206" t="s">
        <v>686</v>
      </c>
      <c r="N35" s="1206" t="s">
        <v>686</v>
      </c>
      <c r="O35" s="1206">
        <v>0</v>
      </c>
      <c r="P35" s="1206" t="s">
        <v>686</v>
      </c>
      <c r="Q35" s="1206">
        <v>0</v>
      </c>
      <c r="R35" s="1206" t="s">
        <v>686</v>
      </c>
      <c r="S35" s="1228">
        <v>3</v>
      </c>
      <c r="T35" s="1206" t="s">
        <v>686</v>
      </c>
      <c r="U35" s="1206">
        <v>13</v>
      </c>
      <c r="V35" s="1206" t="s">
        <v>686</v>
      </c>
      <c r="W35" s="1206">
        <v>25</v>
      </c>
      <c r="X35" s="1206" t="s">
        <v>686</v>
      </c>
      <c r="Y35" s="1228">
        <v>37</v>
      </c>
      <c r="Z35" s="1206" t="s">
        <v>686</v>
      </c>
      <c r="AA35" s="1228">
        <v>47</v>
      </c>
      <c r="AB35" s="1206" t="s">
        <v>686</v>
      </c>
      <c r="AC35" s="1228">
        <v>73</v>
      </c>
      <c r="AD35" s="1206" t="s">
        <v>686</v>
      </c>
      <c r="AE35" s="1228">
        <v>107</v>
      </c>
      <c r="AF35" s="1206" t="s">
        <v>686</v>
      </c>
      <c r="AG35" s="1233">
        <f>+'11.4-b-İL-ESNAF'!K93</f>
        <v>124</v>
      </c>
    </row>
    <row r="36" spans="1:33" ht="32.25" customHeight="1">
      <c r="A36" s="1200" t="s">
        <v>1189</v>
      </c>
      <c r="B36" s="1206"/>
      <c r="C36" s="1206"/>
      <c r="D36" s="1207"/>
      <c r="E36" s="1206" t="s">
        <v>686</v>
      </c>
      <c r="F36" s="1206" t="s">
        <v>686</v>
      </c>
      <c r="G36" s="1206" t="s">
        <v>686</v>
      </c>
      <c r="H36" s="1206" t="s">
        <v>686</v>
      </c>
      <c r="I36" s="1206" t="s">
        <v>686</v>
      </c>
      <c r="J36" s="1206" t="s">
        <v>686</v>
      </c>
      <c r="K36" s="1206" t="s">
        <v>686</v>
      </c>
      <c r="L36" s="1206" t="s">
        <v>686</v>
      </c>
      <c r="M36" s="1206" t="s">
        <v>686</v>
      </c>
      <c r="N36" s="1206" t="s">
        <v>686</v>
      </c>
      <c r="O36" s="1206">
        <v>1</v>
      </c>
      <c r="P36" s="1206" t="s">
        <v>686</v>
      </c>
      <c r="Q36" s="1206">
        <v>5</v>
      </c>
      <c r="R36" s="1206" t="s">
        <v>686</v>
      </c>
      <c r="S36" s="1206">
        <v>9</v>
      </c>
      <c r="T36" s="1206" t="s">
        <v>686</v>
      </c>
      <c r="U36" s="1206">
        <v>16</v>
      </c>
      <c r="V36" s="1206" t="s">
        <v>686</v>
      </c>
      <c r="W36" s="1206">
        <v>69</v>
      </c>
      <c r="X36" s="1206" t="s">
        <v>686</v>
      </c>
      <c r="Y36" s="1206">
        <v>97</v>
      </c>
      <c r="Z36" s="1206" t="s">
        <v>686</v>
      </c>
      <c r="AA36" s="1206">
        <v>127</v>
      </c>
      <c r="AB36" s="1206" t="s">
        <v>686</v>
      </c>
      <c r="AC36" s="1228">
        <v>312</v>
      </c>
      <c r="AD36" s="1206" t="s">
        <v>686</v>
      </c>
      <c r="AE36" s="1228">
        <v>174</v>
      </c>
      <c r="AF36" s="1206" t="s">
        <v>686</v>
      </c>
      <c r="AG36" s="1233">
        <f>+'11.4-b-İL-ESNAF'!L93</f>
        <v>187</v>
      </c>
    </row>
    <row r="37" spans="1:33" ht="32.25" customHeight="1">
      <c r="A37" s="1200" t="s">
        <v>1050</v>
      </c>
      <c r="B37" s="1206"/>
      <c r="C37" s="1206"/>
      <c r="D37" s="1207"/>
      <c r="E37" s="1206" t="s">
        <v>686</v>
      </c>
      <c r="F37" s="1206" t="s">
        <v>686</v>
      </c>
      <c r="G37" s="1206" t="s">
        <v>686</v>
      </c>
      <c r="H37" s="1206" t="s">
        <v>686</v>
      </c>
      <c r="I37" s="1206" t="s">
        <v>686</v>
      </c>
      <c r="J37" s="1206" t="s">
        <v>686</v>
      </c>
      <c r="K37" s="1206" t="s">
        <v>686</v>
      </c>
      <c r="L37" s="1206" t="s">
        <v>686</v>
      </c>
      <c r="M37" s="1206" t="s">
        <v>686</v>
      </c>
      <c r="N37" s="1206" t="s">
        <v>686</v>
      </c>
      <c r="O37" s="1206">
        <v>1</v>
      </c>
      <c r="P37" s="1206" t="s">
        <v>686</v>
      </c>
      <c r="Q37" s="1206">
        <v>13</v>
      </c>
      <c r="R37" s="1206" t="s">
        <v>686</v>
      </c>
      <c r="S37" s="1206">
        <v>36</v>
      </c>
      <c r="T37" s="1206" t="s">
        <v>686</v>
      </c>
      <c r="U37" s="1206">
        <v>60</v>
      </c>
      <c r="V37" s="1206" t="s">
        <v>686</v>
      </c>
      <c r="W37" s="1206">
        <v>223</v>
      </c>
      <c r="X37" s="1206" t="s">
        <v>686</v>
      </c>
      <c r="Y37" s="1206">
        <v>297</v>
      </c>
      <c r="Z37" s="1206" t="s">
        <v>686</v>
      </c>
      <c r="AA37" s="1206">
        <v>374</v>
      </c>
      <c r="AB37" s="1206" t="s">
        <v>686</v>
      </c>
      <c r="AC37" s="1228">
        <v>406</v>
      </c>
      <c r="AD37" s="1206" t="s">
        <v>686</v>
      </c>
      <c r="AE37" s="1228">
        <v>494</v>
      </c>
      <c r="AF37" s="1206" t="s">
        <v>686</v>
      </c>
      <c r="AG37" s="1233">
        <f>+'11.4-b-İL-ESNAF'!M93</f>
        <v>539</v>
      </c>
    </row>
    <row r="38" spans="1:33" ht="30" customHeight="1">
      <c r="A38" s="1177" t="s">
        <v>777</v>
      </c>
      <c r="B38" s="1206">
        <v>7333848.006481681</v>
      </c>
      <c r="C38" s="1206">
        <v>7315132.3880267432</v>
      </c>
      <c r="D38" s="1207">
        <f t="shared" si="0"/>
        <v>-0.25519506865150315</v>
      </c>
      <c r="E38" s="1206">
        <v>7419300.7471274519</v>
      </c>
      <c r="F38" s="1206"/>
      <c r="G38" s="1206">
        <v>7413740.2983186189</v>
      </c>
      <c r="H38" s="1206"/>
      <c r="I38" s="1206">
        <v>7126425.9198095407</v>
      </c>
      <c r="J38" s="1206"/>
      <c r="K38" s="1206">
        <v>7192084.3766003149</v>
      </c>
      <c r="L38" s="1206"/>
      <c r="M38" s="1206">
        <v>7141280.4226907985</v>
      </c>
      <c r="N38" s="1206"/>
      <c r="O38" s="1206">
        <v>6790875</v>
      </c>
      <c r="P38" s="1206"/>
      <c r="Q38" s="1206">
        <v>7037099.880583996</v>
      </c>
      <c r="R38" s="1206"/>
      <c r="S38" s="1228">
        <v>7158992.2698762566</v>
      </c>
      <c r="T38" s="1206"/>
      <c r="U38" s="1228">
        <v>7081523.6017252095</v>
      </c>
      <c r="V38" s="1206"/>
      <c r="W38" s="1228">
        <v>6996713.8071846478</v>
      </c>
      <c r="X38" s="1206"/>
      <c r="Y38" s="1228">
        <v>6742359.2300342526</v>
      </c>
      <c r="Z38" s="1206"/>
      <c r="AA38" s="1228">
        <v>7013947</v>
      </c>
      <c r="AB38" s="1206"/>
      <c r="AC38" s="1228">
        <v>7225092.9444077592</v>
      </c>
      <c r="AD38" s="1206"/>
      <c r="AE38" s="1228">
        <v>7060004.3134306893</v>
      </c>
      <c r="AF38" s="1206"/>
      <c r="AG38" s="1233">
        <f>+AG40-AG24-AG30</f>
        <v>7205237.7385011576</v>
      </c>
    </row>
    <row r="39" spans="1:33" ht="24" customHeight="1">
      <c r="A39" s="1232" t="s">
        <v>489</v>
      </c>
      <c r="B39" s="1237">
        <v>2.3381766748103381</v>
      </c>
      <c r="C39" s="1237">
        <v>2.2448845025280724</v>
      </c>
      <c r="D39" s="1235"/>
      <c r="E39" s="1237">
        <f>+E24/E29</f>
        <v>2.2045003904464764</v>
      </c>
      <c r="F39" s="1237" t="s">
        <v>729</v>
      </c>
      <c r="G39" s="1237">
        <f>+G24/G29</f>
        <v>2.0991065979535852</v>
      </c>
      <c r="H39" s="1237" t="s">
        <v>729</v>
      </c>
      <c r="I39" s="1237">
        <f>+I24/I29</f>
        <v>1.8914696775597217</v>
      </c>
      <c r="J39" s="1237" t="s">
        <v>729</v>
      </c>
      <c r="K39" s="1237">
        <f>+K24/K29</f>
        <v>1.7364011363457159</v>
      </c>
      <c r="L39" s="1237" t="s">
        <v>729</v>
      </c>
      <c r="M39" s="1237">
        <f>+M24/M29</f>
        <v>1.6482645298741128</v>
      </c>
      <c r="N39" s="1237" t="s">
        <v>729</v>
      </c>
      <c r="O39" s="1237">
        <f>+O24/O29</f>
        <v>1.4402395447236687</v>
      </c>
      <c r="P39" s="1237" t="s">
        <v>729</v>
      </c>
      <c r="Q39" s="1237">
        <f>+Q24/Q29</f>
        <v>1.4157279727079979</v>
      </c>
      <c r="R39" s="1237" t="s">
        <v>729</v>
      </c>
      <c r="S39" s="1237">
        <f>+S24/S29</f>
        <v>1.3992548074366615</v>
      </c>
      <c r="T39" s="1149"/>
      <c r="U39" s="1237">
        <f>+U24/U29</f>
        <v>1.2902499616025367</v>
      </c>
      <c r="V39" s="1149"/>
      <c r="W39" s="1237">
        <v>1.2245151649936188</v>
      </c>
      <c r="X39" s="1149"/>
      <c r="Y39" s="1238">
        <v>1.1805986405486948</v>
      </c>
      <c r="Z39" s="1149"/>
      <c r="AA39" s="1238">
        <f>+AA24/AA29</f>
        <v>1.2115216714711514</v>
      </c>
      <c r="AB39" s="1149"/>
      <c r="AC39" s="1238">
        <v>1.1587332525536032</v>
      </c>
      <c r="AD39" s="1149"/>
      <c r="AE39" s="1238">
        <v>1.1756943500521047</v>
      </c>
      <c r="AF39" s="1149"/>
      <c r="AG39" s="1239">
        <f>+AG24/AG29</f>
        <v>1.1971039837158355</v>
      </c>
    </row>
    <row r="40" spans="1:33" ht="24" customHeight="1">
      <c r="A40" s="1240" t="s">
        <v>804</v>
      </c>
      <c r="B40" s="1241">
        <v>10965831.006481681</v>
      </c>
      <c r="C40" s="1241">
        <v>10962581.388026744</v>
      </c>
      <c r="D40" s="1213">
        <f t="shared" si="0"/>
        <v>-2.9634037338493617E-2</v>
      </c>
      <c r="E40" s="1241">
        <f>+E38+E30+E24</f>
        <v>11128331.747127451</v>
      </c>
      <c r="F40" s="1214">
        <f t="shared" si="26"/>
        <v>1.5119646845380621</v>
      </c>
      <c r="G40" s="1241">
        <f>+G38+G30+G24</f>
        <v>11163460.298318619</v>
      </c>
      <c r="H40" s="1213">
        <f>(G40-E40)/E40*100</f>
        <v>0.31566772081750361</v>
      </c>
      <c r="I40" s="1241">
        <f>+I38+I30+I24</f>
        <v>10832007.919809541</v>
      </c>
      <c r="J40" s="1213">
        <f>(I40-G40)/G40*100</f>
        <v>-2.9690827902079766</v>
      </c>
      <c r="K40" s="1241">
        <f>+K38+K30+K24</f>
        <v>10982245.376600314</v>
      </c>
      <c r="L40" s="1213">
        <f>(K40-I40)/I40*100</f>
        <v>1.3869769843504214</v>
      </c>
      <c r="M40" s="1241">
        <f>+M38+M30+M24</f>
        <v>10953248.422690798</v>
      </c>
      <c r="N40" s="1213">
        <f>(M40-K40)/K40*100</f>
        <v>-0.26403483909856595</v>
      </c>
      <c r="O40" s="1241">
        <f>+O38+O30+O24</f>
        <v>10526988</v>
      </c>
      <c r="P40" s="1213">
        <f>(O40-M40)/M40*100</f>
        <v>-3.8916347574821244</v>
      </c>
      <c r="Q40" s="1241">
        <f>+Q38+Q30+Q24</f>
        <v>10945263.880583996</v>
      </c>
      <c r="R40" s="1213"/>
      <c r="S40" s="1241">
        <f>+S38+S30+S24</f>
        <v>11125753.269876257</v>
      </c>
      <c r="T40" s="1241" t="s">
        <v>729</v>
      </c>
      <c r="U40" s="1241">
        <f t="shared" ref="U40:AC40" si="34">+U38+U30+U24</f>
        <v>11064341.798196595</v>
      </c>
      <c r="V40" s="1241" t="s">
        <v>729</v>
      </c>
      <c r="W40" s="1241">
        <f t="shared" si="34"/>
        <v>10989017.807184648</v>
      </c>
      <c r="X40" s="1241" t="s">
        <v>729</v>
      </c>
      <c r="Y40" s="1241">
        <f t="shared" si="34"/>
        <v>10562269.230034253</v>
      </c>
      <c r="Z40" s="1241" t="s">
        <v>729</v>
      </c>
      <c r="AA40" s="1241">
        <f t="shared" si="34"/>
        <v>10933605</v>
      </c>
      <c r="AB40" s="1241" t="s">
        <v>729</v>
      </c>
      <c r="AC40" s="1241">
        <f t="shared" si="34"/>
        <v>11245208.944407759</v>
      </c>
      <c r="AD40" s="1213"/>
      <c r="AE40" s="1241">
        <v>11023376.313430689</v>
      </c>
      <c r="AF40" s="1213"/>
      <c r="AG40" s="1242">
        <f>+'11.4-b-İL-ESNAF'!P93</f>
        <v>11222811.738501158</v>
      </c>
    </row>
    <row r="41" spans="1:33" ht="28.5" customHeight="1">
      <c r="A41" s="1243"/>
      <c r="B41" s="1244"/>
      <c r="C41" s="1245" t="s">
        <v>1190</v>
      </c>
      <c r="D41" s="1245"/>
      <c r="E41" s="1245"/>
      <c r="F41" s="1245"/>
      <c r="G41" s="1245"/>
      <c r="H41" s="1245"/>
      <c r="I41" s="1245"/>
      <c r="J41" s="1782" t="s">
        <v>1190</v>
      </c>
      <c r="K41" s="1782"/>
      <c r="L41" s="1782"/>
      <c r="M41" s="1782"/>
      <c r="N41" s="1782"/>
      <c r="O41" s="1782"/>
      <c r="P41" s="1782"/>
      <c r="Q41" s="1782"/>
      <c r="R41" s="1782"/>
      <c r="S41" s="1782"/>
      <c r="T41" s="1782"/>
      <c r="U41" s="1246"/>
      <c r="V41" s="1245"/>
      <c r="W41" s="1246"/>
      <c r="X41" s="1245"/>
      <c r="Y41" s="1246"/>
      <c r="Z41" s="1245"/>
      <c r="AA41" s="1246"/>
      <c r="AB41" s="1245"/>
      <c r="AC41" s="1246"/>
      <c r="AD41" s="1245"/>
      <c r="AE41" s="1246"/>
      <c r="AF41" s="1245"/>
      <c r="AG41" s="1247"/>
    </row>
    <row r="42" spans="1:33" ht="15.75">
      <c r="A42" s="1223" t="s">
        <v>832</v>
      </c>
      <c r="B42" s="1224">
        <v>899999</v>
      </c>
      <c r="C42" s="1224">
        <v>900691</v>
      </c>
      <c r="D42" s="1225">
        <f t="shared" si="0"/>
        <v>7.6888974321082576E-2</v>
      </c>
      <c r="E42" s="1224">
        <v>933441</v>
      </c>
      <c r="F42" s="1198">
        <f>(E42-C42)/C42*100</f>
        <v>3.6360971742806356</v>
      </c>
      <c r="G42" s="1224">
        <v>1009935</v>
      </c>
      <c r="H42" s="1141">
        <f>(G42-E42)/E42*100</f>
        <v>8.1948403809132007</v>
      </c>
      <c r="I42" s="1224">
        <v>1024471</v>
      </c>
      <c r="J42" s="1141">
        <f>(I42-G42)/G42*100</f>
        <v>1.4393005490452355</v>
      </c>
      <c r="K42" s="1224">
        <v>1063373</v>
      </c>
      <c r="L42" s="1141">
        <f>(K42-I42)/I42*100</f>
        <v>3.797276838485423</v>
      </c>
      <c r="M42" s="1224">
        <v>1093241</v>
      </c>
      <c r="N42" s="1141">
        <f>(M42-K42)/K42*100</f>
        <v>2.8087980417031462</v>
      </c>
      <c r="O42" s="1224">
        <v>1141467</v>
      </c>
      <c r="P42" s="1141">
        <f>(O42-M42)/M42*100</f>
        <v>4.4112871727276968</v>
      </c>
      <c r="Q42" s="1224">
        <v>1016692</v>
      </c>
      <c r="R42" s="1141">
        <f>(Q42-O42)/O42*100</f>
        <v>-10.931108827500051</v>
      </c>
      <c r="S42" s="1224">
        <f>+S43+S44</f>
        <v>1101131</v>
      </c>
      <c r="T42" s="1141">
        <f>(S42-Q42)/Q42*100</f>
        <v>8.3052684588843029</v>
      </c>
      <c r="U42" s="1224">
        <v>1121777</v>
      </c>
      <c r="V42" s="1141">
        <f>(U42-S42)/S42*100</f>
        <v>1.8749812692586076</v>
      </c>
      <c r="W42" s="1224">
        <v>1056852</v>
      </c>
      <c r="X42" s="1141">
        <f>(W42-U42)/U42*100</f>
        <v>-5.7876922062049765</v>
      </c>
      <c r="Y42" s="1248">
        <v>928454</v>
      </c>
      <c r="Z42" s="1141">
        <f>(Y42-W42)/W42*100</f>
        <v>-12.149099400862182</v>
      </c>
      <c r="AA42" s="1248">
        <f>SUM(AA43:AA44)</f>
        <v>865159</v>
      </c>
      <c r="AB42" s="1141">
        <f>(AA42-Y42)/Y42*100</f>
        <v>-6.8172467348947814</v>
      </c>
      <c r="AC42" s="1248">
        <f>SUM(AC43:AC44)</f>
        <v>797856</v>
      </c>
      <c r="AD42" s="1141">
        <f>(AC42-AA42)/AA42*100</f>
        <v>-7.7792636960373756</v>
      </c>
      <c r="AE42" s="1248">
        <v>718232</v>
      </c>
      <c r="AF42" s="1141">
        <f>(AE42-AC42)/AC42*100</f>
        <v>-9.9797457185256491</v>
      </c>
      <c r="AG42" s="1249">
        <f>SUM(AG43:AG44)</f>
        <v>729240</v>
      </c>
    </row>
    <row r="43" spans="1:33" ht="24" customHeight="1">
      <c r="A43" s="1157" t="s">
        <v>1191</v>
      </c>
      <c r="B43" s="1228">
        <v>10850</v>
      </c>
      <c r="C43" s="1228">
        <v>9715</v>
      </c>
      <c r="D43" s="1229">
        <f t="shared" si="0"/>
        <v>-10.460829493087557</v>
      </c>
      <c r="E43" s="1228">
        <v>10207</v>
      </c>
      <c r="F43" s="1201">
        <f>(E43-C43)/C43*100</f>
        <v>5.0643335048893467</v>
      </c>
      <c r="G43" s="1228">
        <v>11998</v>
      </c>
      <c r="H43" s="1149">
        <f>(G43-E43)/E43*100</f>
        <v>17.546781620456549</v>
      </c>
      <c r="I43" s="1230">
        <v>13138</v>
      </c>
      <c r="J43" s="1149">
        <f>(I43-G43)/G43*100</f>
        <v>9.5015835972662117</v>
      </c>
      <c r="K43" s="329">
        <v>14167</v>
      </c>
      <c r="L43" s="1149">
        <f>(K43-I43)/I43*100</f>
        <v>7.8322423504338561</v>
      </c>
      <c r="M43" s="329">
        <v>13456</v>
      </c>
      <c r="N43" s="1149">
        <f>(M43-K43)/K43*100</f>
        <v>-5.0187054422248893</v>
      </c>
      <c r="O43" s="329">
        <v>13723</v>
      </c>
      <c r="P43" s="1149">
        <f>(O43-M43)/M43*100</f>
        <v>1.9842449464922709</v>
      </c>
      <c r="Q43" s="329">
        <v>1744</v>
      </c>
      <c r="R43" s="1149">
        <f>(Q43-O43)/O43*100</f>
        <v>-87.291408584128831</v>
      </c>
      <c r="S43" s="329">
        <v>0</v>
      </c>
      <c r="T43" s="1149">
        <v>0</v>
      </c>
      <c r="U43" s="329">
        <v>0</v>
      </c>
      <c r="V43" s="1149"/>
      <c r="W43" s="329">
        <v>0</v>
      </c>
      <c r="X43" s="1149"/>
      <c r="Y43" s="329">
        <v>0</v>
      </c>
      <c r="Z43" s="1149"/>
      <c r="AA43" s="329">
        <v>691</v>
      </c>
      <c r="AB43" s="1149"/>
      <c r="AC43" s="329">
        <v>522</v>
      </c>
      <c r="AD43" s="1149"/>
      <c r="AE43" s="329">
        <v>356</v>
      </c>
      <c r="AF43" s="1149"/>
      <c r="AG43" s="1231">
        <f>+'12.4-b-İL-TARIM'!E88</f>
        <v>322</v>
      </c>
    </row>
    <row r="44" spans="1:33" ht="24" customHeight="1">
      <c r="A44" s="1157" t="s">
        <v>690</v>
      </c>
      <c r="B44" s="1228">
        <v>889149</v>
      </c>
      <c r="C44" s="1228">
        <v>890976</v>
      </c>
      <c r="D44" s="1229">
        <f t="shared" si="0"/>
        <v>0.2054773721839647</v>
      </c>
      <c r="E44" s="1228">
        <v>923234</v>
      </c>
      <c r="F44" s="1201">
        <f>(E44-C44)/C44*100</f>
        <v>3.6205240096253997</v>
      </c>
      <c r="G44" s="1228">
        <v>997937</v>
      </c>
      <c r="H44" s="1149">
        <f>(G44-E44)/E44*100</f>
        <v>8.0914481052474247</v>
      </c>
      <c r="I44" s="1228">
        <v>1011333</v>
      </c>
      <c r="J44" s="1149">
        <f>(I44-G44)/G44*100</f>
        <v>1.342369307882161</v>
      </c>
      <c r="K44" s="329">
        <v>1049206</v>
      </c>
      <c r="L44" s="1149">
        <f>(K44-I44)/I44*100</f>
        <v>3.7448595072048474</v>
      </c>
      <c r="M44" s="329">
        <v>1079785</v>
      </c>
      <c r="N44" s="1149">
        <f>(M44-K44)/K44*100</f>
        <v>2.914489623582023</v>
      </c>
      <c r="O44" s="329">
        <v>1127744</v>
      </c>
      <c r="P44" s="1149">
        <f>(O44-M44)/M44*100</f>
        <v>4.4415323420866191</v>
      </c>
      <c r="Q44" s="329">
        <v>1014948</v>
      </c>
      <c r="R44" s="1149">
        <f>(Q44-O44)/O44*100</f>
        <v>-10.001915328301457</v>
      </c>
      <c r="S44" s="329">
        <v>1101131</v>
      </c>
      <c r="T44" s="1149">
        <f>(S44-Q44)/Q44*100</f>
        <v>8.4913709864938891</v>
      </c>
      <c r="U44" s="329">
        <v>1121777</v>
      </c>
      <c r="V44" s="1149">
        <f>(U44-S44)/S44*100</f>
        <v>1.8749812692586076</v>
      </c>
      <c r="W44" s="329">
        <v>1056852</v>
      </c>
      <c r="X44" s="1149">
        <f>(W44-U44)/U44*100</f>
        <v>-5.7876922062049765</v>
      </c>
      <c r="Y44" s="329">
        <v>928454</v>
      </c>
      <c r="Z44" s="1149">
        <f>(Y44-W44)/W44*100</f>
        <v>-12.149099400862182</v>
      </c>
      <c r="AA44" s="329">
        <v>864468</v>
      </c>
      <c r="AB44" s="1149">
        <f>(AA44-Y44)/Y44*100</f>
        <v>-6.8916715313844303</v>
      </c>
      <c r="AC44" s="329">
        <v>797334</v>
      </c>
      <c r="AD44" s="1149">
        <f>(AC44-AA44)/AA44*100</f>
        <v>-7.765932342203528</v>
      </c>
      <c r="AE44" s="329">
        <v>717876</v>
      </c>
      <c r="AF44" s="1149">
        <f>(AE44-AC44)/AC44*100</f>
        <v>-9.9654598951004214</v>
      </c>
      <c r="AG44" s="1231">
        <f>+'12.4-b-İL-TARIM'!D88</f>
        <v>728918</v>
      </c>
    </row>
    <row r="45" spans="1:33" ht="22.5" customHeight="1">
      <c r="A45" s="1232" t="s">
        <v>106</v>
      </c>
      <c r="B45" s="1228"/>
      <c r="C45" s="1228"/>
      <c r="D45" s="1229"/>
      <c r="E45" s="1228"/>
      <c r="F45" s="1201"/>
      <c r="G45" s="1228"/>
      <c r="H45" s="1149"/>
      <c r="I45" s="1228"/>
      <c r="J45" s="1149"/>
      <c r="K45" s="1228"/>
      <c r="L45" s="1149"/>
      <c r="M45" s="1228"/>
      <c r="N45" s="1149"/>
      <c r="O45" s="1228"/>
      <c r="P45" s="1149"/>
      <c r="Q45" s="1228"/>
      <c r="R45" s="1149"/>
      <c r="S45" s="1228"/>
      <c r="T45" s="1149"/>
      <c r="U45" s="1228"/>
      <c r="V45" s="1149"/>
      <c r="W45" s="1228"/>
      <c r="X45" s="1149"/>
      <c r="Y45" s="1228"/>
      <c r="Z45" s="1149"/>
      <c r="AA45" s="1228"/>
      <c r="AB45" s="1149"/>
      <c r="AC45" s="1228"/>
      <c r="AD45" s="1149"/>
      <c r="AE45" s="1228"/>
      <c r="AF45" s="1149"/>
      <c r="AG45" s="1233"/>
    </row>
    <row r="46" spans="1:33" ht="18.75" customHeight="1">
      <c r="A46" s="1232" t="s">
        <v>542</v>
      </c>
      <c r="B46" s="1234">
        <v>129254</v>
      </c>
      <c r="C46" s="1234">
        <v>147327</v>
      </c>
      <c r="D46" s="1235">
        <f t="shared" si="0"/>
        <v>13.982545994708095</v>
      </c>
      <c r="E46" s="1234">
        <v>168008</v>
      </c>
      <c r="F46" s="1201">
        <f t="shared" ref="F46:F51" si="35">(E46-C46)/C46*100</f>
        <v>14.03748124919397</v>
      </c>
      <c r="G46" s="1234">
        <v>187545</v>
      </c>
      <c r="H46" s="1149">
        <f t="shared" ref="H46:H51" si="36">(G46-E46)/E46*100</f>
        <v>11.628612923194133</v>
      </c>
      <c r="I46" s="1234">
        <v>203793</v>
      </c>
      <c r="J46" s="1149">
        <f t="shared" ref="J46:J51" si="37">(I46-G46)/G46*100</f>
        <v>8.663520755018796</v>
      </c>
      <c r="K46" s="1234">
        <v>252360</v>
      </c>
      <c r="L46" s="1149">
        <f t="shared" ref="L46:L51" si="38">(K46-I46)/I46*100</f>
        <v>23.831534939865449</v>
      </c>
      <c r="M46" s="1234">
        <v>265731</v>
      </c>
      <c r="N46" s="1149">
        <f t="shared" ref="N46:P51" si="39">(M46-K46)/K46*100</f>
        <v>5.2983832620066567</v>
      </c>
      <c r="O46" s="1234">
        <v>323606</v>
      </c>
      <c r="P46" s="1149">
        <f t="shared" si="39"/>
        <v>21.779543974922007</v>
      </c>
      <c r="Q46" s="1234">
        <f>+Q48+Q49+Q50+Q52+Q53</f>
        <v>377346</v>
      </c>
      <c r="R46" s="1149">
        <f t="shared" ref="R46:R51" si="40">(Q46-O46)/O46*100</f>
        <v>16.606614216052854</v>
      </c>
      <c r="S46" s="1234">
        <f>+S48+S49+S50+S52+S53</f>
        <v>403764</v>
      </c>
      <c r="T46" s="1149">
        <f t="shared" ref="T46:T51" si="41">(S46-Q46)/Q46*100</f>
        <v>7.0010017331573682</v>
      </c>
      <c r="U46" s="1234">
        <f>+U48+U49+U50+U52+U53</f>
        <v>509673</v>
      </c>
      <c r="V46" s="1149">
        <f t="shared" ref="V46:V51" si="42">(U46-S46)/S46*100</f>
        <v>26.230421731506524</v>
      </c>
      <c r="W46" s="1234">
        <f>+W48+W49+W50+W52+W53</f>
        <v>539417</v>
      </c>
      <c r="X46" s="1149">
        <f t="shared" ref="X46:AF51" si="43">(W46-U46)/U46*100</f>
        <v>5.8358987036786329</v>
      </c>
      <c r="Y46" s="1234">
        <f>+Y48+Y49+Y50+Y52+Y53</f>
        <v>555977</v>
      </c>
      <c r="Z46" s="1149">
        <f t="shared" si="43"/>
        <v>3.0699811092345994</v>
      </c>
      <c r="AA46" s="1234">
        <f>+AA48+AA49+AA50+AA52+AA53</f>
        <v>577010</v>
      </c>
      <c r="AB46" s="1149">
        <f t="shared" si="43"/>
        <v>3.7830701629743677</v>
      </c>
      <c r="AC46" s="1234">
        <f>+AC48+AC49+AC50+AC52+AC53</f>
        <v>654155</v>
      </c>
      <c r="AD46" s="1149">
        <f t="shared" si="43"/>
        <v>13.369785618966743</v>
      </c>
      <c r="AE46" s="1234">
        <v>636618</v>
      </c>
      <c r="AF46" s="1149">
        <f t="shared" si="43"/>
        <v>-2.6808630981953816</v>
      </c>
      <c r="AG46" s="1236">
        <f>+AG48+AG49+AG50+AG52+AG53</f>
        <v>640827</v>
      </c>
    </row>
    <row r="47" spans="1:33" ht="22.5" customHeight="1">
      <c r="A47" s="1232" t="s">
        <v>626</v>
      </c>
      <c r="B47" s="1234">
        <v>148513</v>
      </c>
      <c r="C47" s="1234">
        <v>166862</v>
      </c>
      <c r="D47" s="1235">
        <f t="shared" si="0"/>
        <v>12.355147360837099</v>
      </c>
      <c r="E47" s="1234">
        <v>187197</v>
      </c>
      <c r="F47" s="1201">
        <f t="shared" si="35"/>
        <v>12.186717167479713</v>
      </c>
      <c r="G47" s="1234">
        <v>208084</v>
      </c>
      <c r="H47" s="1149">
        <f t="shared" si="36"/>
        <v>11.157764280410477</v>
      </c>
      <c r="I47" s="1234">
        <v>224613</v>
      </c>
      <c r="J47" s="1149">
        <f t="shared" si="37"/>
        <v>7.9434266930662618</v>
      </c>
      <c r="K47" s="1234">
        <f>+K48+K49+K51</f>
        <v>275120</v>
      </c>
      <c r="L47" s="1149">
        <f t="shared" si="38"/>
        <v>22.486231874379488</v>
      </c>
      <c r="M47" s="1234">
        <v>288776</v>
      </c>
      <c r="N47" s="1149">
        <f t="shared" si="39"/>
        <v>4.9636522244838615</v>
      </c>
      <c r="O47" s="1234">
        <v>348387</v>
      </c>
      <c r="P47" s="1149">
        <f t="shared" si="39"/>
        <v>20.642643432972267</v>
      </c>
      <c r="Q47" s="1250">
        <f>+Q48+Q49+Q51+Q52+Q54</f>
        <v>400192</v>
      </c>
      <c r="R47" s="1149">
        <f t="shared" si="40"/>
        <v>14.869957834247547</v>
      </c>
      <c r="S47" s="1250">
        <f>+S48+S49+S51+S52+S54</f>
        <v>430529</v>
      </c>
      <c r="T47" s="1149">
        <f t="shared" si="41"/>
        <v>7.5806113065728447</v>
      </c>
      <c r="U47" s="1250">
        <f>+U48+U49+U51+U52+U54</f>
        <v>550200</v>
      </c>
      <c r="V47" s="1149">
        <f t="shared" si="42"/>
        <v>27.796269240864145</v>
      </c>
      <c r="W47" s="1250">
        <f>+W48+W49+W51+W52+W54</f>
        <v>583378</v>
      </c>
      <c r="X47" s="1149">
        <f t="shared" si="43"/>
        <v>6.0301708469647402</v>
      </c>
      <c r="Y47" s="1250">
        <f>+Y48+Y49+Y51+Y52+Y54</f>
        <v>590699</v>
      </c>
      <c r="Z47" s="1149">
        <f t="shared" si="43"/>
        <v>1.2549324794558587</v>
      </c>
      <c r="AA47" s="1250">
        <f>+AA48+AA49+AA51+AA52+AA54</f>
        <v>611907</v>
      </c>
      <c r="AB47" s="1149">
        <f t="shared" si="43"/>
        <v>3.5903226516381439</v>
      </c>
      <c r="AC47" s="1250">
        <f>+AC48+AC49+AC51+AC52+AC54</f>
        <v>661989</v>
      </c>
      <c r="AD47" s="1149">
        <f t="shared" si="43"/>
        <v>8.1845770680838754</v>
      </c>
      <c r="AE47" s="1250">
        <v>672351</v>
      </c>
      <c r="AF47" s="1149">
        <f t="shared" si="43"/>
        <v>1.5652828068140106</v>
      </c>
      <c r="AG47" s="1251">
        <f>+AG48+AG49+AG51+AG52+AG54</f>
        <v>677585</v>
      </c>
    </row>
    <row r="48" spans="1:33" ht="29.25" customHeight="1">
      <c r="A48" s="1157" t="s">
        <v>759</v>
      </c>
      <c r="B48" s="1228">
        <v>90275</v>
      </c>
      <c r="C48" s="1228">
        <v>103220</v>
      </c>
      <c r="D48" s="1229">
        <f t="shared" si="0"/>
        <v>14.339518139019662</v>
      </c>
      <c r="E48" s="1228">
        <v>118997</v>
      </c>
      <c r="F48" s="1201">
        <f t="shared" si="35"/>
        <v>15.284828521604341</v>
      </c>
      <c r="G48" s="1228">
        <v>132800</v>
      </c>
      <c r="H48" s="1149">
        <f t="shared" si="36"/>
        <v>11.599452087027403</v>
      </c>
      <c r="I48" s="1228">
        <v>143037</v>
      </c>
      <c r="J48" s="1149">
        <f t="shared" si="37"/>
        <v>7.7085843373493974</v>
      </c>
      <c r="K48" s="1228">
        <v>183189</v>
      </c>
      <c r="L48" s="1149">
        <f t="shared" si="38"/>
        <v>28.071058537301536</v>
      </c>
      <c r="M48" s="1228">
        <v>190859</v>
      </c>
      <c r="N48" s="1149">
        <f t="shared" si="39"/>
        <v>4.1869326215001994</v>
      </c>
      <c r="O48" s="1228">
        <v>240613</v>
      </c>
      <c r="P48" s="1149">
        <f t="shared" si="39"/>
        <v>26.06845891469619</v>
      </c>
      <c r="Q48" s="1228">
        <v>279182</v>
      </c>
      <c r="R48" s="1149">
        <f t="shared" si="40"/>
        <v>16.029474716661195</v>
      </c>
      <c r="S48" s="1228">
        <v>296955</v>
      </c>
      <c r="T48" s="1149">
        <f t="shared" si="41"/>
        <v>6.3660981008804294</v>
      </c>
      <c r="U48" s="1228">
        <v>380771</v>
      </c>
      <c r="V48" s="1149">
        <f t="shared" si="42"/>
        <v>28.225151959051036</v>
      </c>
      <c r="W48" s="1228">
        <v>396631</v>
      </c>
      <c r="X48" s="1149">
        <f t="shared" si="43"/>
        <v>4.1652331716438491</v>
      </c>
      <c r="Y48" s="1228">
        <v>409754</v>
      </c>
      <c r="Z48" s="1149">
        <f t="shared" si="43"/>
        <v>3.3086168252103336</v>
      </c>
      <c r="AA48" s="1228">
        <v>420380</v>
      </c>
      <c r="AB48" s="1149">
        <f t="shared" si="43"/>
        <v>2.5932632750381939</v>
      </c>
      <c r="AC48" s="1228">
        <v>456475</v>
      </c>
      <c r="AD48" s="1149">
        <f t="shared" si="43"/>
        <v>8.5862790808316287</v>
      </c>
      <c r="AE48" s="1228">
        <v>457957</v>
      </c>
      <c r="AF48" s="1149">
        <f t="shared" si="43"/>
        <v>0.32466181061394384</v>
      </c>
      <c r="AG48" s="1233">
        <f>+'12.4-b-İL-TARIM'!G88</f>
        <v>458315</v>
      </c>
    </row>
    <row r="49" spans="1:33" ht="29.25" customHeight="1">
      <c r="A49" s="1157" t="s">
        <v>486</v>
      </c>
      <c r="B49" s="1228">
        <v>1627</v>
      </c>
      <c r="C49" s="1228">
        <v>1690</v>
      </c>
      <c r="D49" s="1229">
        <f t="shared" si="0"/>
        <v>3.872157344806392</v>
      </c>
      <c r="E49" s="1228">
        <v>1748</v>
      </c>
      <c r="F49" s="1201">
        <f t="shared" si="35"/>
        <v>3.4319526627218933</v>
      </c>
      <c r="G49" s="1228">
        <v>1873</v>
      </c>
      <c r="H49" s="1149">
        <f t="shared" si="36"/>
        <v>7.1510297482837535</v>
      </c>
      <c r="I49" s="1228">
        <v>1875</v>
      </c>
      <c r="J49" s="1149">
        <f t="shared" si="37"/>
        <v>0.10678056593699946</v>
      </c>
      <c r="K49" s="1228">
        <v>1925</v>
      </c>
      <c r="L49" s="1149">
        <f t="shared" si="38"/>
        <v>2.666666666666667</v>
      </c>
      <c r="M49" s="1228">
        <v>1918</v>
      </c>
      <c r="N49" s="1149">
        <f t="shared" si="39"/>
        <v>-0.36363636363636365</v>
      </c>
      <c r="O49" s="1228">
        <v>1999</v>
      </c>
      <c r="P49" s="1149">
        <f t="shared" si="39"/>
        <v>4.2231491136600621</v>
      </c>
      <c r="Q49" s="1228">
        <v>2222</v>
      </c>
      <c r="R49" s="1149">
        <f t="shared" si="40"/>
        <v>11.155577788894448</v>
      </c>
      <c r="S49" s="1228">
        <v>2749</v>
      </c>
      <c r="T49" s="1149">
        <f t="shared" si="41"/>
        <v>23.717371737173718</v>
      </c>
      <c r="U49" s="1228">
        <v>3218</v>
      </c>
      <c r="V49" s="1149">
        <f t="shared" si="42"/>
        <v>17.060749363404877</v>
      </c>
      <c r="W49" s="1228">
        <v>3991</v>
      </c>
      <c r="X49" s="1149">
        <f t="shared" si="43"/>
        <v>24.021131137352391</v>
      </c>
      <c r="Y49" s="1228">
        <v>4057</v>
      </c>
      <c r="Z49" s="1149">
        <f t="shared" si="43"/>
        <v>1.6537208719619143</v>
      </c>
      <c r="AA49" s="1228">
        <v>4716</v>
      </c>
      <c r="AB49" s="1149">
        <f t="shared" si="43"/>
        <v>16.243529701750063</v>
      </c>
      <c r="AC49" s="1228">
        <v>5301</v>
      </c>
      <c r="AD49" s="1149">
        <f t="shared" si="43"/>
        <v>12.404580152671755</v>
      </c>
      <c r="AE49" s="1228">
        <v>5623</v>
      </c>
      <c r="AF49" s="1149">
        <f t="shared" si="43"/>
        <v>6.0743255989435951</v>
      </c>
      <c r="AG49" s="1233">
        <f>+'12.4-b-İL-TARIM'!F88</f>
        <v>5769</v>
      </c>
    </row>
    <row r="50" spans="1:33" ht="29.25" customHeight="1">
      <c r="A50" s="1157" t="s">
        <v>487</v>
      </c>
      <c r="B50" s="1228">
        <v>37352</v>
      </c>
      <c r="C50" s="1228">
        <v>42417</v>
      </c>
      <c r="D50" s="1229">
        <f t="shared" si="0"/>
        <v>13.560184193617477</v>
      </c>
      <c r="E50" s="1228">
        <v>47263</v>
      </c>
      <c r="F50" s="1201">
        <f t="shared" si="35"/>
        <v>11.424664639177688</v>
      </c>
      <c r="G50" s="1228">
        <v>52872</v>
      </c>
      <c r="H50" s="1149">
        <f t="shared" si="36"/>
        <v>11.867634301673613</v>
      </c>
      <c r="I50" s="1228">
        <v>58881</v>
      </c>
      <c r="J50" s="1149">
        <f t="shared" si="37"/>
        <v>11.365183840217885</v>
      </c>
      <c r="K50" s="1228">
        <v>67246</v>
      </c>
      <c r="L50" s="1149">
        <f t="shared" si="38"/>
        <v>14.20662013213091</v>
      </c>
      <c r="M50" s="1228">
        <v>72954</v>
      </c>
      <c r="N50" s="1149">
        <f t="shared" si="39"/>
        <v>8.488237218570621</v>
      </c>
      <c r="O50" s="1228">
        <v>80994</v>
      </c>
      <c r="P50" s="1149">
        <f t="shared" si="39"/>
        <v>11.020643144995477</v>
      </c>
      <c r="Q50" s="1228">
        <v>95937</v>
      </c>
      <c r="R50" s="1149">
        <f t="shared" si="40"/>
        <v>18.449514778872508</v>
      </c>
      <c r="S50" s="1228">
        <v>104054</v>
      </c>
      <c r="T50" s="1149">
        <f t="shared" si="41"/>
        <v>8.4607607075476619</v>
      </c>
      <c r="U50" s="1228">
        <v>125677</v>
      </c>
      <c r="V50" s="1149">
        <f t="shared" si="42"/>
        <v>20.780556249639609</v>
      </c>
      <c r="W50" s="1228">
        <v>138747</v>
      </c>
      <c r="X50" s="1149">
        <f t="shared" si="43"/>
        <v>10.399675358259666</v>
      </c>
      <c r="Y50" s="1228">
        <v>142091</v>
      </c>
      <c r="Z50" s="1149">
        <f t="shared" si="43"/>
        <v>2.4101422012728206</v>
      </c>
      <c r="AA50" s="1228">
        <v>151812</v>
      </c>
      <c r="AB50" s="1149">
        <f t="shared" si="43"/>
        <v>6.8413903765896498</v>
      </c>
      <c r="AC50" s="1228">
        <v>192189</v>
      </c>
      <c r="AD50" s="1149">
        <f t="shared" si="43"/>
        <v>26.596711722393486</v>
      </c>
      <c r="AE50" s="1228">
        <v>172905</v>
      </c>
      <c r="AF50" s="1149">
        <f t="shared" si="43"/>
        <v>-10.033872906357805</v>
      </c>
      <c r="AG50" s="1233">
        <f>+'12.4-b-İL-TARIM'!H88</f>
        <v>176596</v>
      </c>
    </row>
    <row r="51" spans="1:33" ht="29.25" customHeight="1">
      <c r="A51" s="1157" t="s">
        <v>488</v>
      </c>
      <c r="B51" s="1228">
        <v>56611</v>
      </c>
      <c r="C51" s="1228">
        <v>61952</v>
      </c>
      <c r="D51" s="1229">
        <f t="shared" si="0"/>
        <v>9.4345621875607222</v>
      </c>
      <c r="E51" s="1228">
        <v>66452</v>
      </c>
      <c r="F51" s="1201">
        <f t="shared" si="35"/>
        <v>7.2636880165289259</v>
      </c>
      <c r="G51" s="1228">
        <v>73411</v>
      </c>
      <c r="H51" s="1149">
        <f t="shared" si="36"/>
        <v>10.472220550171553</v>
      </c>
      <c r="I51" s="1228">
        <v>79701</v>
      </c>
      <c r="J51" s="1149">
        <f t="shared" si="37"/>
        <v>8.5681982264238332</v>
      </c>
      <c r="K51" s="1228">
        <v>90006</v>
      </c>
      <c r="L51" s="1149">
        <f t="shared" si="38"/>
        <v>12.929574283886025</v>
      </c>
      <c r="M51" s="1228">
        <v>95999</v>
      </c>
      <c r="N51" s="1149">
        <f t="shared" si="39"/>
        <v>6.6584449925560518</v>
      </c>
      <c r="O51" s="1228">
        <v>105775</v>
      </c>
      <c r="P51" s="1149">
        <f t="shared" si="39"/>
        <v>10.183439410827196</v>
      </c>
      <c r="Q51" s="1228">
        <v>118771</v>
      </c>
      <c r="R51" s="1149">
        <f t="shared" si="40"/>
        <v>12.286457102339872</v>
      </c>
      <c r="S51" s="1228">
        <v>130805</v>
      </c>
      <c r="T51" s="1149">
        <f t="shared" si="41"/>
        <v>10.132102954424901</v>
      </c>
      <c r="U51" s="1228">
        <v>166182</v>
      </c>
      <c r="V51" s="1149">
        <f t="shared" si="42"/>
        <v>27.045602232330566</v>
      </c>
      <c r="W51" s="1228">
        <v>182646</v>
      </c>
      <c r="X51" s="1149">
        <f t="shared" si="43"/>
        <v>9.9072101671661201</v>
      </c>
      <c r="Y51" s="1228">
        <v>176718</v>
      </c>
      <c r="Z51" s="1149">
        <f t="shared" si="43"/>
        <v>-3.2456226799382413</v>
      </c>
      <c r="AA51" s="1228">
        <v>186580</v>
      </c>
      <c r="AB51" s="1149">
        <f t="shared" si="43"/>
        <v>5.580642605733428</v>
      </c>
      <c r="AC51" s="1228">
        <v>199980</v>
      </c>
      <c r="AD51" s="1149">
        <f t="shared" si="43"/>
        <v>7.1819058848751203</v>
      </c>
      <c r="AE51" s="1228">
        <v>208490</v>
      </c>
      <c r="AF51" s="1149">
        <f t="shared" si="43"/>
        <v>4.2554255425542555</v>
      </c>
      <c r="AG51" s="1233">
        <f>+'12.4-b-İL-TARIM'!I88</f>
        <v>213194</v>
      </c>
    </row>
    <row r="52" spans="1:33" ht="29.25" customHeight="1">
      <c r="A52" s="1200" t="s">
        <v>1049</v>
      </c>
      <c r="B52" s="1206" t="s">
        <v>686</v>
      </c>
      <c r="C52" s="1206" t="s">
        <v>686</v>
      </c>
      <c r="D52" s="1207"/>
      <c r="E52" s="1206" t="s">
        <v>686</v>
      </c>
      <c r="F52" s="1206" t="s">
        <v>686</v>
      </c>
      <c r="G52" s="1206" t="s">
        <v>686</v>
      </c>
      <c r="H52" s="1206" t="s">
        <v>686</v>
      </c>
      <c r="I52" s="1206" t="s">
        <v>686</v>
      </c>
      <c r="J52" s="1206" t="s">
        <v>686</v>
      </c>
      <c r="K52" s="1206" t="s">
        <v>686</v>
      </c>
      <c r="L52" s="1206" t="s">
        <v>686</v>
      </c>
      <c r="M52" s="1206" t="s">
        <v>686</v>
      </c>
      <c r="N52" s="1206" t="s">
        <v>686</v>
      </c>
      <c r="O52" s="1206">
        <v>0</v>
      </c>
      <c r="P52" s="1206" t="s">
        <v>686</v>
      </c>
      <c r="Q52" s="1206">
        <v>0</v>
      </c>
      <c r="R52" s="1206" t="s">
        <v>686</v>
      </c>
      <c r="S52" s="1228">
        <v>0</v>
      </c>
      <c r="T52" s="1206" t="s">
        <v>686</v>
      </c>
      <c r="U52" s="1228">
        <v>0</v>
      </c>
      <c r="V52" s="1206" t="s">
        <v>686</v>
      </c>
      <c r="W52" s="1228">
        <v>20</v>
      </c>
      <c r="X52" s="1206" t="s">
        <v>686</v>
      </c>
      <c r="Y52" s="1228">
        <v>27</v>
      </c>
      <c r="Z52" s="1206" t="s">
        <v>686</v>
      </c>
      <c r="AA52" s="1228">
        <v>35</v>
      </c>
      <c r="AB52" s="1206" t="s">
        <v>686</v>
      </c>
      <c r="AC52" s="1228">
        <v>43</v>
      </c>
      <c r="AD52" s="1206" t="s">
        <v>686</v>
      </c>
      <c r="AE52" s="1228">
        <v>50</v>
      </c>
      <c r="AF52" s="1206" t="s">
        <v>686</v>
      </c>
      <c r="AG52" s="1233">
        <f>+'12.4-b-İL-TARIM'!J88</f>
        <v>55</v>
      </c>
    </row>
    <row r="53" spans="1:33" ht="29.25" customHeight="1">
      <c r="A53" s="1200" t="s">
        <v>1189</v>
      </c>
      <c r="B53" s="1206"/>
      <c r="C53" s="1206"/>
      <c r="D53" s="1207"/>
      <c r="E53" s="1206" t="s">
        <v>686</v>
      </c>
      <c r="F53" s="1206" t="s">
        <v>686</v>
      </c>
      <c r="G53" s="1206" t="s">
        <v>686</v>
      </c>
      <c r="H53" s="1206" t="s">
        <v>686</v>
      </c>
      <c r="I53" s="1206" t="s">
        <v>686</v>
      </c>
      <c r="J53" s="1206" t="s">
        <v>686</v>
      </c>
      <c r="K53" s="1206" t="s">
        <v>686</v>
      </c>
      <c r="L53" s="1206" t="s">
        <v>686</v>
      </c>
      <c r="M53" s="1206" t="s">
        <v>686</v>
      </c>
      <c r="N53" s="1206" t="s">
        <v>686</v>
      </c>
      <c r="O53" s="1206">
        <v>0</v>
      </c>
      <c r="P53" s="1206" t="s">
        <v>686</v>
      </c>
      <c r="Q53" s="1206">
        <v>5</v>
      </c>
      <c r="R53" s="1206" t="s">
        <v>686</v>
      </c>
      <c r="S53" s="1206">
        <v>6</v>
      </c>
      <c r="T53" s="1206" t="s">
        <v>686</v>
      </c>
      <c r="U53" s="1206">
        <v>7</v>
      </c>
      <c r="V53" s="1206" t="s">
        <v>686</v>
      </c>
      <c r="W53" s="1206">
        <v>28</v>
      </c>
      <c r="X53" s="1206" t="s">
        <v>686</v>
      </c>
      <c r="Y53" s="1206">
        <v>48</v>
      </c>
      <c r="Z53" s="1206" t="s">
        <v>686</v>
      </c>
      <c r="AA53" s="1206">
        <v>67</v>
      </c>
      <c r="AB53" s="1206" t="s">
        <v>686</v>
      </c>
      <c r="AC53" s="1228">
        <v>147</v>
      </c>
      <c r="AD53" s="1206" t="s">
        <v>686</v>
      </c>
      <c r="AE53" s="1228">
        <v>83</v>
      </c>
      <c r="AF53" s="1206" t="s">
        <v>686</v>
      </c>
      <c r="AG53" s="1233">
        <f>+'12.4-b-İL-TARIM'!K88</f>
        <v>92</v>
      </c>
    </row>
    <row r="54" spans="1:33" ht="29.25" customHeight="1">
      <c r="A54" s="1200" t="s">
        <v>1050</v>
      </c>
      <c r="B54" s="1206"/>
      <c r="C54" s="1206"/>
      <c r="D54" s="1207"/>
      <c r="E54" s="1206" t="s">
        <v>686</v>
      </c>
      <c r="F54" s="1206" t="s">
        <v>686</v>
      </c>
      <c r="G54" s="1206" t="s">
        <v>686</v>
      </c>
      <c r="H54" s="1206" t="s">
        <v>686</v>
      </c>
      <c r="I54" s="1206" t="s">
        <v>686</v>
      </c>
      <c r="J54" s="1206" t="s">
        <v>686</v>
      </c>
      <c r="K54" s="1206" t="s">
        <v>686</v>
      </c>
      <c r="L54" s="1206" t="s">
        <v>686</v>
      </c>
      <c r="M54" s="1206" t="s">
        <v>686</v>
      </c>
      <c r="N54" s="1206" t="s">
        <v>686</v>
      </c>
      <c r="O54" s="1206">
        <v>0</v>
      </c>
      <c r="P54" s="1206" t="s">
        <v>686</v>
      </c>
      <c r="Q54" s="1206">
        <v>17</v>
      </c>
      <c r="R54" s="1206" t="s">
        <v>686</v>
      </c>
      <c r="S54" s="1206">
        <v>20</v>
      </c>
      <c r="T54" s="1206" t="s">
        <v>686</v>
      </c>
      <c r="U54" s="1206">
        <v>29</v>
      </c>
      <c r="V54" s="1206" t="s">
        <v>686</v>
      </c>
      <c r="W54" s="1206">
        <v>90</v>
      </c>
      <c r="X54" s="1206" t="s">
        <v>686</v>
      </c>
      <c r="Y54" s="1206">
        <v>143</v>
      </c>
      <c r="Z54" s="1206" t="s">
        <v>686</v>
      </c>
      <c r="AA54" s="1206">
        <v>196</v>
      </c>
      <c r="AB54" s="1206" t="s">
        <v>686</v>
      </c>
      <c r="AC54" s="1228">
        <v>190</v>
      </c>
      <c r="AD54" s="1206" t="s">
        <v>686</v>
      </c>
      <c r="AE54" s="1228">
        <v>231</v>
      </c>
      <c r="AF54" s="1206" t="s">
        <v>686</v>
      </c>
      <c r="AG54" s="1233">
        <f>+'12.4-b-İL-TARIM'!L88</f>
        <v>252</v>
      </c>
    </row>
    <row r="55" spans="1:33" ht="20.25" customHeight="1">
      <c r="A55" s="1177" t="s">
        <v>777</v>
      </c>
      <c r="B55" s="1228">
        <v>1901741</v>
      </c>
      <c r="C55" s="1228">
        <v>1917459</v>
      </c>
      <c r="D55" s="1228">
        <f t="shared" si="0"/>
        <v>0.82650581756401109</v>
      </c>
      <c r="E55" s="1228">
        <v>2000400.7</v>
      </c>
      <c r="F55" s="1201"/>
      <c r="G55" s="1228">
        <v>2168759.5</v>
      </c>
      <c r="H55" s="1149"/>
      <c r="I55" s="1228">
        <v>2209095.2000000002</v>
      </c>
      <c r="J55" s="1149"/>
      <c r="K55" s="1228">
        <v>2331141.4</v>
      </c>
      <c r="L55" s="1149"/>
      <c r="M55" s="1228">
        <v>2399303.9</v>
      </c>
      <c r="N55" s="1149"/>
      <c r="O55" s="1228">
        <v>2550606</v>
      </c>
      <c r="P55" s="1149"/>
      <c r="Q55" s="1228">
        <v>2343817.2000000002</v>
      </c>
      <c r="R55" s="1149"/>
      <c r="S55" s="1228">
        <v>2520433.5245201006</v>
      </c>
      <c r="T55" s="1228" t="s">
        <v>729</v>
      </c>
      <c r="U55" s="1228">
        <v>2653969.52</v>
      </c>
      <c r="V55" s="1228" t="s">
        <v>729</v>
      </c>
      <c r="W55" s="1228">
        <v>2555984.6000000006</v>
      </c>
      <c r="X55" s="1228" t="s">
        <v>729</v>
      </c>
      <c r="Y55" s="1228">
        <v>2313722.9000000004</v>
      </c>
      <c r="Z55" s="1228" t="s">
        <v>729</v>
      </c>
      <c r="AA55" s="1228">
        <v>2199809.9999999991</v>
      </c>
      <c r="AB55" s="1228" t="s">
        <v>729</v>
      </c>
      <c r="AC55" s="1228">
        <v>2105785.9999999986</v>
      </c>
      <c r="AD55" s="1228" t="s">
        <v>729</v>
      </c>
      <c r="AE55" s="1228">
        <v>1948651.2</v>
      </c>
      <c r="AF55" s="1228" t="s">
        <v>729</v>
      </c>
      <c r="AG55" s="1233">
        <f>+'12.4-b-İL-TARIM'!P88</f>
        <v>1971280.0000000005</v>
      </c>
    </row>
    <row r="56" spans="1:33" ht="20.25" customHeight="1">
      <c r="A56" s="1232" t="s">
        <v>489</v>
      </c>
      <c r="B56" s="1237">
        <v>6.9630262893218005</v>
      </c>
      <c r="C56" s="1237">
        <v>6.1135501299829631</v>
      </c>
      <c r="D56" s="1237"/>
      <c r="E56" s="1237">
        <f t="shared" ref="E56:U56" si="44">+E42/E46</f>
        <v>5.5559318603876005</v>
      </c>
      <c r="F56" s="1237" t="s">
        <v>729</v>
      </c>
      <c r="G56" s="1237">
        <f t="shared" si="44"/>
        <v>5.3850275933775897</v>
      </c>
      <c r="H56" s="1237" t="s">
        <v>729</v>
      </c>
      <c r="I56" s="1237">
        <f t="shared" si="44"/>
        <v>5.0270176110072473</v>
      </c>
      <c r="J56" s="1237" t="s">
        <v>729</v>
      </c>
      <c r="K56" s="1237">
        <f t="shared" si="44"/>
        <v>4.2137145347915679</v>
      </c>
      <c r="L56" s="1237" t="s">
        <v>729</v>
      </c>
      <c r="M56" s="1237">
        <f t="shared" si="44"/>
        <v>4.1140890599892375</v>
      </c>
      <c r="N56" s="1237" t="s">
        <v>729</v>
      </c>
      <c r="O56" s="1237">
        <f t="shared" si="44"/>
        <v>3.5273357107099375</v>
      </c>
      <c r="P56" s="1237" t="s">
        <v>729</v>
      </c>
      <c r="Q56" s="1237">
        <f t="shared" si="44"/>
        <v>2.6943229820907071</v>
      </c>
      <c r="R56" s="1237" t="s">
        <v>729</v>
      </c>
      <c r="S56" s="1237">
        <f t="shared" si="44"/>
        <v>2.7271648784933773</v>
      </c>
      <c r="T56" s="1149"/>
      <c r="U56" s="1237">
        <f t="shared" si="44"/>
        <v>2.2009739578121659</v>
      </c>
      <c r="V56" s="1149"/>
      <c r="W56" s="1237">
        <v>1.9593503019156862</v>
      </c>
      <c r="X56" s="1149"/>
      <c r="Y56" s="1238">
        <v>1.6699503756450356</v>
      </c>
      <c r="Z56" s="1149"/>
      <c r="AA56" s="1238">
        <f>+AA42/AA46</f>
        <v>1.4993830262907055</v>
      </c>
      <c r="AB56" s="1238" t="s">
        <v>729</v>
      </c>
      <c r="AC56" s="1238">
        <f>+AC42/AC46</f>
        <v>1.2196742362284168</v>
      </c>
      <c r="AD56" s="1149"/>
      <c r="AE56" s="1238">
        <v>1.1281993283256206</v>
      </c>
      <c r="AF56" s="1149"/>
      <c r="AG56" s="1239">
        <f>+AG42/AG46</f>
        <v>1.1379670332242555</v>
      </c>
    </row>
    <row r="57" spans="1:33" ht="15.75" customHeight="1" thickBot="1">
      <c r="A57" s="1252" t="s">
        <v>804</v>
      </c>
      <c r="B57" s="1253">
        <v>2950253</v>
      </c>
      <c r="C57" s="1253">
        <v>2985012</v>
      </c>
      <c r="D57" s="1254">
        <f t="shared" si="0"/>
        <v>1.1781701433741445</v>
      </c>
      <c r="E57" s="1253">
        <f t="shared" ref="E57:AC57" si="45">+E55+E47+E42</f>
        <v>3121038.7</v>
      </c>
      <c r="F57" s="1255">
        <f>(E57-C57)/C57*100</f>
        <v>4.556990055651374</v>
      </c>
      <c r="G57" s="1253">
        <f t="shared" si="45"/>
        <v>3386778.5</v>
      </c>
      <c r="H57" s="1256">
        <f>(G57-E57)/E57*100</f>
        <v>8.5144666741876609</v>
      </c>
      <c r="I57" s="1253">
        <f t="shared" si="45"/>
        <v>3458179.2</v>
      </c>
      <c r="J57" s="1256">
        <f>(I57-G57)/G57*100</f>
        <v>2.1082187689569953</v>
      </c>
      <c r="K57" s="1253">
        <f t="shared" si="45"/>
        <v>3669634.4</v>
      </c>
      <c r="L57" s="1256">
        <f>(K57-I57)/I57*100</f>
        <v>6.114639750305586</v>
      </c>
      <c r="M57" s="1253">
        <f t="shared" si="45"/>
        <v>3781320.9</v>
      </c>
      <c r="N57" s="1256">
        <f>(M57-K57)/K57*100</f>
        <v>3.0435320750208796</v>
      </c>
      <c r="O57" s="1253">
        <f t="shared" si="45"/>
        <v>4040460</v>
      </c>
      <c r="P57" s="1256">
        <f>(O57-M57)/M57*100</f>
        <v>6.8531369553956685</v>
      </c>
      <c r="Q57" s="1253">
        <f t="shared" si="45"/>
        <v>3760701.2</v>
      </c>
      <c r="R57" s="1256">
        <f>(Q57-O57)/O57*100</f>
        <v>-6.9239344035085066</v>
      </c>
      <c r="S57" s="1253">
        <f t="shared" si="45"/>
        <v>4052093.5245201006</v>
      </c>
      <c r="T57" s="1256">
        <f>(S57-Q57)/Q57*100</f>
        <v>7.748350879886452</v>
      </c>
      <c r="U57" s="1253">
        <f t="shared" si="45"/>
        <v>4325946.5199999996</v>
      </c>
      <c r="V57" s="1256">
        <f>(U57-S57)/S57*100</f>
        <v>6.7583088549845867</v>
      </c>
      <c r="W57" s="1253">
        <f t="shared" si="45"/>
        <v>4196214.6000000006</v>
      </c>
      <c r="X57" s="1256">
        <f>(W57-U57)/U57*100</f>
        <v>-2.9989256547720569</v>
      </c>
      <c r="Y57" s="1253">
        <f t="shared" si="45"/>
        <v>3832875.9000000004</v>
      </c>
      <c r="Z57" s="1256">
        <f>(Y57-W57)/W57*100</f>
        <v>-8.6587254140910748</v>
      </c>
      <c r="AA57" s="1253">
        <f t="shared" si="45"/>
        <v>3676875.9999999991</v>
      </c>
      <c r="AB57" s="1256">
        <f>(AA57-Y57)/Y57*100</f>
        <v>-4.0700482893276373</v>
      </c>
      <c r="AC57" s="1253">
        <f t="shared" si="45"/>
        <v>3565630.9999999986</v>
      </c>
      <c r="AD57" s="1256">
        <f>(AC57-AA57)/AA57*100</f>
        <v>-3.0255303687151942</v>
      </c>
      <c r="AE57" s="1253">
        <v>3339234.2</v>
      </c>
      <c r="AF57" s="1256">
        <f>(AE57-AC57)/AC57*100</f>
        <v>-6.3494175364752685</v>
      </c>
      <c r="AG57" s="1257">
        <f>+AG55+AG47+AG42</f>
        <v>3378105.0000000005</v>
      </c>
    </row>
    <row r="58" spans="1:33" ht="24.75" customHeight="1">
      <c r="A58" s="1258" t="s">
        <v>551</v>
      </c>
      <c r="B58" s="1258"/>
      <c r="C58" s="1258"/>
      <c r="D58" s="1258"/>
      <c r="E58" s="1258"/>
      <c r="F58" s="1258"/>
      <c r="G58" s="1258"/>
      <c r="H58" s="1258"/>
      <c r="I58" s="1258"/>
      <c r="J58" s="1258"/>
      <c r="K58" s="1258"/>
      <c r="L58" s="1258"/>
      <c r="M58" s="1258"/>
      <c r="N58" s="1258"/>
      <c r="O58" s="1258"/>
      <c r="P58" s="1258"/>
      <c r="Q58" s="1258"/>
      <c r="R58" s="1259"/>
      <c r="S58" s="1259"/>
      <c r="T58" s="1259"/>
      <c r="U58" s="1259"/>
      <c r="V58" s="1259"/>
      <c r="W58" s="1259"/>
      <c r="X58" s="1259"/>
      <c r="Y58" s="1259"/>
      <c r="Z58" s="1259"/>
      <c r="AA58" s="1259" t="s">
        <v>729</v>
      </c>
      <c r="AB58" s="1259"/>
      <c r="AC58" s="1259" t="s">
        <v>729</v>
      </c>
      <c r="AD58" s="1259"/>
      <c r="AE58" s="1259" t="s">
        <v>729</v>
      </c>
      <c r="AF58" s="1259"/>
      <c r="AG58" s="1259" t="s">
        <v>729</v>
      </c>
    </row>
    <row r="59" spans="1:33" ht="13.5" customHeight="1">
      <c r="A59" s="1258" t="s">
        <v>807</v>
      </c>
      <c r="B59" s="1260"/>
      <c r="C59" s="1260"/>
      <c r="D59" s="1260"/>
      <c r="E59" s="1260"/>
      <c r="F59" s="1260"/>
      <c r="G59" s="1260"/>
      <c r="H59" s="1260"/>
      <c r="I59" s="1260"/>
      <c r="J59" s="1260"/>
      <c r="K59" s="1260"/>
      <c r="L59" s="1260"/>
      <c r="M59" s="1260"/>
      <c r="N59" s="1260"/>
      <c r="O59" s="1260"/>
      <c r="P59" s="1260"/>
      <c r="Q59" s="1260"/>
      <c r="R59" s="1260"/>
      <c r="S59" s="1260"/>
      <c r="T59" s="1260"/>
      <c r="U59" s="1260"/>
      <c r="V59" s="1260"/>
      <c r="W59" s="1260"/>
      <c r="X59" s="1260"/>
      <c r="Y59" s="1260"/>
      <c r="Z59" s="1260"/>
      <c r="AA59" s="1259"/>
      <c r="AB59" s="1260"/>
      <c r="AC59" s="1259"/>
      <c r="AD59" s="1260"/>
      <c r="AE59" s="1259"/>
      <c r="AF59" s="1260"/>
      <c r="AG59" s="1259"/>
    </row>
    <row r="60" spans="1:33">
      <c r="A60" s="1258" t="s">
        <v>908</v>
      </c>
      <c r="B60" s="1258"/>
      <c r="C60" s="1258"/>
      <c r="D60" s="1258"/>
      <c r="E60" s="1258"/>
      <c r="F60" s="1258"/>
      <c r="G60" s="1258"/>
      <c r="H60" s="1258"/>
      <c r="I60" s="1258"/>
      <c r="J60" s="1258"/>
      <c r="K60" s="1258"/>
      <c r="L60" s="1258"/>
      <c r="M60" s="1258"/>
      <c r="N60" s="1258"/>
      <c r="O60" s="1258"/>
      <c r="P60" s="1258"/>
      <c r="Q60" s="1258"/>
    </row>
    <row r="61" spans="1:33">
      <c r="AA61" s="1130"/>
      <c r="AC61" s="1130"/>
      <c r="AE61" s="1130"/>
      <c r="AG61" s="1130"/>
    </row>
  </sheetData>
  <mergeCells count="4">
    <mergeCell ref="J23:T23"/>
    <mergeCell ref="J41:T41"/>
    <mergeCell ref="A2:K2"/>
    <mergeCell ref="A3:AG3"/>
  </mergeCells>
  <phoneticPr fontId="7" type="noConversion"/>
  <pageMargins left="0" right="0" top="0" bottom="0" header="0" footer="0"/>
  <pageSetup paperSize="9" scale="35" orientation="landscape" r:id="rId1"/>
  <headerFooter alignWithMargins="0"/>
  <ignoredErrors>
    <ignoredError sqref="J43:T45 T29:T30 J29:N30 J31:T34 J24:T28 O5:T12 K5:K22 G23:T23 G5:J22 L5:N22 G31:I42 G29:I30 G24:I28 AA21 AA5:AB12 AA22:AB37 AA39:AB39 AB38 AA41:AB45 J41:T42 J40:S40 J39:T39 J35:N35 P35 J36:N36 P36 J37:N37 P37 AA48:AB54 AB46:AB47 R35:T35 T36 R37 R29:R30 P29:P30 T37 J48:T50 J46:P47 T46:T47 R46:R47 O21:T22 P20 J38:N38 P38:T38 R20:T20 P13:P19 T13:T19 R13:R19 AA20:AB20 AB13:AB19 AA58:AB60 AA56 AB57" 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ayfa13">
    <tabColor theme="3" tint="0.59999389629810485"/>
  </sheetPr>
  <dimension ref="A1:AI59"/>
  <sheetViews>
    <sheetView showGridLines="0" zoomScale="60" zoomScaleNormal="60" zoomScaleSheetLayoutView="50" workbookViewId="0">
      <selection activeCell="A4" sqref="A4:AH4"/>
    </sheetView>
  </sheetViews>
  <sheetFormatPr defaultRowHeight="27.75"/>
  <cols>
    <col min="1" max="1" width="58.140625" style="1268" customWidth="1"/>
    <col min="2" max="4" width="13.7109375" style="1268" hidden="1" customWidth="1"/>
    <col min="5" max="5" width="0.28515625" style="1268" hidden="1" customWidth="1"/>
    <col min="6" max="6" width="1.85546875" style="1268" customWidth="1"/>
    <col min="7" max="7" width="14.7109375" style="1268" hidden="1" customWidth="1"/>
    <col min="8" max="8" width="27" style="1268" customWidth="1"/>
    <col min="9" max="9" width="15.85546875" style="1268" customWidth="1"/>
    <col min="10" max="10" width="23.7109375" style="1268" customWidth="1"/>
    <col min="11" max="11" width="18.28515625" style="1268" customWidth="1"/>
    <col min="12" max="12" width="25" style="1268" customWidth="1"/>
    <col min="13" max="13" width="15.85546875" style="1268" customWidth="1"/>
    <col min="14" max="14" width="24.28515625" style="1268" customWidth="1"/>
    <col min="15" max="15" width="16.140625" style="1268" customWidth="1"/>
    <col min="16" max="16" width="24.5703125" style="1268" customWidth="1"/>
    <col min="17" max="17" width="16.140625" style="1268" customWidth="1"/>
    <col min="18" max="18" width="24.5703125" style="1268" customWidth="1"/>
    <col min="19" max="19" width="17" style="1268" customWidth="1"/>
    <col min="20" max="20" width="22.85546875" style="1268" customWidth="1"/>
    <col min="21" max="21" width="15.140625" style="1268" customWidth="1"/>
    <col min="22" max="22" width="23.7109375" style="1268" customWidth="1"/>
    <col min="23" max="23" width="14.7109375" style="1268" customWidth="1"/>
    <col min="24" max="24" width="23.7109375" style="1268" customWidth="1"/>
    <col min="25" max="25" width="14.7109375" style="1268" customWidth="1"/>
    <col min="26" max="26" width="23.140625" style="1268" customWidth="1"/>
    <col min="27" max="27" width="14.85546875" style="1268" customWidth="1"/>
    <col min="28" max="28" width="23.85546875" style="1268" customWidth="1"/>
    <col min="29" max="29" width="13.7109375" style="1268" customWidth="1"/>
    <col min="30" max="30" width="23.5703125" style="1268" customWidth="1"/>
    <col min="31" max="31" width="19.85546875" style="1268" customWidth="1"/>
    <col min="32" max="32" width="27" style="1268" customWidth="1"/>
    <col min="33" max="33" width="16.28515625" style="1268" customWidth="1"/>
    <col min="34" max="34" width="26.140625" style="1268" customWidth="1"/>
    <col min="35" max="35" width="47" style="1270" customWidth="1"/>
    <col min="36" max="16384" width="9.140625" style="1268"/>
  </cols>
  <sheetData>
    <row r="1" spans="1:35" s="1261" customFormat="1" ht="25.5" customHeight="1">
      <c r="A1" s="1788" t="s">
        <v>289</v>
      </c>
      <c r="B1" s="1788"/>
      <c r="C1" s="1788"/>
      <c r="D1" s="1788"/>
      <c r="E1" s="1788"/>
      <c r="F1" s="1788"/>
      <c r="G1" s="1788"/>
      <c r="H1" s="1788"/>
      <c r="I1" s="1788"/>
      <c r="J1" s="1788"/>
      <c r="K1" s="1788"/>
      <c r="L1" s="1788"/>
      <c r="M1" s="1788"/>
      <c r="N1" s="1788"/>
      <c r="O1" s="1788"/>
      <c r="P1" s="1788"/>
      <c r="Q1" s="1788"/>
      <c r="R1" s="1788"/>
      <c r="S1" s="1788"/>
      <c r="T1" s="1788"/>
      <c r="U1" s="1788"/>
      <c r="V1" s="1788"/>
      <c r="W1" s="1788"/>
      <c r="X1" s="1788"/>
      <c r="Y1" s="1788"/>
      <c r="Z1" s="1788"/>
      <c r="AA1" s="1788"/>
      <c r="AB1" s="1788"/>
      <c r="AC1" s="1788"/>
      <c r="AD1" s="1788"/>
      <c r="AE1" s="1788"/>
      <c r="AF1" s="1788"/>
      <c r="AG1" s="1788"/>
      <c r="AH1" s="1788"/>
      <c r="AI1" s="1788"/>
    </row>
    <row r="2" spans="1:35" s="1261" customFormat="1" ht="23.25" customHeight="1">
      <c r="A2" s="1789" t="s">
        <v>290</v>
      </c>
      <c r="B2" s="1789"/>
      <c r="C2" s="1789"/>
      <c r="D2" s="1789"/>
      <c r="E2" s="1789"/>
      <c r="F2" s="1789"/>
      <c r="G2" s="1789"/>
      <c r="H2" s="1789"/>
      <c r="I2" s="1789"/>
      <c r="J2" s="1789"/>
      <c r="K2" s="1789"/>
      <c r="L2" s="1789"/>
      <c r="M2" s="1789"/>
      <c r="N2" s="1789"/>
      <c r="O2" s="1789"/>
      <c r="P2" s="1789"/>
      <c r="Q2" s="1789"/>
      <c r="R2" s="1789"/>
      <c r="S2" s="1789"/>
      <c r="T2" s="1789"/>
      <c r="U2" s="1789"/>
      <c r="V2" s="1789"/>
      <c r="W2" s="1789"/>
      <c r="X2" s="1789"/>
      <c r="Y2" s="1789"/>
      <c r="Z2" s="1789"/>
      <c r="AA2" s="1789"/>
      <c r="AB2" s="1789"/>
      <c r="AC2" s="1789"/>
      <c r="AD2" s="1789"/>
      <c r="AE2" s="1789"/>
      <c r="AF2" s="1789"/>
      <c r="AG2" s="1789"/>
      <c r="AH2" s="1789"/>
      <c r="AI2" s="1789"/>
    </row>
    <row r="3" spans="1:35" ht="24.75" customHeight="1" thickBot="1">
      <c r="A3" s="1262"/>
      <c r="B3" s="1263" t="s">
        <v>729</v>
      </c>
      <c r="C3" s="1263" t="s">
        <v>729</v>
      </c>
      <c r="D3" s="1263"/>
      <c r="E3" s="1263"/>
      <c r="F3" s="1264"/>
      <c r="G3" s="1264"/>
      <c r="H3" s="1264"/>
      <c r="I3" s="1264"/>
      <c r="J3" s="1264"/>
      <c r="K3" s="1264"/>
      <c r="L3" s="1265"/>
      <c r="M3" s="1265"/>
      <c r="N3" s="1262"/>
      <c r="O3" s="1262"/>
      <c r="P3" s="1266" t="s">
        <v>729</v>
      </c>
      <c r="Q3" s="1262"/>
      <c r="R3" s="1262"/>
      <c r="S3" s="1262"/>
      <c r="T3" s="1266" t="s">
        <v>729</v>
      </c>
      <c r="U3" s="1262"/>
      <c r="V3" s="1262"/>
      <c r="W3" s="1262"/>
      <c r="X3" s="1262"/>
      <c r="Y3" s="1262"/>
      <c r="Z3" s="1262"/>
      <c r="AA3" s="1262"/>
      <c r="AB3" s="1266" t="s">
        <v>729</v>
      </c>
      <c r="AC3" s="1262"/>
      <c r="AD3" s="1266" t="s">
        <v>729</v>
      </c>
      <c r="AE3" s="1262"/>
      <c r="AF3" s="1266" t="s">
        <v>729</v>
      </c>
      <c r="AG3" s="1262"/>
      <c r="AH3" s="1266" t="s">
        <v>729</v>
      </c>
      <c r="AI3" s="1267" t="s">
        <v>729</v>
      </c>
    </row>
    <row r="4" spans="1:35" ht="30.75" customHeight="1" thickBot="1">
      <c r="A4" s="1794" t="s">
        <v>1192</v>
      </c>
      <c r="B4" s="1795"/>
      <c r="C4" s="1795"/>
      <c r="D4" s="1795"/>
      <c r="E4" s="1795"/>
      <c r="F4" s="1795"/>
      <c r="G4" s="1795"/>
      <c r="H4" s="1795"/>
      <c r="I4" s="1795"/>
      <c r="J4" s="1795"/>
      <c r="K4" s="1795"/>
      <c r="L4" s="1795"/>
      <c r="M4" s="1795"/>
      <c r="N4" s="1795"/>
      <c r="O4" s="1795"/>
      <c r="P4" s="1795"/>
      <c r="Q4" s="1795"/>
      <c r="R4" s="1795"/>
      <c r="S4" s="1795"/>
      <c r="T4" s="1795"/>
      <c r="U4" s="1795"/>
      <c r="V4" s="1795"/>
      <c r="W4" s="1795"/>
      <c r="X4" s="1795"/>
      <c r="Y4" s="1795"/>
      <c r="Z4" s="1795"/>
      <c r="AA4" s="1795"/>
      <c r="AB4" s="1795"/>
      <c r="AC4" s="1795"/>
      <c r="AD4" s="1795"/>
      <c r="AE4" s="1795"/>
      <c r="AF4" s="1795"/>
      <c r="AG4" s="1795"/>
      <c r="AH4" s="1796"/>
      <c r="AI4" s="1267"/>
    </row>
    <row r="5" spans="1:35" s="1270" customFormat="1" ht="105" customHeight="1">
      <c r="A5" s="1706" t="s">
        <v>1254</v>
      </c>
      <c r="B5" s="1707">
        <v>2000</v>
      </c>
      <c r="C5" s="1707">
        <v>2001</v>
      </c>
      <c r="D5" s="1707">
        <v>2002</v>
      </c>
      <c r="E5" s="1708" t="s">
        <v>56</v>
      </c>
      <c r="F5" s="1707">
        <v>2003</v>
      </c>
      <c r="G5" s="1708" t="s">
        <v>56</v>
      </c>
      <c r="H5" s="1707">
        <v>2004</v>
      </c>
      <c r="I5" s="1708" t="s">
        <v>56</v>
      </c>
      <c r="J5" s="1707">
        <v>2005</v>
      </c>
      <c r="K5" s="1708" t="s">
        <v>56</v>
      </c>
      <c r="L5" s="1707">
        <v>2006</v>
      </c>
      <c r="M5" s="1708" t="s">
        <v>56</v>
      </c>
      <c r="N5" s="1707">
        <v>2007</v>
      </c>
      <c r="O5" s="1708" t="s">
        <v>56</v>
      </c>
      <c r="P5" s="1707">
        <v>2008</v>
      </c>
      <c r="Q5" s="1708" t="s">
        <v>56</v>
      </c>
      <c r="R5" s="1707">
        <v>2009</v>
      </c>
      <c r="S5" s="1708" t="s">
        <v>56</v>
      </c>
      <c r="T5" s="1709">
        <v>2010</v>
      </c>
      <c r="U5" s="1708" t="s">
        <v>56</v>
      </c>
      <c r="V5" s="1709">
        <v>2011</v>
      </c>
      <c r="W5" s="1708" t="s">
        <v>56</v>
      </c>
      <c r="X5" s="1709">
        <v>2012</v>
      </c>
      <c r="Y5" s="1708" t="s">
        <v>56</v>
      </c>
      <c r="Z5" s="1709">
        <v>2013</v>
      </c>
      <c r="AA5" s="1708" t="s">
        <v>56</v>
      </c>
      <c r="AB5" s="1709">
        <f>+'8.4-b Sigortalı Sayıları'!AA4</f>
        <v>2014</v>
      </c>
      <c r="AC5" s="1708" t="s">
        <v>56</v>
      </c>
      <c r="AD5" s="1709">
        <v>2015</v>
      </c>
      <c r="AE5" s="1710" t="s">
        <v>56</v>
      </c>
      <c r="AF5" s="1711" t="str">
        <f>+'8.4-b Sigortalı Sayıları'!AE4</f>
        <v>2016 Aralık December</v>
      </c>
      <c r="AG5" s="1710" t="s">
        <v>56</v>
      </c>
      <c r="AH5" s="1712" t="str">
        <f>+'8.4-b Sigortalı Sayıları'!AG4</f>
        <v>2017 Nisan April</v>
      </c>
      <c r="AI5" s="1269" t="s">
        <v>729</v>
      </c>
    </row>
    <row r="6" spans="1:35" ht="68.25" customHeight="1">
      <c r="A6" s="1271" t="s">
        <v>132</v>
      </c>
      <c r="B6" s="1272">
        <f>SUM(B7:B7)</f>
        <v>1936695.3957220435</v>
      </c>
      <c r="C6" s="1272">
        <f>SUM(C7:C7)</f>
        <v>2001456.6448757059</v>
      </c>
      <c r="D6" s="1272">
        <f>SUM(D7:D7)</f>
        <v>2123839.0436073625</v>
      </c>
      <c r="E6" s="1273">
        <f>(D6-C6)/C6*100</f>
        <v>6.1146664877797932</v>
      </c>
      <c r="F6" s="1272">
        <f>SUM(F7:F7)</f>
        <v>2155499.1241001505</v>
      </c>
      <c r="G6" s="1273">
        <f>(F6-D6)/D6*100</f>
        <v>1.4907005588810074</v>
      </c>
      <c r="H6" s="1272">
        <f>SUM(H7:H7)</f>
        <v>2151867.7609337359</v>
      </c>
      <c r="I6" s="1273">
        <f>(H6-F6)/F6*100</f>
        <v>-0.16846971199446165</v>
      </c>
      <c r="J6" s="1272">
        <f>SUM(J7:J7)</f>
        <v>2150362.2265867037</v>
      </c>
      <c r="K6" s="1273">
        <f>(J6-H6)/H6*100</f>
        <v>-6.9964073739313667E-2</v>
      </c>
      <c r="L6" s="1272">
        <f>SUM(L7:L7)</f>
        <v>2166910.5732025942</v>
      </c>
      <c r="M6" s="1273">
        <f>(L6-J6)/J6*100</f>
        <v>0.7695608865934136</v>
      </c>
      <c r="N6" s="1272">
        <f>SUM(N7:N7)</f>
        <v>2188198.3992284341</v>
      </c>
      <c r="O6" s="1273">
        <f>(N6-L6)/L6*100</f>
        <v>0.98240445586905178</v>
      </c>
      <c r="P6" s="1272">
        <f>SUM(P7:P7)</f>
        <v>2205675.8449241221</v>
      </c>
      <c r="Q6" s="1273">
        <f>(P6-N6)/N6*100</f>
        <v>0.7987139421110363</v>
      </c>
      <c r="R6" s="1272">
        <f>SUM(R7:R7)</f>
        <v>2241418</v>
      </c>
      <c r="S6" s="1273">
        <f>(R6-P6)/P6*100</f>
        <v>1.6204627329138421</v>
      </c>
      <c r="T6" s="1272">
        <f>SUM(T7:T7)</f>
        <v>2282511</v>
      </c>
      <c r="U6" s="1273">
        <f>(T6-R6)/R6*100</f>
        <v>1.8333483535868813</v>
      </c>
      <c r="V6" s="1272">
        <v>2554200</v>
      </c>
      <c r="W6" s="1273">
        <f>(V6-T6)/T6*100</f>
        <v>11.903075165902816</v>
      </c>
      <c r="X6" s="1272">
        <v>2662608</v>
      </c>
      <c r="Y6" s="1273">
        <f>(X6-V6)/V6*100</f>
        <v>4.2443035001174536</v>
      </c>
      <c r="Z6" s="1272">
        <f>+Z7+Z8+Z9</f>
        <v>2823400</v>
      </c>
      <c r="AA6" s="1273">
        <f>(Z6-X6)/X6*100</f>
        <v>6.038891192394825</v>
      </c>
      <c r="AB6" s="1272">
        <f>+AB7+AB8+AB9</f>
        <v>2910148</v>
      </c>
      <c r="AC6" s="1273">
        <f>(AB6-Z6)/Z6*100</f>
        <v>3.072465821350145</v>
      </c>
      <c r="AD6" s="1272">
        <f>+AD7+AD8+AD9</f>
        <v>3032971</v>
      </c>
      <c r="AE6" s="1273">
        <f>(AD6-AB6)/AB6*100</f>
        <v>4.2205069982695038</v>
      </c>
      <c r="AF6" s="1272">
        <v>2982548</v>
      </c>
      <c r="AG6" s="1273">
        <f>(AF6-AD6)/AD6*100</f>
        <v>-1.662495289272466</v>
      </c>
      <c r="AH6" s="1274">
        <f>+AH7+AH8+AH9</f>
        <v>2970797</v>
      </c>
      <c r="AI6" s="1275" t="s">
        <v>693</v>
      </c>
    </row>
    <row r="7" spans="1:35" ht="68.25" customHeight="1">
      <c r="A7" s="1276" t="s">
        <v>505</v>
      </c>
      <c r="B7" s="1277">
        <v>1936695.3957220435</v>
      </c>
      <c r="C7" s="1277">
        <v>2001456.6448757059</v>
      </c>
      <c r="D7" s="1277">
        <v>2123839.0436073625</v>
      </c>
      <c r="E7" s="1278"/>
      <c r="F7" s="1277">
        <v>2155499.1241001505</v>
      </c>
      <c r="G7" s="1278"/>
      <c r="H7" s="1277">
        <v>2151867.7609337359</v>
      </c>
      <c r="I7" s="1278"/>
      <c r="J7" s="1277">
        <v>2150362.2265867037</v>
      </c>
      <c r="K7" s="1278"/>
      <c r="L7" s="1277">
        <v>2166910.5732025942</v>
      </c>
      <c r="M7" s="1278"/>
      <c r="N7" s="1279">
        <v>2188198.3992284341</v>
      </c>
      <c r="O7" s="1278"/>
      <c r="P7" s="1279">
        <v>2205675.8449241221</v>
      </c>
      <c r="Q7" s="1278"/>
      <c r="R7" s="1280">
        <v>2241418</v>
      </c>
      <c r="S7" s="1278"/>
      <c r="T7" s="1280">
        <v>2282511</v>
      </c>
      <c r="U7" s="1278"/>
      <c r="V7" s="1277">
        <v>2554200</v>
      </c>
      <c r="W7" s="1278"/>
      <c r="X7" s="1277">
        <v>2662608</v>
      </c>
      <c r="Y7" s="1278"/>
      <c r="Z7" s="1280">
        <v>2822178</v>
      </c>
      <c r="AA7" s="1278"/>
      <c r="AB7" s="1280">
        <v>2909003</v>
      </c>
      <c r="AC7" s="1278"/>
      <c r="AD7" s="1280">
        <v>3031979</v>
      </c>
      <c r="AE7" s="1278"/>
      <c r="AF7" s="1280">
        <v>2981646</v>
      </c>
      <c r="AG7" s="1278"/>
      <c r="AH7" s="1281">
        <f>+'14.4-c İL'!F88</f>
        <v>2969930</v>
      </c>
      <c r="AI7" s="1282" t="s">
        <v>522</v>
      </c>
    </row>
    <row r="8" spans="1:35" ht="68.25" customHeight="1">
      <c r="A8" s="1283" t="s">
        <v>1145</v>
      </c>
      <c r="B8" s="1277"/>
      <c r="C8" s="1277"/>
      <c r="D8" s="1277"/>
      <c r="E8" s="1278"/>
      <c r="F8" s="1277"/>
      <c r="G8" s="1278"/>
      <c r="H8" s="1277"/>
      <c r="I8" s="1278"/>
      <c r="J8" s="1277"/>
      <c r="K8" s="1278"/>
      <c r="L8" s="1277"/>
      <c r="M8" s="1277"/>
      <c r="N8" s="1277"/>
      <c r="O8" s="1277"/>
      <c r="P8" s="1277"/>
      <c r="Q8" s="1277"/>
      <c r="R8" s="1277"/>
      <c r="S8" s="1277"/>
      <c r="T8" s="1277"/>
      <c r="U8" s="1277"/>
      <c r="V8" s="1277"/>
      <c r="W8" s="1277"/>
      <c r="X8" s="1277"/>
      <c r="Y8" s="1278"/>
      <c r="Z8" s="1280">
        <v>442</v>
      </c>
      <c r="AA8" s="1278"/>
      <c r="AB8" s="1280">
        <v>371</v>
      </c>
      <c r="AC8" s="1278"/>
      <c r="AD8" s="1280">
        <v>357</v>
      </c>
      <c r="AE8" s="1278"/>
      <c r="AF8" s="1280">
        <v>349</v>
      </c>
      <c r="AG8" s="1278"/>
      <c r="AH8" s="1281">
        <f>+'14.4-c İL'!I88</f>
        <v>342</v>
      </c>
      <c r="AI8" s="1282"/>
    </row>
    <row r="9" spans="1:35" ht="68.25" customHeight="1">
      <c r="A9" s="1283" t="s">
        <v>1146</v>
      </c>
      <c r="B9" s="1283"/>
      <c r="C9" s="1283"/>
      <c r="D9" s="1277"/>
      <c r="E9" s="1278"/>
      <c r="F9" s="1277"/>
      <c r="G9" s="1278"/>
      <c r="H9" s="1277"/>
      <c r="I9" s="1278"/>
      <c r="J9" s="1277"/>
      <c r="K9" s="1278"/>
      <c r="L9" s="1277"/>
      <c r="M9" s="1277"/>
      <c r="N9" s="1277"/>
      <c r="O9" s="1277"/>
      <c r="P9" s="1277"/>
      <c r="Q9" s="1277"/>
      <c r="R9" s="1277"/>
      <c r="S9" s="1277"/>
      <c r="T9" s="1277"/>
      <c r="U9" s="1277"/>
      <c r="V9" s="1277"/>
      <c r="W9" s="1277"/>
      <c r="X9" s="1277"/>
      <c r="Y9" s="1278"/>
      <c r="Z9" s="1280">
        <v>780</v>
      </c>
      <c r="AA9" s="1278"/>
      <c r="AB9" s="1280">
        <v>774</v>
      </c>
      <c r="AC9" s="1278"/>
      <c r="AD9" s="1280">
        <v>635</v>
      </c>
      <c r="AE9" s="1278"/>
      <c r="AF9" s="1280">
        <v>553</v>
      </c>
      <c r="AG9" s="1278"/>
      <c r="AH9" s="1281">
        <f>+'14.4-c İL'!L88</f>
        <v>525</v>
      </c>
      <c r="AI9" s="1282"/>
    </row>
    <row r="10" spans="1:35" ht="66" customHeight="1">
      <c r="A10" s="1271" t="s">
        <v>396</v>
      </c>
      <c r="B10" s="1277" t="s">
        <v>729</v>
      </c>
      <c r="C10" s="1277" t="s">
        <v>729</v>
      </c>
      <c r="D10" s="1277" t="s">
        <v>729</v>
      </c>
      <c r="E10" s="1278"/>
      <c r="F10" s="1277" t="s">
        <v>729</v>
      </c>
      <c r="G10" s="1278"/>
      <c r="H10" s="1277" t="s">
        <v>729</v>
      </c>
      <c r="I10" s="1278"/>
      <c r="J10" s="1277" t="s">
        <v>729</v>
      </c>
      <c r="K10" s="1278"/>
      <c r="L10" s="1277" t="s">
        <v>729</v>
      </c>
      <c r="M10" s="1278"/>
      <c r="N10" s="1277" t="s">
        <v>729</v>
      </c>
      <c r="O10" s="1278"/>
      <c r="P10" s="1277"/>
      <c r="Q10" s="1278"/>
      <c r="R10" s="1277"/>
      <c r="S10" s="1278"/>
      <c r="T10" s="1277"/>
      <c r="U10" s="1278"/>
      <c r="V10" s="1284"/>
      <c r="W10" s="1278"/>
      <c r="X10" s="1284"/>
      <c r="Y10" s="1278"/>
      <c r="Z10" s="1277"/>
      <c r="AA10" s="1278"/>
      <c r="AB10" s="1277"/>
      <c r="AC10" s="1278"/>
      <c r="AD10" s="1277"/>
      <c r="AE10" s="1278"/>
      <c r="AF10" s="1277"/>
      <c r="AG10" s="1278"/>
      <c r="AH10" s="1285"/>
      <c r="AI10" s="1286" t="s">
        <v>250</v>
      </c>
    </row>
    <row r="11" spans="1:35" ht="66" customHeight="1">
      <c r="A11" s="1287" t="s">
        <v>130</v>
      </c>
      <c r="B11" s="1284">
        <f>+B13+B14+B15+B16</f>
        <v>1154515</v>
      </c>
      <c r="C11" s="1284">
        <f>+C13+C14+C15+C16</f>
        <v>1210761</v>
      </c>
      <c r="D11" s="1284">
        <v>1260058</v>
      </c>
      <c r="E11" s="1278">
        <f t="shared" ref="E11:E18" si="0">(D11-C11)/C11*100</f>
        <v>4.0715715157657044</v>
      </c>
      <c r="F11" s="1284">
        <f>F13+F14+F15+F16</f>
        <v>1314574</v>
      </c>
      <c r="G11" s="1278">
        <f t="shared" ref="G11:G20" si="1">(F11-D11)/D11*100</f>
        <v>4.3264675118129485</v>
      </c>
      <c r="H11" s="1284">
        <f>H13+H14+H15+H16</f>
        <v>1381745</v>
      </c>
      <c r="I11" s="1278">
        <f t="shared" ref="I11:I18" si="2">(H11-F11)/F11*100</f>
        <v>5.1097161513920097</v>
      </c>
      <c r="J11" s="1284">
        <f>J13+J14+J15+J16</f>
        <v>1443721</v>
      </c>
      <c r="K11" s="1278">
        <f t="shared" ref="K11:K18" si="3">(J11-H11)/H11*100</f>
        <v>4.4853428092737806</v>
      </c>
      <c r="L11" s="1284">
        <f>L13+L14+L15+L16</f>
        <v>1498506</v>
      </c>
      <c r="M11" s="1278">
        <f t="shared" ref="M11:M18" si="4">(L11-J11)/J11*100</f>
        <v>3.794708257343351</v>
      </c>
      <c r="N11" s="1284">
        <f>N13+N14+N15+N16</f>
        <v>1547386</v>
      </c>
      <c r="O11" s="1278">
        <f t="shared" ref="O11:Q18" si="5">(N11-L11)/L11*100</f>
        <v>3.2619155345390678</v>
      </c>
      <c r="P11" s="1284">
        <f>P13+P14+P15+P16</f>
        <v>1605589</v>
      </c>
      <c r="Q11" s="1278">
        <f t="shared" si="5"/>
        <v>3.7613756360727058</v>
      </c>
      <c r="R11" s="1284">
        <f>R13+R14+R15+R16</f>
        <v>1642059</v>
      </c>
      <c r="S11" s="1273">
        <f t="shared" ref="S11:S18" si="6">(R11-P11)/P11*100</f>
        <v>2.2714405741444414</v>
      </c>
      <c r="T11" s="1284">
        <f>T13+T14+T15+T16</f>
        <v>1682720</v>
      </c>
      <c r="U11" s="1273">
        <f t="shared" ref="U11:AG18" si="7">(T11-R11)/R11*100</f>
        <v>2.4762204037735551</v>
      </c>
      <c r="V11" s="1272">
        <v>1715507</v>
      </c>
      <c r="W11" s="1273">
        <f t="shared" si="7"/>
        <v>1.9484525054673387</v>
      </c>
      <c r="X11" s="1272">
        <v>1744873</v>
      </c>
      <c r="Y11" s="1273">
        <f t="shared" si="7"/>
        <v>1.7117971538443153</v>
      </c>
      <c r="Z11" s="1288">
        <v>1780461</v>
      </c>
      <c r="AA11" s="1273">
        <f t="shared" si="7"/>
        <v>2.0395753731073838</v>
      </c>
      <c r="AB11" s="1288">
        <f>AB13+AB14+AB15+AB16</f>
        <v>1821495</v>
      </c>
      <c r="AC11" s="1273">
        <f t="shared" si="7"/>
        <v>2.3046840116127227</v>
      </c>
      <c r="AD11" s="1288">
        <f>AD13+AD14+AD15+AD16</f>
        <v>1865983</v>
      </c>
      <c r="AE11" s="1273">
        <f t="shared" si="7"/>
        <v>2.4423893559960361</v>
      </c>
      <c r="AF11" s="1288">
        <v>1913966</v>
      </c>
      <c r="AG11" s="1273">
        <f t="shared" si="7"/>
        <v>2.5714596542412229</v>
      </c>
      <c r="AH11" s="1289">
        <f>AH13+AH14+AH15+AH16</f>
        <v>1943452</v>
      </c>
      <c r="AI11" s="1270" t="s">
        <v>543</v>
      </c>
    </row>
    <row r="12" spans="1:35" ht="66" customHeight="1">
      <c r="A12" s="1287" t="s">
        <v>131</v>
      </c>
      <c r="B12" s="1284">
        <f>+B13+B14+B15+B17</f>
        <v>1296935</v>
      </c>
      <c r="C12" s="1284">
        <f>+C13+C14+C15+C17</f>
        <v>1355558</v>
      </c>
      <c r="D12" s="1284">
        <f>D13+D14+D15+D17</f>
        <v>1408941</v>
      </c>
      <c r="E12" s="1278">
        <f t="shared" si="0"/>
        <v>3.938083062473166</v>
      </c>
      <c r="F12" s="1284">
        <f>F13+F14+F15+F17</f>
        <v>1466679</v>
      </c>
      <c r="G12" s="1278">
        <f t="shared" si="1"/>
        <v>4.0979714551567454</v>
      </c>
      <c r="H12" s="1284">
        <f>H13+H14+H15+H17</f>
        <v>1534576</v>
      </c>
      <c r="I12" s="1278">
        <f t="shared" si="2"/>
        <v>4.6293019808697062</v>
      </c>
      <c r="J12" s="1284">
        <f>J13+J14+J15+J17</f>
        <v>1595973</v>
      </c>
      <c r="K12" s="1278">
        <f t="shared" si="3"/>
        <v>4.0009096975320873</v>
      </c>
      <c r="L12" s="1284">
        <f>L13+L14+L15+L17</f>
        <v>1649998</v>
      </c>
      <c r="M12" s="1278">
        <f t="shared" si="4"/>
        <v>3.3850823290870213</v>
      </c>
      <c r="N12" s="1284">
        <f>N13+N14+N15+N17</f>
        <v>1698325</v>
      </c>
      <c r="O12" s="1278">
        <f t="shared" si="5"/>
        <v>2.9289126411062316</v>
      </c>
      <c r="P12" s="1284">
        <f>P13+P14+P15+P17</f>
        <v>1756760</v>
      </c>
      <c r="Q12" s="1278">
        <f t="shared" si="5"/>
        <v>3.440743085098553</v>
      </c>
      <c r="R12" s="1284">
        <f>R13+R14+R15+R17</f>
        <v>1795334</v>
      </c>
      <c r="S12" s="1278">
        <f t="shared" si="6"/>
        <v>2.1957467155445252</v>
      </c>
      <c r="T12" s="1284">
        <f>T13+T14+T15+T17</f>
        <v>1822730</v>
      </c>
      <c r="U12" s="1278">
        <f t="shared" si="7"/>
        <v>1.5259556160580705</v>
      </c>
      <c r="V12" s="1284">
        <v>1856273</v>
      </c>
      <c r="W12" s="1278">
        <f t="shared" si="7"/>
        <v>1.8402615856435127</v>
      </c>
      <c r="X12" s="1284">
        <v>1886681</v>
      </c>
      <c r="Y12" s="1278">
        <f t="shared" si="7"/>
        <v>1.6381211168831309</v>
      </c>
      <c r="Z12" s="1288">
        <v>1923921</v>
      </c>
      <c r="AA12" s="1278">
        <f t="shared" si="7"/>
        <v>1.9738365945276388</v>
      </c>
      <c r="AB12" s="1288">
        <f>AB13+AB14+AB15+AB17</f>
        <v>1958401</v>
      </c>
      <c r="AC12" s="1278">
        <f t="shared" si="7"/>
        <v>1.7921733792603749</v>
      </c>
      <c r="AD12" s="1288">
        <f>AD13+AD14+AD15+AD17</f>
        <v>2002355</v>
      </c>
      <c r="AE12" s="1278">
        <f t="shared" si="7"/>
        <v>2.2443820239062378</v>
      </c>
      <c r="AF12" s="1288">
        <v>2051241</v>
      </c>
      <c r="AG12" s="1278">
        <f t="shared" si="7"/>
        <v>2.441425221801329</v>
      </c>
      <c r="AH12" s="1289">
        <f>AH13+AH14+AH15+AH17</f>
        <v>2081062</v>
      </c>
      <c r="AI12" s="1270" t="s">
        <v>627</v>
      </c>
    </row>
    <row r="13" spans="1:35" ht="66" customHeight="1">
      <c r="A13" s="1276" t="s">
        <v>759</v>
      </c>
      <c r="B13" s="1280">
        <v>820767</v>
      </c>
      <c r="C13" s="1280">
        <v>867010</v>
      </c>
      <c r="D13" s="1277">
        <v>903677</v>
      </c>
      <c r="E13" s="1278">
        <f t="shared" si="0"/>
        <v>4.2291323052790624</v>
      </c>
      <c r="F13" s="1277">
        <v>947680</v>
      </c>
      <c r="G13" s="1278">
        <f t="shared" si="1"/>
        <v>4.8693283108898422</v>
      </c>
      <c r="H13" s="1277">
        <v>1006595</v>
      </c>
      <c r="I13" s="1278">
        <f t="shared" si="2"/>
        <v>6.2167609319601551</v>
      </c>
      <c r="J13" s="1277">
        <v>1061509</v>
      </c>
      <c r="K13" s="1278">
        <f t="shared" si="3"/>
        <v>5.4554214952389</v>
      </c>
      <c r="L13" s="1277">
        <v>1107904</v>
      </c>
      <c r="M13" s="1278">
        <f t="shared" si="4"/>
        <v>4.3706647800442573</v>
      </c>
      <c r="N13" s="1277">
        <v>1147518</v>
      </c>
      <c r="O13" s="1278">
        <f t="shared" si="5"/>
        <v>3.575580555716019</v>
      </c>
      <c r="P13" s="1277">
        <v>1198666</v>
      </c>
      <c r="Q13" s="1278">
        <f t="shared" si="5"/>
        <v>4.4572721299360882</v>
      </c>
      <c r="R13" s="1280">
        <v>1221544</v>
      </c>
      <c r="S13" s="1278">
        <f t="shared" si="6"/>
        <v>1.9086217511800618</v>
      </c>
      <c r="T13" s="1280">
        <v>1239660</v>
      </c>
      <c r="U13" s="1278">
        <f t="shared" si="7"/>
        <v>1.4830411348260888</v>
      </c>
      <c r="V13" s="1277">
        <v>1259454</v>
      </c>
      <c r="W13" s="1278">
        <f t="shared" si="7"/>
        <v>1.5967281351338272</v>
      </c>
      <c r="X13" s="1277">
        <v>1276655</v>
      </c>
      <c r="Y13" s="1278">
        <f t="shared" si="7"/>
        <v>1.3657505553994032</v>
      </c>
      <c r="Z13" s="1280">
        <v>1300140</v>
      </c>
      <c r="AA13" s="1278">
        <f t="shared" si="7"/>
        <v>1.8395729464890671</v>
      </c>
      <c r="AB13" s="1280">
        <v>1312681</v>
      </c>
      <c r="AC13" s="1278">
        <f t="shared" si="7"/>
        <v>0.964588428938422</v>
      </c>
      <c r="AD13" s="1280">
        <v>1340996</v>
      </c>
      <c r="AE13" s="1278">
        <f t="shared" si="7"/>
        <v>2.1570358678155621</v>
      </c>
      <c r="AF13" s="1280">
        <v>1374998</v>
      </c>
      <c r="AG13" s="1278">
        <f t="shared" si="7"/>
        <v>2.5355780330440956</v>
      </c>
      <c r="AH13" s="1281">
        <f>+'14.4-c İL'!Q88</f>
        <v>1400866</v>
      </c>
      <c r="AI13" s="1290" t="s">
        <v>649</v>
      </c>
    </row>
    <row r="14" spans="1:35" ht="66" customHeight="1">
      <c r="A14" s="1276" t="s">
        <v>486</v>
      </c>
      <c r="B14" s="1280">
        <v>19641</v>
      </c>
      <c r="C14" s="1280">
        <v>20043</v>
      </c>
      <c r="D14" s="1277">
        <v>20622</v>
      </c>
      <c r="E14" s="1278">
        <f t="shared" si="0"/>
        <v>2.8887891034276305</v>
      </c>
      <c r="F14" s="1277">
        <v>20928</v>
      </c>
      <c r="G14" s="1278">
        <f t="shared" si="1"/>
        <v>1.4838521966831539</v>
      </c>
      <c r="H14" s="1277">
        <v>21638</v>
      </c>
      <c r="I14" s="1278">
        <f t="shared" si="2"/>
        <v>3.3925840978593276</v>
      </c>
      <c r="J14" s="1277">
        <v>22116</v>
      </c>
      <c r="K14" s="1278">
        <f t="shared" si="3"/>
        <v>2.2090766244569737</v>
      </c>
      <c r="L14" s="1277">
        <v>22451</v>
      </c>
      <c r="M14" s="1278">
        <f t="shared" si="4"/>
        <v>1.5147404593959124</v>
      </c>
      <c r="N14" s="1277">
        <v>22883</v>
      </c>
      <c r="O14" s="1278">
        <f t="shared" si="5"/>
        <v>1.9241904592223062</v>
      </c>
      <c r="P14" s="1277">
        <v>23155</v>
      </c>
      <c r="Q14" s="1278">
        <f t="shared" si="5"/>
        <v>1.1886553336538042</v>
      </c>
      <c r="R14" s="1280">
        <v>23577</v>
      </c>
      <c r="S14" s="1278">
        <f t="shared" si="6"/>
        <v>1.8225005398402074</v>
      </c>
      <c r="T14" s="1280">
        <v>23703</v>
      </c>
      <c r="U14" s="1278">
        <f t="shared" si="7"/>
        <v>0.53441913729482127</v>
      </c>
      <c r="V14" s="1277">
        <v>24059</v>
      </c>
      <c r="W14" s="1278">
        <f t="shared" si="7"/>
        <v>1.5019195882377758</v>
      </c>
      <c r="X14" s="1277">
        <v>24290</v>
      </c>
      <c r="Y14" s="1278">
        <f t="shared" si="7"/>
        <v>0.96013965667733481</v>
      </c>
      <c r="Z14" s="1280">
        <v>24528</v>
      </c>
      <c r="AA14" s="1278">
        <f t="shared" si="7"/>
        <v>0.97982708933717577</v>
      </c>
      <c r="AB14" s="1280">
        <v>24688</v>
      </c>
      <c r="AC14" s="1278">
        <f t="shared" si="7"/>
        <v>0.65231572080887146</v>
      </c>
      <c r="AD14" s="1280">
        <v>25070</v>
      </c>
      <c r="AE14" s="1278">
        <f t="shared" si="7"/>
        <v>1.5473104342190538</v>
      </c>
      <c r="AF14" s="1280">
        <v>25260</v>
      </c>
      <c r="AG14" s="1278">
        <f t="shared" si="7"/>
        <v>0.75787794176306345</v>
      </c>
      <c r="AH14" s="1281">
        <f>+'14.4-c İL'!O88</f>
        <v>25373</v>
      </c>
      <c r="AI14" s="1290" t="s">
        <v>717</v>
      </c>
    </row>
    <row r="15" spans="1:35" ht="66" customHeight="1">
      <c r="A15" s="1276" t="s">
        <v>1023</v>
      </c>
      <c r="B15" s="1280">
        <v>8094</v>
      </c>
      <c r="C15" s="1280">
        <v>8360</v>
      </c>
      <c r="D15" s="1277">
        <v>8586</v>
      </c>
      <c r="E15" s="1278">
        <f t="shared" si="0"/>
        <v>2.7033492822966507</v>
      </c>
      <c r="F15" s="1277">
        <v>8823</v>
      </c>
      <c r="G15" s="1278">
        <f t="shared" si="1"/>
        <v>2.7603074772886096</v>
      </c>
      <c r="H15" s="1277">
        <v>10261</v>
      </c>
      <c r="I15" s="1278">
        <f t="shared" si="2"/>
        <v>16.298311232007254</v>
      </c>
      <c r="J15" s="1277">
        <v>10006</v>
      </c>
      <c r="K15" s="1278">
        <f t="shared" si="3"/>
        <v>-2.4851379007893968</v>
      </c>
      <c r="L15" s="1277">
        <v>9406</v>
      </c>
      <c r="M15" s="1278">
        <f t="shared" si="4"/>
        <v>-5.9964021587047771</v>
      </c>
      <c r="N15" s="1277">
        <v>9239</v>
      </c>
      <c r="O15" s="1278">
        <f t="shared" si="5"/>
        <v>-1.7754624707633424</v>
      </c>
      <c r="P15" s="1277">
        <v>6401</v>
      </c>
      <c r="Q15" s="1278">
        <f t="shared" si="5"/>
        <v>-30.717610130966555</v>
      </c>
      <c r="R15" s="1280">
        <v>6543</v>
      </c>
      <c r="S15" s="1278">
        <f t="shared" si="6"/>
        <v>2.2184033744727385</v>
      </c>
      <c r="T15" s="1280">
        <v>6608</v>
      </c>
      <c r="U15" s="1278">
        <f t="shared" si="7"/>
        <v>0.9934280910897143</v>
      </c>
      <c r="V15" s="1277">
        <v>6711</v>
      </c>
      <c r="W15" s="1278">
        <f t="shared" si="7"/>
        <v>1.5587167070217918</v>
      </c>
      <c r="X15" s="1277">
        <v>6858</v>
      </c>
      <c r="Y15" s="1278">
        <f t="shared" si="7"/>
        <v>2.1904336164506035</v>
      </c>
      <c r="Z15" s="1280">
        <v>6921</v>
      </c>
      <c r="AA15" s="1278">
        <f t="shared" si="7"/>
        <v>0.9186351706036745</v>
      </c>
      <c r="AB15" s="1280">
        <v>11536</v>
      </c>
      <c r="AC15" s="1278">
        <f t="shared" si="7"/>
        <v>66.681115445744837</v>
      </c>
      <c r="AD15" s="1280">
        <v>11939</v>
      </c>
      <c r="AE15" s="1278">
        <f t="shared" si="7"/>
        <v>3.493411927877947</v>
      </c>
      <c r="AF15" s="1280">
        <v>12170</v>
      </c>
      <c r="AG15" s="1278">
        <f t="shared" si="7"/>
        <v>1.9348354133512018</v>
      </c>
      <c r="AH15" s="1281">
        <f>+'14.4-c İL'!P88</f>
        <v>12403</v>
      </c>
      <c r="AI15" s="1291" t="s">
        <v>538</v>
      </c>
    </row>
    <row r="16" spans="1:35" ht="66" customHeight="1">
      <c r="A16" s="1292" t="s">
        <v>1051</v>
      </c>
      <c r="B16" s="1280">
        <v>306013</v>
      </c>
      <c r="C16" s="1280">
        <v>315348</v>
      </c>
      <c r="D16" s="1280">
        <v>327173</v>
      </c>
      <c r="E16" s="1278">
        <f t="shared" si="0"/>
        <v>3.7498255895074646</v>
      </c>
      <c r="F16" s="1280">
        <v>337143</v>
      </c>
      <c r="G16" s="1278">
        <f t="shared" si="1"/>
        <v>3.0473174742414564</v>
      </c>
      <c r="H16" s="1280">
        <v>343251</v>
      </c>
      <c r="I16" s="1278">
        <f t="shared" si="2"/>
        <v>1.8116941475872257</v>
      </c>
      <c r="J16" s="1280">
        <v>350090</v>
      </c>
      <c r="K16" s="1278">
        <f t="shared" si="3"/>
        <v>1.9924195413851671</v>
      </c>
      <c r="L16" s="1280">
        <v>358745</v>
      </c>
      <c r="M16" s="1278">
        <f t="shared" si="4"/>
        <v>2.4722214287754576</v>
      </c>
      <c r="N16" s="1280">
        <v>367746</v>
      </c>
      <c r="O16" s="1278">
        <f t="shared" si="5"/>
        <v>2.5090245160211291</v>
      </c>
      <c r="P16" s="1280">
        <v>377367</v>
      </c>
      <c r="Q16" s="1278">
        <f t="shared" si="5"/>
        <v>2.6162079261229216</v>
      </c>
      <c r="R16" s="1280">
        <v>390395</v>
      </c>
      <c r="S16" s="1278">
        <f t="shared" si="6"/>
        <v>3.4523421496845246</v>
      </c>
      <c r="T16" s="1280">
        <v>412749</v>
      </c>
      <c r="U16" s="1278">
        <f t="shared" si="7"/>
        <v>5.725995466130458</v>
      </c>
      <c r="V16" s="1277">
        <v>425283</v>
      </c>
      <c r="W16" s="1278">
        <f t="shared" si="7"/>
        <v>3.0367123845242507</v>
      </c>
      <c r="X16" s="1277">
        <v>437070</v>
      </c>
      <c r="Y16" s="1278">
        <f t="shared" si="7"/>
        <v>2.7715662276648727</v>
      </c>
      <c r="Z16" s="1280">
        <v>448872</v>
      </c>
      <c r="AA16" s="1278">
        <f t="shared" si="7"/>
        <v>2.7002539638959435</v>
      </c>
      <c r="AB16" s="1280">
        <v>472590</v>
      </c>
      <c r="AC16" s="1278">
        <f t="shared" si="7"/>
        <v>5.2839116719242902</v>
      </c>
      <c r="AD16" s="1280">
        <v>487978</v>
      </c>
      <c r="AE16" s="1278">
        <f t="shared" si="7"/>
        <v>3.2560993673162786</v>
      </c>
      <c r="AF16" s="1280">
        <v>501538</v>
      </c>
      <c r="AG16" s="1278">
        <f t="shared" si="7"/>
        <v>2.7788137989827413</v>
      </c>
      <c r="AH16" s="1281">
        <f>+'14.4-c İL'!R88</f>
        <v>504810</v>
      </c>
      <c r="AI16" s="1293" t="s">
        <v>631</v>
      </c>
    </row>
    <row r="17" spans="1:35" ht="100.5" customHeight="1">
      <c r="A17" s="1294" t="s">
        <v>64</v>
      </c>
      <c r="B17" s="1277">
        <f>376131+19412+52890</f>
        <v>448433</v>
      </c>
      <c r="C17" s="1277">
        <f>388230+19810+52105</f>
        <v>460145</v>
      </c>
      <c r="D17" s="1277">
        <f>404111+20332+51613</f>
        <v>476056</v>
      </c>
      <c r="E17" s="1278">
        <f t="shared" si="0"/>
        <v>3.4578230775081771</v>
      </c>
      <c r="F17" s="1277">
        <f>417848+20795+50605</f>
        <v>489248</v>
      </c>
      <c r="G17" s="1278">
        <f t="shared" si="1"/>
        <v>2.7711025593627641</v>
      </c>
      <c r="H17" s="1277">
        <f>427340+20899+47843</f>
        <v>496082</v>
      </c>
      <c r="I17" s="1278">
        <f t="shared" si="2"/>
        <v>1.3968375956570083</v>
      </c>
      <c r="J17" s="1277">
        <v>502342</v>
      </c>
      <c r="K17" s="1278">
        <f t="shared" si="3"/>
        <v>1.2618881555871813</v>
      </c>
      <c r="L17" s="1277">
        <v>510237</v>
      </c>
      <c r="M17" s="1278">
        <f t="shared" si="4"/>
        <v>1.5716384455211789</v>
      </c>
      <c r="N17" s="1277">
        <v>518685</v>
      </c>
      <c r="O17" s="1278">
        <f t="shared" si="5"/>
        <v>1.6557011741602432</v>
      </c>
      <c r="P17" s="1277">
        <v>528538</v>
      </c>
      <c r="Q17" s="1278">
        <f t="shared" si="5"/>
        <v>1.8996115175877459</v>
      </c>
      <c r="R17" s="1280">
        <v>543670</v>
      </c>
      <c r="S17" s="1278">
        <f t="shared" si="6"/>
        <v>2.8629918757024093</v>
      </c>
      <c r="T17" s="1280">
        <v>552759</v>
      </c>
      <c r="U17" s="1278">
        <f t="shared" si="7"/>
        <v>1.6717861938308165</v>
      </c>
      <c r="V17" s="1277">
        <v>566049</v>
      </c>
      <c r="W17" s="1278">
        <f t="shared" si="7"/>
        <v>2.4043027793305942</v>
      </c>
      <c r="X17" s="1277">
        <v>578878</v>
      </c>
      <c r="Y17" s="1278">
        <f t="shared" si="7"/>
        <v>2.2664115650765218</v>
      </c>
      <c r="Z17" s="1280">
        <v>592332</v>
      </c>
      <c r="AA17" s="1278">
        <f t="shared" si="7"/>
        <v>2.3241512028441229</v>
      </c>
      <c r="AB17" s="1280">
        <v>609496</v>
      </c>
      <c r="AC17" s="1278">
        <f t="shared" si="7"/>
        <v>2.8976992632510146</v>
      </c>
      <c r="AD17" s="1280">
        <v>624350</v>
      </c>
      <c r="AE17" s="1278">
        <f t="shared" si="7"/>
        <v>2.4370955674852666</v>
      </c>
      <c r="AF17" s="1280">
        <v>638813</v>
      </c>
      <c r="AG17" s="1278">
        <f t="shared" si="7"/>
        <v>2.316489148714663</v>
      </c>
      <c r="AH17" s="1281">
        <f>+'14.4-c İL'!S88</f>
        <v>642420</v>
      </c>
      <c r="AI17" s="1295" t="s">
        <v>566</v>
      </c>
    </row>
    <row r="18" spans="1:35" ht="66" customHeight="1">
      <c r="A18" s="1296" t="s">
        <v>10</v>
      </c>
      <c r="B18" s="1297">
        <v>4139276.9645841802</v>
      </c>
      <c r="C18" s="1297">
        <v>4288102.6657829788</v>
      </c>
      <c r="D18" s="1297">
        <v>4530167.0991723593</v>
      </c>
      <c r="E18" s="1278">
        <f t="shared" si="0"/>
        <v>5.6450242043162753</v>
      </c>
      <c r="F18" s="1297">
        <v>4622771.9955500793</v>
      </c>
      <c r="G18" s="1278">
        <f t="shared" si="1"/>
        <v>2.0441827939335488</v>
      </c>
      <c r="H18" s="1297">
        <v>4663014</v>
      </c>
      <c r="I18" s="1278">
        <f t="shared" si="2"/>
        <v>0.87051674814717306</v>
      </c>
      <c r="J18" s="1297">
        <v>4702391.4843336018</v>
      </c>
      <c r="K18" s="1278">
        <f t="shared" si="3"/>
        <v>0.84446420992091764</v>
      </c>
      <c r="L18" s="1297">
        <v>4767071.2389480416</v>
      </c>
      <c r="M18" s="1278">
        <f t="shared" si="4"/>
        <v>1.3754651187576712</v>
      </c>
      <c r="N18" s="1297">
        <v>4835825.0795749221</v>
      </c>
      <c r="O18" s="1278">
        <f t="shared" si="5"/>
        <v>1.4422658521472518</v>
      </c>
      <c r="P18" s="1297">
        <v>4905075.9874047488</v>
      </c>
      <c r="Q18" s="1278">
        <f t="shared" si="5"/>
        <v>1.432039138932502</v>
      </c>
      <c r="R18" s="1297">
        <v>4991459.082104994</v>
      </c>
      <c r="S18" s="1278">
        <f t="shared" si="6"/>
        <v>1.7610959528875729</v>
      </c>
      <c r="T18" s="1297">
        <v>5086562</v>
      </c>
      <c r="U18" s="1278">
        <f t="shared" si="7"/>
        <v>1.9053129822492563</v>
      </c>
      <c r="V18" s="1284">
        <v>5588399.4783012001</v>
      </c>
      <c r="W18" s="1278">
        <f t="shared" si="7"/>
        <v>9.8659463563247645</v>
      </c>
      <c r="X18" s="1284">
        <v>5793700.0381572358</v>
      </c>
      <c r="Y18" s="1278">
        <f t="shared" si="7"/>
        <v>3.6736915578992293</v>
      </c>
      <c r="Z18" s="1297">
        <v>6098997.1120893918</v>
      </c>
      <c r="AA18" s="1278">
        <f t="shared" si="7"/>
        <v>5.2694663500262919</v>
      </c>
      <c r="AB18" s="1297">
        <v>6278643.0017401055</v>
      </c>
      <c r="AC18" s="1278">
        <f t="shared" si="7"/>
        <v>2.9454988475830026</v>
      </c>
      <c r="AD18" s="1297">
        <v>6525050.6135979239</v>
      </c>
      <c r="AE18" s="1278">
        <f t="shared" si="7"/>
        <v>3.924536110581974</v>
      </c>
      <c r="AF18" s="1297">
        <v>6486429.2315518595</v>
      </c>
      <c r="AG18" s="1278">
        <f t="shared" si="7"/>
        <v>-0.59189398417200123</v>
      </c>
      <c r="AH18" s="1298">
        <f>+'23-İL-EMOD-Öncelikli Yaşam'!S88</f>
        <v>6496583.7952838428</v>
      </c>
      <c r="AI18" s="1299" t="s">
        <v>245</v>
      </c>
    </row>
    <row r="19" spans="1:35" ht="66" customHeight="1">
      <c r="A19" s="1287" t="s">
        <v>489</v>
      </c>
      <c r="B19" s="1278">
        <f>B6/B11</f>
        <v>1.6774969538914986</v>
      </c>
      <c r="C19" s="1278">
        <f t="shared" ref="C19:N19" si="8">C6/C11</f>
        <v>1.6530567509819907</v>
      </c>
      <c r="D19" s="1278">
        <f t="shared" si="8"/>
        <v>1.6855089556253462</v>
      </c>
      <c r="E19" s="1278" t="s">
        <v>729</v>
      </c>
      <c r="F19" s="1278">
        <f t="shared" si="8"/>
        <v>1.6396940180622397</v>
      </c>
      <c r="G19" s="1278" t="s">
        <v>729</v>
      </c>
      <c r="H19" s="1278">
        <f t="shared" si="8"/>
        <v>1.5573552000794184</v>
      </c>
      <c r="I19" s="1278"/>
      <c r="J19" s="1278">
        <f t="shared" si="8"/>
        <v>1.4894583001748285</v>
      </c>
      <c r="K19" s="1278"/>
      <c r="L19" s="1278">
        <f t="shared" si="8"/>
        <v>1.4460473119244062</v>
      </c>
      <c r="M19" s="1278"/>
      <c r="N19" s="1278">
        <f t="shared" si="8"/>
        <v>1.4141257573924244</v>
      </c>
      <c r="O19" s="1278"/>
      <c r="P19" s="1278">
        <f>P6/P11</f>
        <v>1.373748727055381</v>
      </c>
      <c r="Q19" s="1278"/>
      <c r="R19" s="1278">
        <f>R6/R11</f>
        <v>1.365004546121668</v>
      </c>
      <c r="S19" s="1278"/>
      <c r="T19" s="1278">
        <f>T6/T11</f>
        <v>1.3564413568508129</v>
      </c>
      <c r="U19" s="1278"/>
      <c r="V19" s="1278">
        <f>V6/V11</f>
        <v>1.4888892904546587</v>
      </c>
      <c r="W19" s="1278"/>
      <c r="X19" s="1278">
        <v>1.5259609152070093</v>
      </c>
      <c r="Y19" s="1278"/>
      <c r="Z19" s="1300">
        <v>1.585769078907092</v>
      </c>
      <c r="AA19" s="1278"/>
      <c r="AB19" s="1300">
        <f>AB6/AB11</f>
        <v>1.5976700457591155</v>
      </c>
      <c r="AC19" s="1300" t="s">
        <v>729</v>
      </c>
      <c r="AD19" s="1300">
        <f>AD6/AD11</f>
        <v>1.6254011960451944</v>
      </c>
      <c r="AE19" s="1300" t="s">
        <v>729</v>
      </c>
      <c r="AF19" s="1300">
        <v>1.5583077233346883</v>
      </c>
      <c r="AG19" s="1300" t="s">
        <v>729</v>
      </c>
      <c r="AH19" s="1301">
        <f>AH6/AH11</f>
        <v>1.5286186641090185</v>
      </c>
      <c r="AI19" s="1302" t="s">
        <v>246</v>
      </c>
    </row>
    <row r="20" spans="1:35" ht="66" customHeight="1" thickBot="1">
      <c r="A20" s="1303" t="s">
        <v>804</v>
      </c>
      <c r="B20" s="1304">
        <f>+B18+B12+B6</f>
        <v>7372907.3603062239</v>
      </c>
      <c r="C20" s="1304">
        <f t="shared" ref="C20:T20" si="9">+C18+C12+C6</f>
        <v>7645117.3106586849</v>
      </c>
      <c r="D20" s="1304">
        <f t="shared" si="9"/>
        <v>8062947.1427797219</v>
      </c>
      <c r="E20" s="1305">
        <f>(D20-C20)/C20*100</f>
        <v>5.465316163801778</v>
      </c>
      <c r="F20" s="1304">
        <f t="shared" si="9"/>
        <v>8244950.1196502298</v>
      </c>
      <c r="G20" s="1305">
        <f t="shared" si="1"/>
        <v>2.257276075950585</v>
      </c>
      <c r="H20" s="1304">
        <v>8349458</v>
      </c>
      <c r="I20" s="1305">
        <f>(H20-F20)/F20*100</f>
        <v>1.267538054605037</v>
      </c>
      <c r="J20" s="1304">
        <f t="shared" si="9"/>
        <v>8448726.7109203059</v>
      </c>
      <c r="K20" s="1305">
        <f>(J20-H20)/H20*100</f>
        <v>1.1889240106400432</v>
      </c>
      <c r="L20" s="1304">
        <f t="shared" si="9"/>
        <v>8583979.8121506348</v>
      </c>
      <c r="M20" s="1305">
        <f>(L20-J20)/J20*100</f>
        <v>1.6008696441264816</v>
      </c>
      <c r="N20" s="1304">
        <f t="shared" si="9"/>
        <v>8722348.4788033552</v>
      </c>
      <c r="O20" s="1305">
        <f>(N20-L20)/L20*100</f>
        <v>1.611940727736328</v>
      </c>
      <c r="P20" s="1304">
        <f t="shared" si="9"/>
        <v>8867511.8323288709</v>
      </c>
      <c r="Q20" s="1305">
        <f>(P20-N20)/N20*100</f>
        <v>1.664269134376881</v>
      </c>
      <c r="R20" s="1304">
        <f t="shared" si="9"/>
        <v>9028211.082104994</v>
      </c>
      <c r="S20" s="1305">
        <f>(R20-P20)/P20*100</f>
        <v>1.8122248136196588</v>
      </c>
      <c r="T20" s="1304">
        <f t="shared" si="9"/>
        <v>9191803</v>
      </c>
      <c r="U20" s="1305">
        <f>(T20-R20)/R20*100</f>
        <v>1.8120081199614946</v>
      </c>
      <c r="V20" s="1304">
        <v>9998872.4783011992</v>
      </c>
      <c r="W20" s="1305">
        <f>(V20-T20)/T20*100</f>
        <v>8.7803174012889436</v>
      </c>
      <c r="X20" s="1304">
        <v>10342989.038157236</v>
      </c>
      <c r="Y20" s="1305">
        <f>(X20-V20)/V20*100</f>
        <v>3.4415536412011707</v>
      </c>
      <c r="Z20" s="1304">
        <v>10846318.112089392</v>
      </c>
      <c r="AA20" s="1305">
        <f>(Z20-X20)/X20*100</f>
        <v>4.8663792649811395</v>
      </c>
      <c r="AB20" s="1304">
        <v>11147192.001740105</v>
      </c>
      <c r="AC20" s="1305">
        <f>(AB20-Z20)/Z20*100</f>
        <v>2.7739725733782161</v>
      </c>
      <c r="AD20" s="1304">
        <v>11560376.613597926</v>
      </c>
      <c r="AE20" s="1305">
        <f>(AD20-AB20)/AB20*100</f>
        <v>3.7066250567256862</v>
      </c>
      <c r="AF20" s="1304">
        <v>11520218.23155186</v>
      </c>
      <c r="AG20" s="1305">
        <f>(AF20-AD20)/AD20*100</f>
        <v>-0.34737953086087014</v>
      </c>
      <c r="AH20" s="1306">
        <f>+'14.4-c İL'!W88</f>
        <v>11548442.795283843</v>
      </c>
      <c r="AI20" s="1295" t="s">
        <v>691</v>
      </c>
    </row>
    <row r="21" spans="1:35" ht="1.5" customHeight="1">
      <c r="A21" s="1270"/>
      <c r="B21" s="1267"/>
      <c r="C21" s="1267"/>
      <c r="D21" s="1267"/>
      <c r="E21" s="1267"/>
      <c r="F21" s="1267"/>
      <c r="G21" s="1267"/>
      <c r="H21" s="1267"/>
      <c r="I21" s="1267"/>
      <c r="J21" s="1267"/>
      <c r="K21" s="1267"/>
      <c r="L21" s="1267"/>
      <c r="M21" s="1267"/>
      <c r="N21" s="1267"/>
      <c r="O21" s="1267"/>
      <c r="P21" s="1267"/>
      <c r="Q21" s="1267"/>
      <c r="R21" s="1267"/>
      <c r="S21" s="1267"/>
      <c r="T21" s="1267"/>
      <c r="U21" s="1267"/>
      <c r="V21" s="1267"/>
      <c r="W21" s="1267"/>
      <c r="X21" s="1267"/>
      <c r="Y21" s="1267"/>
      <c r="Z21" s="1267"/>
      <c r="AA21" s="1267"/>
      <c r="AB21" s="1267"/>
      <c r="AC21" s="1267"/>
      <c r="AD21" s="1267"/>
      <c r="AE21" s="1267"/>
      <c r="AF21" s="1267"/>
      <c r="AG21" s="1267"/>
      <c r="AH21" s="1267"/>
      <c r="AI21" s="1307" t="s">
        <v>729</v>
      </c>
    </row>
    <row r="22" spans="1:35" ht="0.75" hidden="1" customHeight="1" thickBot="1">
      <c r="A22" s="1308"/>
      <c r="B22" s="1309"/>
      <c r="C22" s="1791" t="s">
        <v>1193</v>
      </c>
      <c r="D22" s="1791"/>
      <c r="E22" s="1791"/>
      <c r="F22" s="1791"/>
      <c r="G22" s="1791"/>
      <c r="H22" s="1791"/>
      <c r="I22" s="1791"/>
      <c r="J22" s="1791"/>
      <c r="K22" s="1791"/>
      <c r="L22" s="1791"/>
      <c r="M22" s="1791"/>
      <c r="N22" s="1791"/>
      <c r="O22" s="1791"/>
      <c r="P22" s="1791"/>
      <c r="Q22" s="1791"/>
      <c r="R22" s="1791"/>
      <c r="S22" s="1791"/>
      <c r="T22" s="1791"/>
      <c r="U22" s="1310"/>
      <c r="V22" s="1310"/>
      <c r="W22" s="1310"/>
      <c r="X22" s="1310"/>
      <c r="Y22" s="1310"/>
      <c r="Z22" s="1310"/>
      <c r="AA22" s="1310"/>
      <c r="AB22" s="1310"/>
      <c r="AC22" s="1310"/>
      <c r="AD22" s="1310"/>
      <c r="AE22" s="1310"/>
      <c r="AF22" s="1310"/>
      <c r="AG22" s="1310"/>
      <c r="AH22" s="1310"/>
      <c r="AI22" s="1311"/>
    </row>
    <row r="23" spans="1:35" ht="54.75" hidden="1">
      <c r="A23" s="1312"/>
      <c r="B23" s="1313"/>
      <c r="C23" s="1792" t="s">
        <v>718</v>
      </c>
      <c r="D23" s="1792"/>
      <c r="E23" s="1792"/>
      <c r="F23" s="1792"/>
      <c r="G23" s="1792"/>
      <c r="H23" s="1792"/>
      <c r="I23" s="1792"/>
      <c r="J23" s="1792"/>
      <c r="K23" s="1792"/>
      <c r="L23" s="1792"/>
      <c r="M23" s="1792"/>
      <c r="N23" s="1792"/>
      <c r="O23" s="1792"/>
      <c r="P23" s="1792"/>
      <c r="Q23" s="1792"/>
      <c r="R23" s="1792"/>
      <c r="S23" s="1792"/>
      <c r="T23" s="1792"/>
      <c r="U23" s="1314"/>
      <c r="V23" s="1314"/>
      <c r="W23" s="1314"/>
      <c r="X23" s="1314"/>
      <c r="Y23" s="1314"/>
      <c r="Z23" s="1314"/>
      <c r="AA23" s="1314"/>
      <c r="AB23" s="1314"/>
      <c r="AC23" s="1314"/>
      <c r="AD23" s="1314"/>
      <c r="AE23" s="1314"/>
      <c r="AF23" s="1314"/>
      <c r="AG23" s="1314"/>
      <c r="AH23" s="1314"/>
      <c r="AI23" s="1315" t="s">
        <v>490</v>
      </c>
    </row>
    <row r="24" spans="1:35" ht="0.75" hidden="1" customHeight="1">
      <c r="A24" s="1316" t="s">
        <v>11</v>
      </c>
      <c r="B24" s="1317">
        <f>SUM(B25:B27)</f>
        <v>967503</v>
      </c>
      <c r="C24" s="1317">
        <f t="shared" ref="C24:N24" si="10">SUM(C25:C27)</f>
        <v>967503</v>
      </c>
      <c r="D24" s="1317"/>
      <c r="E24" s="1317"/>
      <c r="F24" s="1317">
        <f t="shared" si="10"/>
        <v>1008846</v>
      </c>
      <c r="G24" s="1318">
        <f>(F24-C24)/C24*100</f>
        <v>4.273165044449474</v>
      </c>
      <c r="H24" s="1317">
        <f t="shared" si="10"/>
        <v>1047341</v>
      </c>
      <c r="I24" s="1318">
        <f t="shared" ref="I24:Q27" si="11">(H24-F24)/F24*100</f>
        <v>3.8157459116654078</v>
      </c>
      <c r="J24" s="1317">
        <f t="shared" si="10"/>
        <v>1098177</v>
      </c>
      <c r="K24" s="1318">
        <f t="shared" si="11"/>
        <v>4.8538155194917412</v>
      </c>
      <c r="L24" s="1317">
        <f t="shared" si="10"/>
        <v>1266268</v>
      </c>
      <c r="M24" s="1318">
        <f t="shared" si="11"/>
        <v>15.306366824291532</v>
      </c>
      <c r="N24" s="1317">
        <f t="shared" si="10"/>
        <v>1243878</v>
      </c>
      <c r="O24" s="1318">
        <f t="shared" si="11"/>
        <v>-1.7681880928839706</v>
      </c>
      <c r="P24" s="1317">
        <v>1244174</v>
      </c>
      <c r="Q24" s="1318">
        <f t="shared" si="11"/>
        <v>2.3796545963510891E-2</v>
      </c>
      <c r="R24" s="1318"/>
      <c r="S24" s="1318"/>
      <c r="T24" s="1317">
        <f>SUM(T25:T28)</f>
        <v>1313721</v>
      </c>
      <c r="U24" s="1318"/>
      <c r="V24" s="1318"/>
      <c r="W24" s="1318"/>
      <c r="X24" s="1318"/>
      <c r="Y24" s="1318"/>
      <c r="Z24" s="1318"/>
      <c r="AA24" s="1318"/>
      <c r="AB24" s="1317"/>
      <c r="AC24" s="1318"/>
      <c r="AD24" s="1317"/>
      <c r="AE24" s="1318"/>
      <c r="AF24" s="1317"/>
      <c r="AG24" s="1318"/>
      <c r="AH24" s="1317"/>
      <c r="AI24" s="1270" t="s">
        <v>879</v>
      </c>
    </row>
    <row r="25" spans="1:35" hidden="1">
      <c r="A25" s="1276" t="s">
        <v>759</v>
      </c>
      <c r="B25" s="1277">
        <v>716778</v>
      </c>
      <c r="C25" s="1277">
        <v>716778</v>
      </c>
      <c r="D25" s="1277"/>
      <c r="E25" s="1277"/>
      <c r="F25" s="1277">
        <v>746468</v>
      </c>
      <c r="G25" s="1278">
        <f>(F25-C25)/C25*100</f>
        <v>4.142147219920254</v>
      </c>
      <c r="H25" s="1277">
        <v>770204</v>
      </c>
      <c r="I25" s="1278">
        <f t="shared" si="11"/>
        <v>3.1797746186038784</v>
      </c>
      <c r="J25" s="1277">
        <v>795506</v>
      </c>
      <c r="K25" s="1278">
        <f t="shared" si="11"/>
        <v>3.2851036868154408</v>
      </c>
      <c r="L25" s="1277">
        <v>938677</v>
      </c>
      <c r="M25" s="1278">
        <f t="shared" si="11"/>
        <v>17.997475820421215</v>
      </c>
      <c r="N25" s="1277">
        <v>927077</v>
      </c>
      <c r="O25" s="1278">
        <f t="shared" si="11"/>
        <v>-1.2357818504128684</v>
      </c>
      <c r="P25" s="1277">
        <v>903283</v>
      </c>
      <c r="Q25" s="1278">
        <f t="shared" si="11"/>
        <v>-2.5665613535876739</v>
      </c>
      <c r="R25" s="1278"/>
      <c r="S25" s="1278"/>
      <c r="T25" s="1277">
        <v>838106</v>
      </c>
      <c r="U25" s="1278"/>
      <c r="V25" s="1278"/>
      <c r="W25" s="1278"/>
      <c r="X25" s="1278"/>
      <c r="Y25" s="1278"/>
      <c r="Z25" s="1278"/>
      <c r="AA25" s="1278"/>
      <c r="AB25" s="1277"/>
      <c r="AC25" s="1278"/>
      <c r="AD25" s="1277"/>
      <c r="AE25" s="1278"/>
      <c r="AF25" s="1277"/>
      <c r="AG25" s="1278"/>
      <c r="AH25" s="1277"/>
      <c r="AI25" s="1319" t="s">
        <v>649</v>
      </c>
    </row>
    <row r="26" spans="1:35" hidden="1">
      <c r="A26" s="1276" t="s">
        <v>506</v>
      </c>
      <c r="B26" s="1277">
        <v>65147</v>
      </c>
      <c r="C26" s="1277">
        <v>65147</v>
      </c>
      <c r="D26" s="1277"/>
      <c r="E26" s="1277"/>
      <c r="F26" s="1277">
        <v>68598</v>
      </c>
      <c r="G26" s="1278">
        <f>(F26-C26)/C26*100</f>
        <v>5.2972508327321286</v>
      </c>
      <c r="H26" s="1277">
        <v>72805</v>
      </c>
      <c r="I26" s="1278">
        <f t="shared" si="11"/>
        <v>6.132831860987201</v>
      </c>
      <c r="J26" s="1277">
        <v>80430</v>
      </c>
      <c r="K26" s="1278">
        <f t="shared" si="11"/>
        <v>10.473181786965181</v>
      </c>
      <c r="L26" s="1277">
        <v>84072</v>
      </c>
      <c r="M26" s="1278">
        <f t="shared" si="11"/>
        <v>4.5281611339052592</v>
      </c>
      <c r="N26" s="1277">
        <v>82891</v>
      </c>
      <c r="O26" s="1278">
        <f t="shared" si="11"/>
        <v>-1.4047483109715482</v>
      </c>
      <c r="P26" s="1277">
        <v>92904</v>
      </c>
      <c r="Q26" s="1278">
        <f t="shared" si="11"/>
        <v>12.079719149244188</v>
      </c>
      <c r="R26" s="1278"/>
      <c r="S26" s="1278"/>
      <c r="T26" s="1277">
        <v>150300</v>
      </c>
      <c r="U26" s="1278"/>
      <c r="V26" s="1278"/>
      <c r="W26" s="1278"/>
      <c r="X26" s="1278"/>
      <c r="Y26" s="1278"/>
      <c r="Z26" s="1278"/>
      <c r="AA26" s="1278"/>
      <c r="AB26" s="1277"/>
      <c r="AC26" s="1278"/>
      <c r="AD26" s="1277"/>
      <c r="AE26" s="1278"/>
      <c r="AF26" s="1277"/>
      <c r="AG26" s="1278"/>
      <c r="AH26" s="1277"/>
      <c r="AI26" s="1290" t="s">
        <v>717</v>
      </c>
    </row>
    <row r="27" spans="1:35" hidden="1">
      <c r="A27" s="1276" t="s">
        <v>507</v>
      </c>
      <c r="B27" s="1277">
        <v>185578</v>
      </c>
      <c r="C27" s="1277">
        <v>185578</v>
      </c>
      <c r="D27" s="1277"/>
      <c r="E27" s="1277"/>
      <c r="F27" s="1277">
        <v>193780</v>
      </c>
      <c r="G27" s="1278">
        <f>(F27-C27)/C27*100</f>
        <v>4.4197049219196236</v>
      </c>
      <c r="H27" s="1277">
        <v>204332</v>
      </c>
      <c r="I27" s="1278">
        <f t="shared" si="11"/>
        <v>5.4453503973578288</v>
      </c>
      <c r="J27" s="1277">
        <v>222241</v>
      </c>
      <c r="K27" s="1278">
        <f t="shared" si="11"/>
        <v>8.7646575181567243</v>
      </c>
      <c r="L27" s="1277">
        <v>243519</v>
      </c>
      <c r="M27" s="1278">
        <f t="shared" si="11"/>
        <v>9.5742909724128307</v>
      </c>
      <c r="N27" s="1277">
        <v>233910</v>
      </c>
      <c r="O27" s="1278">
        <f t="shared" si="11"/>
        <v>-3.9458933389181134</v>
      </c>
      <c r="P27" s="1277">
        <v>239110</v>
      </c>
      <c r="Q27" s="1278">
        <f t="shared" si="11"/>
        <v>2.2230772519345048</v>
      </c>
      <c r="R27" s="1278"/>
      <c r="S27" s="1278"/>
      <c r="T27" s="1277">
        <v>278004</v>
      </c>
      <c r="U27" s="1278"/>
      <c r="V27" s="1278"/>
      <c r="W27" s="1278"/>
      <c r="X27" s="1278"/>
      <c r="Y27" s="1278"/>
      <c r="Z27" s="1278"/>
      <c r="AA27" s="1278"/>
      <c r="AB27" s="1277"/>
      <c r="AC27" s="1278"/>
      <c r="AD27" s="1277"/>
      <c r="AE27" s="1278"/>
      <c r="AF27" s="1277"/>
      <c r="AG27" s="1278"/>
      <c r="AH27" s="1277"/>
      <c r="AI27" s="1290" t="s">
        <v>780</v>
      </c>
    </row>
    <row r="28" spans="1:35" ht="2.25" hidden="1" customHeight="1">
      <c r="A28" s="1320" t="s">
        <v>83</v>
      </c>
      <c r="B28" s="1321"/>
      <c r="C28" s="1321"/>
      <c r="D28" s="1321"/>
      <c r="E28" s="1321"/>
      <c r="F28" s="1321"/>
      <c r="G28" s="1321"/>
      <c r="H28" s="1321"/>
      <c r="I28" s="1321"/>
      <c r="J28" s="1321"/>
      <c r="K28" s="1321"/>
      <c r="L28" s="1321"/>
      <c r="M28" s="1321"/>
      <c r="N28" s="1321"/>
      <c r="O28" s="1321"/>
      <c r="P28" s="1321">
        <v>8877</v>
      </c>
      <c r="Q28" s="1321"/>
      <c r="R28" s="1321"/>
      <c r="S28" s="1321"/>
      <c r="T28" s="1321">
        <v>47311</v>
      </c>
      <c r="U28" s="1321"/>
      <c r="V28" s="1321"/>
      <c r="W28" s="1321"/>
      <c r="X28" s="1321"/>
      <c r="Y28" s="1321"/>
      <c r="Z28" s="1321"/>
      <c r="AA28" s="1321"/>
      <c r="AB28" s="1321"/>
      <c r="AC28" s="1321"/>
      <c r="AD28" s="1321"/>
      <c r="AE28" s="1321"/>
      <c r="AF28" s="1321"/>
      <c r="AG28" s="1321"/>
      <c r="AH28" s="1321"/>
      <c r="AI28" s="1295"/>
    </row>
    <row r="29" spans="1:35" ht="54.75" hidden="1">
      <c r="A29" s="1322"/>
      <c r="B29" s="1323"/>
      <c r="C29" s="1793" t="s">
        <v>629</v>
      </c>
      <c r="D29" s="1793"/>
      <c r="E29" s="1793"/>
      <c r="F29" s="1793"/>
      <c r="G29" s="1793"/>
      <c r="H29" s="1793"/>
      <c r="I29" s="1793"/>
      <c r="J29" s="1793"/>
      <c r="K29" s="1793"/>
      <c r="L29" s="1793"/>
      <c r="M29" s="1793"/>
      <c r="N29" s="1793"/>
      <c r="O29" s="1793"/>
      <c r="P29" s="1793"/>
      <c r="Q29" s="1793"/>
      <c r="R29" s="1793"/>
      <c r="S29" s="1793"/>
      <c r="T29" s="1793"/>
      <c r="U29" s="1324"/>
      <c r="V29" s="1324"/>
      <c r="W29" s="1324"/>
      <c r="X29" s="1324"/>
      <c r="Y29" s="1324"/>
      <c r="Z29" s="1324"/>
      <c r="AA29" s="1324"/>
      <c r="AB29" s="1324"/>
      <c r="AC29" s="1324"/>
      <c r="AD29" s="1324"/>
      <c r="AE29" s="1324"/>
      <c r="AF29" s="1324"/>
      <c r="AG29" s="1324"/>
      <c r="AH29" s="1324"/>
      <c r="AI29" s="1315" t="s">
        <v>636</v>
      </c>
    </row>
    <row r="30" spans="1:35" hidden="1">
      <c r="A30" s="1316" t="s">
        <v>692</v>
      </c>
      <c r="B30" s="1317">
        <f>SUM(B31:B35)</f>
        <v>52861</v>
      </c>
      <c r="C30" s="1317">
        <f>SUM(C31:C35)</f>
        <v>52861</v>
      </c>
      <c r="D30" s="1317"/>
      <c r="E30" s="1317"/>
      <c r="F30" s="1317">
        <f>SUM(F31:F35)</f>
        <v>53110</v>
      </c>
      <c r="G30" s="1318">
        <f t="shared" ref="G30:G36" si="12">(F30-C30)/C30*100</f>
        <v>0.47104670740243276</v>
      </c>
      <c r="H30" s="1317">
        <f>SUM(H31:H35)</f>
        <v>52908</v>
      </c>
      <c r="I30" s="1318">
        <f t="shared" ref="I30:Q36" si="13">(H30-F30)/F30*100</f>
        <v>-0.3803426849934099</v>
      </c>
      <c r="J30" s="1317">
        <f>SUM(J31:J35)</f>
        <v>52648</v>
      </c>
      <c r="K30" s="1318">
        <f t="shared" si="13"/>
        <v>-0.49141906705980193</v>
      </c>
      <c r="L30" s="1317">
        <f>SUM(L31:L35)</f>
        <v>52112</v>
      </c>
      <c r="M30" s="1318">
        <f t="shared" si="13"/>
        <v>-1.0180823583042091</v>
      </c>
      <c r="N30" s="1317">
        <f>SUM(N31:N35)</f>
        <v>51545</v>
      </c>
      <c r="O30" s="1318">
        <f t="shared" si="13"/>
        <v>-1.0880411421553577</v>
      </c>
      <c r="P30" s="1317">
        <v>51053</v>
      </c>
      <c r="Q30" s="1318">
        <f t="shared" si="13"/>
        <v>-0.95450577165583461</v>
      </c>
      <c r="R30" s="1318"/>
      <c r="S30" s="1318"/>
      <c r="T30" s="1325">
        <f>SUM(T31:T35)</f>
        <v>50659</v>
      </c>
      <c r="U30" s="1318"/>
      <c r="V30" s="1318"/>
      <c r="W30" s="1318"/>
      <c r="X30" s="1318"/>
      <c r="Y30" s="1318"/>
      <c r="Z30" s="1318"/>
      <c r="AA30" s="1318"/>
      <c r="AB30" s="1325"/>
      <c r="AC30" s="1318"/>
      <c r="AD30" s="1325"/>
      <c r="AE30" s="1318"/>
      <c r="AF30" s="1325"/>
      <c r="AG30" s="1318"/>
      <c r="AH30" s="1325"/>
      <c r="AI30" s="1270" t="s">
        <v>879</v>
      </c>
    </row>
    <row r="31" spans="1:35" hidden="1">
      <c r="A31" s="1276" t="s">
        <v>508</v>
      </c>
      <c r="B31" s="1277">
        <v>49</v>
      </c>
      <c r="C31" s="1277">
        <v>49</v>
      </c>
      <c r="D31" s="1277"/>
      <c r="E31" s="1277"/>
      <c r="F31" s="1277">
        <v>30</v>
      </c>
      <c r="G31" s="1278">
        <f t="shared" si="12"/>
        <v>-38.775510204081634</v>
      </c>
      <c r="H31" s="1277">
        <v>20</v>
      </c>
      <c r="I31" s="1278">
        <f t="shared" si="13"/>
        <v>-33.333333333333329</v>
      </c>
      <c r="J31" s="1277">
        <v>5</v>
      </c>
      <c r="K31" s="1278">
        <f t="shared" si="13"/>
        <v>-75</v>
      </c>
      <c r="L31" s="1277">
        <v>5</v>
      </c>
      <c r="M31" s="1278">
        <f t="shared" si="13"/>
        <v>0</v>
      </c>
      <c r="N31" s="1277">
        <v>3</v>
      </c>
      <c r="O31" s="1278">
        <f t="shared" si="13"/>
        <v>-40</v>
      </c>
      <c r="P31" s="1277">
        <v>2</v>
      </c>
      <c r="Q31" s="1278">
        <f t="shared" si="13"/>
        <v>-33.333333333333329</v>
      </c>
      <c r="R31" s="1278"/>
      <c r="S31" s="1278"/>
      <c r="T31" s="1280">
        <v>0</v>
      </c>
      <c r="U31" s="1278"/>
      <c r="V31" s="1278"/>
      <c r="W31" s="1278"/>
      <c r="X31" s="1278"/>
      <c r="Y31" s="1278"/>
      <c r="Z31" s="1278"/>
      <c r="AA31" s="1278"/>
      <c r="AB31" s="1280"/>
      <c r="AC31" s="1278"/>
      <c r="AD31" s="1280"/>
      <c r="AE31" s="1278"/>
      <c r="AF31" s="1280"/>
      <c r="AG31" s="1278"/>
      <c r="AH31" s="1280"/>
      <c r="AI31" s="1290" t="s">
        <v>861</v>
      </c>
    </row>
    <row r="32" spans="1:35" hidden="1">
      <c r="A32" s="1276" t="s">
        <v>509</v>
      </c>
      <c r="B32" s="1277">
        <v>10557</v>
      </c>
      <c r="C32" s="1277">
        <v>10557</v>
      </c>
      <c r="D32" s="1277"/>
      <c r="E32" s="1277"/>
      <c r="F32" s="1277">
        <v>10052</v>
      </c>
      <c r="G32" s="1278">
        <f t="shared" si="12"/>
        <v>-4.7835559344510754</v>
      </c>
      <c r="H32" s="1277">
        <v>9494</v>
      </c>
      <c r="I32" s="1278">
        <f t="shared" si="13"/>
        <v>-5.5511341026661363</v>
      </c>
      <c r="J32" s="1277">
        <v>8875</v>
      </c>
      <c r="K32" s="1278">
        <f t="shared" si="13"/>
        <v>-6.5199073098799243</v>
      </c>
      <c r="L32" s="1277">
        <v>8340</v>
      </c>
      <c r="M32" s="1278">
        <f t="shared" si="13"/>
        <v>-6.028169014084507</v>
      </c>
      <c r="N32" s="1277">
        <v>7753</v>
      </c>
      <c r="O32" s="1278">
        <f t="shared" si="13"/>
        <v>-7.0383693045563547</v>
      </c>
      <c r="P32" s="1277">
        <v>7216</v>
      </c>
      <c r="Q32" s="1278">
        <f t="shared" si="13"/>
        <v>-6.9263510899006846</v>
      </c>
      <c r="R32" s="1278"/>
      <c r="S32" s="1278"/>
      <c r="T32" s="1280">
        <v>6662</v>
      </c>
      <c r="U32" s="1278"/>
      <c r="V32" s="1278"/>
      <c r="W32" s="1278"/>
      <c r="X32" s="1278"/>
      <c r="Y32" s="1278"/>
      <c r="Z32" s="1278"/>
      <c r="AA32" s="1278"/>
      <c r="AB32" s="1280"/>
      <c r="AC32" s="1278"/>
      <c r="AD32" s="1280"/>
      <c r="AE32" s="1278"/>
      <c r="AF32" s="1280"/>
      <c r="AG32" s="1278"/>
      <c r="AH32" s="1280"/>
      <c r="AI32" s="1290" t="s">
        <v>696</v>
      </c>
    </row>
    <row r="33" spans="1:35" hidden="1">
      <c r="A33" s="1276" t="s">
        <v>182</v>
      </c>
      <c r="B33" s="1277">
        <v>74</v>
      </c>
      <c r="C33" s="1277">
        <v>74</v>
      </c>
      <c r="D33" s="1277"/>
      <c r="E33" s="1277"/>
      <c r="F33" s="1277">
        <v>76</v>
      </c>
      <c r="G33" s="1278">
        <f t="shared" si="12"/>
        <v>2.7027027027027026</v>
      </c>
      <c r="H33" s="1277">
        <v>78</v>
      </c>
      <c r="I33" s="1278">
        <f t="shared" si="13"/>
        <v>2.6315789473684208</v>
      </c>
      <c r="J33" s="1277">
        <v>81</v>
      </c>
      <c r="K33" s="1278">
        <f t="shared" si="13"/>
        <v>3.8461538461538463</v>
      </c>
      <c r="L33" s="1277">
        <v>82</v>
      </c>
      <c r="M33" s="1278">
        <f t="shared" si="13"/>
        <v>1.2345679012345678</v>
      </c>
      <c r="N33" s="1277">
        <v>85</v>
      </c>
      <c r="O33" s="1278">
        <f t="shared" si="13"/>
        <v>3.6585365853658534</v>
      </c>
      <c r="P33" s="1277">
        <v>88</v>
      </c>
      <c r="Q33" s="1278">
        <f t="shared" si="13"/>
        <v>3.5294117647058822</v>
      </c>
      <c r="R33" s="1278"/>
      <c r="S33" s="1278"/>
      <c r="T33" s="1280">
        <v>106</v>
      </c>
      <c r="U33" s="1278"/>
      <c r="V33" s="1278"/>
      <c r="W33" s="1278"/>
      <c r="X33" s="1278"/>
      <c r="Y33" s="1278"/>
      <c r="Z33" s="1278"/>
      <c r="AA33" s="1278"/>
      <c r="AB33" s="1280"/>
      <c r="AC33" s="1278"/>
      <c r="AD33" s="1280"/>
      <c r="AE33" s="1278"/>
      <c r="AF33" s="1280"/>
      <c r="AG33" s="1278"/>
      <c r="AH33" s="1280"/>
      <c r="AI33" s="1290" t="s">
        <v>456</v>
      </c>
    </row>
    <row r="34" spans="1:35" hidden="1">
      <c r="A34" s="1276" t="s">
        <v>183</v>
      </c>
      <c r="B34" s="1277">
        <v>33115</v>
      </c>
      <c r="C34" s="1277">
        <v>33115</v>
      </c>
      <c r="D34" s="1277"/>
      <c r="E34" s="1277"/>
      <c r="F34" s="1277">
        <v>32944</v>
      </c>
      <c r="G34" s="1278">
        <f t="shared" si="12"/>
        <v>-0.5163823040918013</v>
      </c>
      <c r="H34" s="1277">
        <v>32721</v>
      </c>
      <c r="I34" s="1278">
        <f t="shared" si="13"/>
        <v>-0.67690626517727059</v>
      </c>
      <c r="J34" s="1277">
        <v>32484</v>
      </c>
      <c r="K34" s="1278">
        <f t="shared" si="13"/>
        <v>-0.72430549188594484</v>
      </c>
      <c r="L34" s="1277">
        <v>32268</v>
      </c>
      <c r="M34" s="1278">
        <f t="shared" si="13"/>
        <v>-0.66494274104174367</v>
      </c>
      <c r="N34" s="1277">
        <v>31980</v>
      </c>
      <c r="O34" s="1278">
        <f t="shared" si="13"/>
        <v>-0.89252510226850124</v>
      </c>
      <c r="P34" s="1277">
        <v>31706</v>
      </c>
      <c r="Q34" s="1278">
        <f t="shared" si="13"/>
        <v>-0.85678549093183232</v>
      </c>
      <c r="R34" s="1278"/>
      <c r="S34" s="1278"/>
      <c r="T34" s="1280">
        <v>31478</v>
      </c>
      <c r="U34" s="1278"/>
      <c r="V34" s="1278"/>
      <c r="W34" s="1278"/>
      <c r="X34" s="1278"/>
      <c r="Y34" s="1278"/>
      <c r="Z34" s="1278"/>
      <c r="AA34" s="1278"/>
      <c r="AB34" s="1280"/>
      <c r="AC34" s="1278"/>
      <c r="AD34" s="1280"/>
      <c r="AE34" s="1278"/>
      <c r="AF34" s="1280"/>
      <c r="AG34" s="1278"/>
      <c r="AH34" s="1280"/>
      <c r="AI34" s="1290" t="s">
        <v>697</v>
      </c>
    </row>
    <row r="35" spans="1:35" hidden="1">
      <c r="A35" s="1276" t="s">
        <v>184</v>
      </c>
      <c r="B35" s="1277">
        <f>1448+5677+40+153+1748</f>
        <v>9066</v>
      </c>
      <c r="C35" s="1277">
        <f>1448+5677+40+153+1748</f>
        <v>9066</v>
      </c>
      <c r="D35" s="1277"/>
      <c r="E35" s="1277"/>
      <c r="F35" s="1277">
        <f>1520+6285+36+150+2017</f>
        <v>10008</v>
      </c>
      <c r="G35" s="1278">
        <f t="shared" si="12"/>
        <v>10.390469887491726</v>
      </c>
      <c r="H35" s="1277">
        <f>1517+6761+34+2283</f>
        <v>10595</v>
      </c>
      <c r="I35" s="1278">
        <f t="shared" si="13"/>
        <v>5.8653077537969622</v>
      </c>
      <c r="J35" s="1277">
        <f>1407+7098+36+138+2524</f>
        <v>11203</v>
      </c>
      <c r="K35" s="1278">
        <f t="shared" si="13"/>
        <v>5.738555922605002</v>
      </c>
      <c r="L35" s="1277">
        <f>1227+7268+37+135+2750</f>
        <v>11417</v>
      </c>
      <c r="M35" s="1278">
        <f t="shared" si="13"/>
        <v>1.9102026242970633</v>
      </c>
      <c r="N35" s="1277">
        <f>1084+7474+35+126+3005</f>
        <v>11724</v>
      </c>
      <c r="O35" s="1278">
        <f t="shared" si="13"/>
        <v>2.6889725847420514</v>
      </c>
      <c r="P35" s="1277">
        <v>12041</v>
      </c>
      <c r="Q35" s="1278">
        <f t="shared" si="13"/>
        <v>2.7038553394745821</v>
      </c>
      <c r="R35" s="1278"/>
      <c r="S35" s="1278"/>
      <c r="T35" s="1280">
        <v>12413</v>
      </c>
      <c r="U35" s="1278"/>
      <c r="V35" s="1278"/>
      <c r="W35" s="1278"/>
      <c r="X35" s="1278"/>
      <c r="Y35" s="1278"/>
      <c r="Z35" s="1278"/>
      <c r="AA35" s="1278"/>
      <c r="AB35" s="1280"/>
      <c r="AC35" s="1278"/>
      <c r="AD35" s="1280"/>
      <c r="AE35" s="1278"/>
      <c r="AF35" s="1280"/>
      <c r="AG35" s="1278"/>
      <c r="AH35" s="1280"/>
      <c r="AI35" s="1295" t="s">
        <v>566</v>
      </c>
    </row>
    <row r="36" spans="1:35" ht="28.5" hidden="1" thickBot="1">
      <c r="A36" s="1326" t="s">
        <v>803</v>
      </c>
      <c r="B36" s="1327">
        <v>46052</v>
      </c>
      <c r="C36" s="1327">
        <v>46052</v>
      </c>
      <c r="D36" s="1327"/>
      <c r="E36" s="1327"/>
      <c r="F36" s="1327">
        <v>44974</v>
      </c>
      <c r="G36" s="1328">
        <f t="shared" si="12"/>
        <v>-2.3408321028402677</v>
      </c>
      <c r="H36" s="1327">
        <v>44535</v>
      </c>
      <c r="I36" s="1328">
        <f t="shared" si="13"/>
        <v>-0.97611953573175614</v>
      </c>
      <c r="J36" s="1327">
        <v>44320</v>
      </c>
      <c r="K36" s="1328">
        <f t="shared" si="13"/>
        <v>-0.48276636353429886</v>
      </c>
      <c r="L36" s="1327">
        <v>41797</v>
      </c>
      <c r="M36" s="1328">
        <f t="shared" si="13"/>
        <v>-5.6926895306859207</v>
      </c>
      <c r="N36" s="1327">
        <v>40833</v>
      </c>
      <c r="O36" s="1328">
        <f t="shared" si="13"/>
        <v>-2.3063856257626147</v>
      </c>
      <c r="P36" s="1327">
        <v>40833</v>
      </c>
      <c r="Q36" s="1328">
        <f t="shared" si="13"/>
        <v>0</v>
      </c>
      <c r="R36" s="1328"/>
      <c r="S36" s="1328"/>
      <c r="T36" s="1329">
        <f>37833+905</f>
        <v>38738</v>
      </c>
      <c r="U36" s="1328"/>
      <c r="V36" s="1328"/>
      <c r="W36" s="1328"/>
      <c r="X36" s="1328"/>
      <c r="Y36" s="1328"/>
      <c r="Z36" s="1328"/>
      <c r="AA36" s="1328"/>
      <c r="AB36" s="1329"/>
      <c r="AC36" s="1328"/>
      <c r="AD36" s="1329"/>
      <c r="AE36" s="1328"/>
      <c r="AF36" s="1329"/>
      <c r="AG36" s="1328"/>
      <c r="AH36" s="1329"/>
      <c r="AI36" s="1290" t="s">
        <v>457</v>
      </c>
    </row>
    <row r="37" spans="1:35" hidden="1">
      <c r="A37" s="1290"/>
      <c r="B37" s="1290"/>
      <c r="C37" s="1792" t="s">
        <v>858</v>
      </c>
      <c r="D37" s="1792"/>
      <c r="E37" s="1792"/>
      <c r="F37" s="1792"/>
      <c r="G37" s="1792"/>
      <c r="H37" s="1792"/>
      <c r="I37" s="1792"/>
      <c r="J37" s="1792"/>
      <c r="K37" s="1792"/>
      <c r="L37" s="1792"/>
      <c r="M37" s="1792"/>
      <c r="N37" s="1792"/>
      <c r="O37" s="1792"/>
      <c r="P37" s="1792"/>
      <c r="Q37" s="1792"/>
      <c r="R37" s="1792"/>
      <c r="S37" s="1792"/>
      <c r="T37" s="1792"/>
      <c r="U37" s="1330"/>
      <c r="V37" s="1330"/>
      <c r="W37" s="1330"/>
      <c r="X37" s="1330"/>
      <c r="Y37" s="1330"/>
      <c r="Z37" s="1330"/>
      <c r="AA37" s="1330"/>
      <c r="AB37" s="1330"/>
      <c r="AC37" s="1330"/>
      <c r="AD37" s="1330"/>
      <c r="AE37" s="1330"/>
      <c r="AF37" s="1330"/>
      <c r="AG37" s="1330"/>
      <c r="AH37" s="1330"/>
    </row>
    <row r="38" spans="1:35" hidden="1">
      <c r="A38" s="1290" t="s">
        <v>688</v>
      </c>
      <c r="B38" s="1295"/>
      <c r="C38" s="1295"/>
      <c r="D38" s="1295"/>
      <c r="E38" s="1295"/>
      <c r="F38" s="1295"/>
      <c r="G38" s="1295"/>
      <c r="H38" s="1295"/>
      <c r="I38" s="1295"/>
      <c r="J38" s="1295"/>
      <c r="K38" s="1295"/>
      <c r="L38" s="1295">
        <v>7400000</v>
      </c>
      <c r="M38" s="1295"/>
      <c r="N38" s="1295">
        <v>12350000</v>
      </c>
      <c r="O38" s="1295"/>
      <c r="P38" s="1295">
        <v>12629691</v>
      </c>
      <c r="Q38" s="1295"/>
      <c r="R38" s="1295"/>
      <c r="S38" s="1295"/>
      <c r="T38" s="1295">
        <v>12629691</v>
      </c>
      <c r="U38" s="1295"/>
      <c r="V38" s="1295"/>
      <c r="W38" s="1295"/>
      <c r="X38" s="1295"/>
      <c r="Y38" s="1295"/>
      <c r="Z38" s="1295"/>
      <c r="AA38" s="1295"/>
      <c r="AB38" s="1295"/>
      <c r="AC38" s="1295"/>
      <c r="AD38" s="1295"/>
      <c r="AE38" s="1295"/>
      <c r="AF38" s="1295"/>
      <c r="AG38" s="1295"/>
      <c r="AH38" s="1295"/>
    </row>
    <row r="39" spans="1:35" hidden="1"/>
    <row r="40" spans="1:35" ht="28.5" hidden="1" thickBot="1">
      <c r="L40" s="1797" t="s">
        <v>369</v>
      </c>
      <c r="M40" s="1331"/>
      <c r="N40" s="1332" t="s">
        <v>370</v>
      </c>
      <c r="O40" s="1333"/>
      <c r="P40" s="1334">
        <v>1.8</v>
      </c>
      <c r="Q40" s="1333"/>
      <c r="R40" s="1333"/>
      <c r="S40" s="1333"/>
      <c r="T40" s="1334">
        <v>1.8</v>
      </c>
      <c r="U40" s="1333"/>
      <c r="V40" s="1335"/>
      <c r="W40" s="1333"/>
      <c r="X40" s="1335"/>
      <c r="Y40" s="1333"/>
      <c r="Z40" s="1335"/>
      <c r="AA40" s="1333"/>
      <c r="AB40" s="1336"/>
      <c r="AC40" s="1333"/>
      <c r="AD40" s="1336"/>
      <c r="AE40" s="1333"/>
      <c r="AF40" s="1336"/>
      <c r="AG40" s="1333"/>
      <c r="AH40" s="1336"/>
    </row>
    <row r="41" spans="1:35" ht="28.5" hidden="1" thickBot="1">
      <c r="L41" s="1798"/>
      <c r="M41" s="1337"/>
      <c r="N41" s="1338" t="s">
        <v>831</v>
      </c>
      <c r="O41" s="1339"/>
      <c r="P41" s="1340">
        <v>1.4</v>
      </c>
      <c r="Q41" s="1339"/>
      <c r="R41" s="1339"/>
      <c r="S41" s="1339"/>
      <c r="T41" s="1340">
        <v>1.4</v>
      </c>
      <c r="U41" s="1339"/>
      <c r="V41" s="1341"/>
      <c r="W41" s="1339"/>
      <c r="X41" s="1341"/>
      <c r="Y41" s="1339"/>
      <c r="Z41" s="1341"/>
      <c r="AA41" s="1339"/>
      <c r="AB41" s="1342"/>
      <c r="AC41" s="1339"/>
      <c r="AD41" s="1342"/>
      <c r="AE41" s="1339"/>
      <c r="AF41" s="1342"/>
      <c r="AG41" s="1339"/>
      <c r="AH41" s="1342"/>
    </row>
    <row r="42" spans="1:35" s="1345" customFormat="1" ht="39.75" hidden="1" customHeight="1">
      <c r="A42" s="1343"/>
      <c r="B42" s="1343"/>
      <c r="C42" s="1343"/>
      <c r="D42" s="1343"/>
      <c r="E42" s="1343"/>
      <c r="F42" s="1344"/>
      <c r="G42" s="1344"/>
      <c r="H42" s="1344"/>
      <c r="I42" s="1344"/>
      <c r="J42" s="1344"/>
      <c r="K42" s="1344"/>
      <c r="L42" s="1344"/>
      <c r="M42" s="1344"/>
      <c r="N42" s="1270">
        <v>2.8</v>
      </c>
      <c r="O42" s="1270"/>
      <c r="P42" s="1270" t="s">
        <v>180</v>
      </c>
      <c r="Q42" s="1270"/>
      <c r="R42" s="1270"/>
      <c r="S42" s="1270"/>
      <c r="T42" s="1270" t="s">
        <v>180</v>
      </c>
      <c r="U42" s="1270"/>
      <c r="V42" s="1270"/>
      <c r="W42" s="1270"/>
      <c r="X42" s="1270"/>
      <c r="Y42" s="1270"/>
      <c r="Z42" s="1270"/>
      <c r="AA42" s="1270"/>
      <c r="AB42" s="1270"/>
      <c r="AC42" s="1270"/>
      <c r="AD42" s="1270"/>
      <c r="AE42" s="1270"/>
      <c r="AF42" s="1270"/>
      <c r="AG42" s="1270"/>
      <c r="AH42" s="1270"/>
      <c r="AI42" s="1270"/>
    </row>
    <row r="43" spans="1:35" s="1345" customFormat="1" ht="30" hidden="1" customHeight="1">
      <c r="A43" s="1346"/>
      <c r="B43" s="1346"/>
      <c r="C43" s="1346"/>
      <c r="D43" s="1346"/>
      <c r="E43" s="1346"/>
      <c r="F43" s="1347"/>
      <c r="G43" s="1347"/>
      <c r="H43" s="1347"/>
      <c r="I43" s="1347"/>
      <c r="J43" s="1347"/>
      <c r="K43" s="1347"/>
      <c r="L43" s="1347"/>
      <c r="M43" s="1347"/>
      <c r="N43" s="1270">
        <v>2.04</v>
      </c>
      <c r="O43" s="1270"/>
      <c r="P43" s="1270" t="s">
        <v>788</v>
      </c>
      <c r="Q43" s="1270"/>
      <c r="R43" s="1270"/>
      <c r="S43" s="1270"/>
      <c r="T43" s="1270" t="s">
        <v>788</v>
      </c>
      <c r="U43" s="1270"/>
      <c r="V43" s="1270"/>
      <c r="W43" s="1270"/>
      <c r="X43" s="1270"/>
      <c r="Y43" s="1270"/>
      <c r="Z43" s="1270"/>
      <c r="AA43" s="1270"/>
      <c r="AB43" s="1270"/>
      <c r="AC43" s="1270"/>
      <c r="AD43" s="1270"/>
      <c r="AE43" s="1270"/>
      <c r="AF43" s="1270"/>
      <c r="AG43" s="1270"/>
      <c r="AH43" s="1270"/>
      <c r="AI43" s="1270"/>
    </row>
    <row r="44" spans="1:35" s="1345" customFormat="1" ht="27.75" hidden="1" customHeight="1">
      <c r="A44" s="1346"/>
      <c r="B44" s="1346"/>
      <c r="C44" s="1346"/>
      <c r="D44" s="1346"/>
      <c r="E44" s="1346"/>
      <c r="F44" s="1347"/>
      <c r="G44" s="1347"/>
      <c r="H44" s="1347"/>
      <c r="I44" s="1347"/>
      <c r="J44" s="1347"/>
      <c r="K44" s="1347"/>
      <c r="L44" s="1347"/>
      <c r="M44" s="1347"/>
      <c r="N44" s="1348">
        <v>2.7</v>
      </c>
      <c r="O44" s="1348"/>
      <c r="P44" s="1345" t="s">
        <v>787</v>
      </c>
      <c r="Q44" s="1348"/>
      <c r="R44" s="1348"/>
      <c r="S44" s="1348"/>
      <c r="T44" s="1345" t="s">
        <v>787</v>
      </c>
      <c r="U44" s="1348"/>
      <c r="V44" s="1348"/>
      <c r="W44" s="1348"/>
      <c r="X44" s="1348"/>
      <c r="Y44" s="1348"/>
      <c r="Z44" s="1348"/>
      <c r="AA44" s="1348"/>
      <c r="AC44" s="1348"/>
      <c r="AE44" s="1348"/>
      <c r="AG44" s="1348"/>
      <c r="AI44" s="1349"/>
    </row>
    <row r="45" spans="1:35" s="1345" customFormat="1" ht="37.5" hidden="1" customHeight="1">
      <c r="A45" s="1346"/>
      <c r="B45" s="1346"/>
      <c r="C45" s="1346"/>
      <c r="D45" s="1346"/>
      <c r="E45" s="1346"/>
      <c r="F45" s="1347"/>
      <c r="G45" s="1347"/>
      <c r="H45" s="1347"/>
      <c r="I45" s="1347"/>
      <c r="J45" s="1347"/>
      <c r="K45" s="1347"/>
      <c r="L45" s="1347"/>
      <c r="M45" s="1347"/>
      <c r="N45" s="1347"/>
      <c r="O45" s="1347"/>
      <c r="P45" s="1350"/>
      <c r="Q45" s="1347"/>
      <c r="R45" s="1347"/>
      <c r="S45" s="1347"/>
      <c r="T45" s="1350"/>
      <c r="U45" s="1347"/>
      <c r="V45" s="1347"/>
      <c r="W45" s="1347"/>
      <c r="X45" s="1347"/>
      <c r="Y45" s="1347"/>
      <c r="Z45" s="1347"/>
      <c r="AA45" s="1347"/>
      <c r="AB45" s="1350"/>
      <c r="AC45" s="1347"/>
      <c r="AD45" s="1350"/>
      <c r="AE45" s="1347"/>
      <c r="AF45" s="1350"/>
      <c r="AG45" s="1347"/>
      <c r="AH45" s="1350"/>
      <c r="AI45" s="1349"/>
    </row>
    <row r="46" spans="1:35" s="1699" customFormat="1" ht="24" customHeight="1">
      <c r="A46" s="1694" t="s">
        <v>776</v>
      </c>
      <c r="B46" s="1695"/>
      <c r="C46" s="1695"/>
      <c r="D46" s="1695"/>
      <c r="E46" s="1695"/>
      <c r="F46" s="1696"/>
      <c r="G46" s="1696"/>
      <c r="H46" s="1696"/>
      <c r="I46" s="1696"/>
      <c r="J46" s="1696"/>
      <c r="K46" s="1696"/>
      <c r="L46" s="1696"/>
      <c r="M46" s="1696"/>
      <c r="N46" s="1696"/>
      <c r="O46" s="1696"/>
      <c r="P46" s="1697"/>
      <c r="Q46" s="1696"/>
      <c r="R46" s="1696"/>
      <c r="S46" s="1696"/>
      <c r="T46" s="1697"/>
      <c r="U46" s="1696"/>
      <c r="V46" s="1696"/>
      <c r="W46" s="1696"/>
      <c r="X46" s="1696"/>
      <c r="Y46" s="1696"/>
      <c r="Z46" s="1696"/>
      <c r="AA46" s="1696"/>
      <c r="AB46" s="1697"/>
      <c r="AC46" s="1696"/>
      <c r="AD46" s="1697"/>
      <c r="AE46" s="1696"/>
      <c r="AF46" s="1697"/>
      <c r="AG46" s="1696"/>
      <c r="AH46" s="1697"/>
      <c r="AI46" s="1698"/>
    </row>
    <row r="47" spans="1:35" s="1701" customFormat="1" ht="49.5" customHeight="1">
      <c r="A47" s="1790" t="s">
        <v>778</v>
      </c>
      <c r="B47" s="1790"/>
      <c r="C47" s="1790"/>
      <c r="D47" s="1790"/>
      <c r="E47" s="1790"/>
      <c r="F47" s="1790"/>
      <c r="G47" s="1790"/>
      <c r="H47" s="1790"/>
      <c r="I47" s="1790"/>
      <c r="J47" s="1790"/>
      <c r="K47" s="1790"/>
      <c r="L47" s="1790"/>
      <c r="M47" s="1790"/>
      <c r="N47" s="1790"/>
      <c r="O47" s="1790"/>
      <c r="P47" s="1790"/>
      <c r="Q47" s="1790"/>
      <c r="R47" s="1790"/>
      <c r="S47" s="1790"/>
      <c r="T47" s="1790"/>
      <c r="U47" s="1790"/>
      <c r="V47" s="1790"/>
      <c r="W47" s="1790"/>
      <c r="X47" s="1790"/>
      <c r="Y47" s="1790"/>
      <c r="Z47" s="1790"/>
      <c r="AA47" s="1790"/>
      <c r="AB47" s="1790"/>
      <c r="AC47" s="1700"/>
      <c r="AD47" s="1700"/>
      <c r="AE47" s="1700"/>
      <c r="AF47" s="1700"/>
      <c r="AG47" s="1700"/>
      <c r="AH47" s="1700"/>
      <c r="AI47" s="1698" t="s">
        <v>729</v>
      </c>
    </row>
    <row r="48" spans="1:35" s="1701" customFormat="1" ht="24.75" customHeight="1">
      <c r="A48" s="1787" t="s">
        <v>514</v>
      </c>
      <c r="B48" s="1787"/>
      <c r="C48" s="1787"/>
      <c r="D48" s="1787"/>
      <c r="E48" s="1787"/>
      <c r="F48" s="1787"/>
      <c r="G48" s="1787"/>
      <c r="H48" s="1787"/>
      <c r="I48" s="1787"/>
      <c r="J48" s="1787"/>
      <c r="K48" s="1787"/>
      <c r="L48" s="1787"/>
      <c r="M48" s="1787"/>
      <c r="N48" s="1787"/>
      <c r="O48" s="1787"/>
      <c r="P48" s="1787"/>
      <c r="Q48" s="1787"/>
      <c r="R48" s="1787"/>
      <c r="S48" s="1787"/>
      <c r="T48" s="1787"/>
      <c r="U48" s="1787"/>
      <c r="V48" s="1787"/>
      <c r="W48" s="1787"/>
      <c r="X48" s="1787"/>
      <c r="Y48" s="1787"/>
      <c r="Z48" s="1787"/>
      <c r="AA48" s="1787"/>
      <c r="AB48" s="1787"/>
      <c r="AC48" s="1702"/>
      <c r="AD48" s="1702"/>
      <c r="AE48" s="1702"/>
      <c r="AF48" s="1702"/>
      <c r="AG48" s="1702"/>
      <c r="AH48" s="1702"/>
      <c r="AI48" s="1703"/>
    </row>
    <row r="49" spans="1:35" s="1701" customFormat="1" ht="23.25">
      <c r="A49" s="1787" t="s">
        <v>1141</v>
      </c>
      <c r="B49" s="1787"/>
      <c r="C49" s="1787"/>
      <c r="D49" s="1787"/>
      <c r="E49" s="1787"/>
      <c r="F49" s="1787"/>
      <c r="G49" s="1787"/>
      <c r="H49" s="1787"/>
      <c r="I49" s="1787"/>
      <c r="J49" s="1787"/>
      <c r="K49" s="1787"/>
      <c r="L49" s="1787"/>
      <c r="M49" s="1787"/>
      <c r="N49" s="1787"/>
      <c r="O49" s="1787"/>
      <c r="P49" s="1787"/>
      <c r="AB49" s="1701" t="s">
        <v>729</v>
      </c>
      <c r="AD49" s="1701" t="s">
        <v>729</v>
      </c>
      <c r="AF49" s="1701" t="s">
        <v>729</v>
      </c>
      <c r="AH49" s="1701" t="s">
        <v>729</v>
      </c>
      <c r="AI49" s="1703"/>
    </row>
    <row r="50" spans="1:35" s="1701" customFormat="1" ht="27.75" customHeight="1">
      <c r="A50" s="1787" t="s">
        <v>1255</v>
      </c>
      <c r="B50" s="1787"/>
      <c r="C50" s="1787"/>
      <c r="D50" s="1787"/>
      <c r="E50" s="1787"/>
      <c r="F50" s="1787"/>
      <c r="G50" s="1787"/>
      <c r="H50" s="1787"/>
      <c r="I50" s="1787"/>
      <c r="J50" s="1787"/>
      <c r="K50" s="1787"/>
      <c r="L50" s="1787"/>
      <c r="M50" s="1787"/>
      <c r="N50" s="1787"/>
      <c r="O50" s="1787"/>
      <c r="P50" s="1787"/>
      <c r="Q50" s="1787"/>
      <c r="R50" s="1787"/>
      <c r="S50" s="1787"/>
      <c r="T50" s="1787"/>
      <c r="U50" s="1787"/>
      <c r="V50" s="1787"/>
      <c r="W50" s="1787"/>
      <c r="X50" s="1787"/>
      <c r="Y50" s="1787"/>
      <c r="Z50" s="1787"/>
      <c r="AA50" s="1787"/>
      <c r="AB50" s="1787"/>
      <c r="AC50" s="1787"/>
      <c r="AD50" s="1787"/>
      <c r="AF50" s="1704" t="s">
        <v>729</v>
      </c>
      <c r="AH50" s="1704" t="s">
        <v>729</v>
      </c>
      <c r="AI50" s="1703"/>
    </row>
    <row r="51" spans="1:35">
      <c r="I51" s="1352"/>
      <c r="J51" s="1352"/>
      <c r="K51" s="1352"/>
      <c r="L51" s="1352"/>
      <c r="M51" s="1352"/>
      <c r="N51" s="1352"/>
      <c r="O51" s="1352"/>
      <c r="P51" s="1352"/>
    </row>
    <row r="59" spans="1:35">
      <c r="S59" s="1351" t="s">
        <v>729</v>
      </c>
    </row>
  </sheetData>
  <mergeCells count="13">
    <mergeCell ref="A48:AB48"/>
    <mergeCell ref="A50:P50"/>
    <mergeCell ref="Q50:AD50"/>
    <mergeCell ref="A1:AI1"/>
    <mergeCell ref="A2:AI2"/>
    <mergeCell ref="A47:AB47"/>
    <mergeCell ref="A49:P49"/>
    <mergeCell ref="C22:T22"/>
    <mergeCell ref="C23:T23"/>
    <mergeCell ref="C29:T29"/>
    <mergeCell ref="C37:T37"/>
    <mergeCell ref="A4:AH4"/>
    <mergeCell ref="L40:L41"/>
  </mergeCells>
  <phoneticPr fontId="7" type="noConversion"/>
  <pageMargins left="0" right="0" top="0.39370078740157483" bottom="0" header="0" footer="0"/>
  <pageSetup paperSize="9" scale="24"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ayfa14">
    <tabColor theme="3" tint="0.59999389629810485"/>
  </sheetPr>
  <dimension ref="A1:BZ517"/>
  <sheetViews>
    <sheetView showGridLines="0" topLeftCell="A84" zoomScale="80" zoomScaleNormal="80" zoomScaleSheetLayoutView="100" workbookViewId="0">
      <selection activeCell="D55" sqref="D55:D96"/>
    </sheetView>
  </sheetViews>
  <sheetFormatPr defaultRowHeight="11.25"/>
  <cols>
    <col min="1" max="1" width="3.85546875" style="21" customWidth="1"/>
    <col min="2" max="2" width="14.28515625" style="26" customWidth="1"/>
    <col min="3" max="3" width="16" style="26" customWidth="1"/>
    <col min="4" max="4" width="14" style="21" customWidth="1"/>
    <col min="5" max="5" width="17.28515625" style="21" customWidth="1"/>
    <col min="6" max="6" width="16.28515625" style="21" customWidth="1"/>
    <col min="7" max="7" width="12.28515625" style="21" bestFit="1" customWidth="1"/>
    <col min="8" max="8" width="14.42578125" style="21" customWidth="1"/>
    <col min="9" max="9" width="11.28515625" style="310" customWidth="1"/>
    <col min="10" max="10" width="0.140625" style="310" customWidth="1"/>
    <col min="11" max="11" width="13.5703125" style="310" hidden="1" customWidth="1"/>
    <col min="12" max="12" width="14.28515625" style="310" hidden="1" customWidth="1"/>
    <col min="13" max="13" width="13" style="310" hidden="1" customWidth="1"/>
    <col min="14" max="14" width="14.42578125" style="310" hidden="1" customWidth="1"/>
    <col min="15" max="15" width="14.28515625" style="310" hidden="1" customWidth="1"/>
    <col min="16" max="16" width="11.85546875" style="310" hidden="1" customWidth="1"/>
    <col min="17" max="17" width="15.42578125" style="226" customWidth="1"/>
    <col min="18" max="18" width="11" style="88" customWidth="1"/>
    <col min="19" max="19" width="15.140625" style="88" customWidth="1"/>
    <col min="20" max="20" width="14.7109375" style="88" customWidth="1"/>
    <col min="21" max="21" width="14.85546875" style="88" customWidth="1"/>
    <col min="22" max="22" width="11.42578125" style="88" customWidth="1"/>
    <col min="23" max="24" width="12.42578125" style="88" customWidth="1"/>
    <col min="25" max="25" width="9.5703125" style="88" customWidth="1"/>
    <col min="26" max="26" width="12.28515625" style="88" customWidth="1"/>
    <col min="27" max="27" width="12" style="88" customWidth="1"/>
    <col min="28" max="28" width="11.5703125" style="88" customWidth="1"/>
    <col min="29" max="29" width="12.42578125" style="88" customWidth="1"/>
    <col min="30" max="30" width="11.28515625" style="88" customWidth="1"/>
    <col min="31" max="31" width="10.42578125" style="88" customWidth="1"/>
    <col min="32" max="32" width="14.5703125" style="88" customWidth="1"/>
    <col min="33" max="33" width="15" style="88" customWidth="1"/>
    <col min="34" max="34" width="12.85546875" style="88" customWidth="1"/>
    <col min="35" max="35" width="0.140625" style="21" hidden="1" customWidth="1"/>
    <col min="36" max="44" width="14.42578125" style="21" hidden="1" customWidth="1"/>
    <col min="45" max="45" width="0.140625" style="21" hidden="1" customWidth="1"/>
    <col min="46" max="46" width="14.42578125" style="21" hidden="1" customWidth="1"/>
    <col min="47" max="47" width="0.140625" style="21" hidden="1" customWidth="1"/>
    <col min="48" max="49" width="14.42578125" style="21" hidden="1" customWidth="1"/>
    <col min="50" max="52" width="14.42578125" style="338" hidden="1" customWidth="1"/>
    <col min="53" max="53" width="0.42578125" style="21" hidden="1" customWidth="1"/>
    <col min="54" max="62" width="14.42578125" style="21" hidden="1" customWidth="1"/>
    <col min="63" max="63" width="0.140625" style="21" hidden="1" customWidth="1"/>
    <col min="64" max="69" width="14.42578125" style="21" hidden="1" customWidth="1"/>
    <col min="70" max="70" width="14.42578125" style="77" customWidth="1"/>
    <col min="71" max="72" width="17" style="21" customWidth="1"/>
    <col min="73" max="76" width="14" style="21" customWidth="1"/>
    <col min="77" max="84" width="9.140625" style="21" customWidth="1"/>
    <col min="85" max="16384" width="9.140625" style="21"/>
  </cols>
  <sheetData>
    <row r="1" spans="1:78" s="81" customFormat="1" ht="15" customHeight="1">
      <c r="A1" s="79" t="s">
        <v>294</v>
      </c>
      <c r="B1" s="80"/>
      <c r="C1" s="79"/>
      <c r="D1" s="384"/>
      <c r="E1" s="384"/>
      <c r="F1" s="384"/>
      <c r="G1" s="384"/>
      <c r="H1" s="384"/>
      <c r="I1" s="385"/>
      <c r="J1" s="385"/>
      <c r="K1" s="385"/>
      <c r="L1" s="385"/>
      <c r="M1" s="385"/>
      <c r="N1" s="385"/>
      <c r="O1" s="385"/>
      <c r="P1" s="385"/>
      <c r="Q1" s="386"/>
      <c r="R1" s="85"/>
      <c r="S1" s="85"/>
      <c r="T1" s="85"/>
      <c r="U1" s="85"/>
      <c r="V1" s="85"/>
      <c r="W1" s="85"/>
      <c r="X1" s="85"/>
      <c r="Y1" s="85"/>
      <c r="Z1" s="85"/>
      <c r="AA1" s="85"/>
      <c r="AB1" s="85"/>
      <c r="AC1" s="85"/>
      <c r="AD1" s="85"/>
      <c r="AE1" s="85"/>
      <c r="AF1" s="86"/>
      <c r="AG1" s="86"/>
      <c r="AH1" s="87"/>
      <c r="AI1" s="82"/>
      <c r="AX1" s="330"/>
      <c r="AY1" s="330"/>
      <c r="AZ1" s="330"/>
      <c r="BR1" s="83"/>
    </row>
    <row r="2" spans="1:78" s="81" customFormat="1" ht="12.75" customHeight="1" thickBot="1">
      <c r="A2" s="84" t="s">
        <v>291</v>
      </c>
      <c r="B2" s="31"/>
      <c r="C2" s="384"/>
      <c r="D2" s="384"/>
      <c r="E2" s="384"/>
      <c r="F2" s="384"/>
      <c r="G2" s="384"/>
      <c r="H2" s="384"/>
      <c r="I2" s="385"/>
      <c r="J2" s="385"/>
      <c r="K2" s="385"/>
      <c r="L2" s="385"/>
      <c r="M2" s="385"/>
      <c r="N2" s="385"/>
      <c r="O2" s="385"/>
      <c r="P2" s="385"/>
      <c r="Q2" s="386"/>
      <c r="R2" s="85"/>
      <c r="S2" s="85"/>
      <c r="T2" s="85"/>
      <c r="U2" s="85"/>
      <c r="V2" s="85"/>
      <c r="W2" s="85"/>
      <c r="X2" s="85"/>
      <c r="Y2" s="85"/>
      <c r="Z2" s="85"/>
      <c r="AA2" s="85"/>
      <c r="AB2" s="85"/>
      <c r="AC2" s="85"/>
      <c r="AD2" s="85"/>
      <c r="AE2" s="85"/>
      <c r="AF2" s="86"/>
      <c r="AG2" s="1809" t="s">
        <v>1163</v>
      </c>
      <c r="AH2" s="1809"/>
      <c r="AI2" s="1809"/>
      <c r="AJ2" s="1809"/>
      <c r="AK2" s="1809"/>
      <c r="AL2" s="1809"/>
      <c r="AM2" s="1809"/>
      <c r="AN2" s="1809"/>
      <c r="AO2" s="1809"/>
      <c r="AP2" s="1809"/>
      <c r="AQ2" s="1809"/>
      <c r="AR2" s="1809"/>
      <c r="AS2" s="1809"/>
      <c r="AT2" s="1809"/>
      <c r="AU2" s="1809"/>
      <c r="AV2" s="1809"/>
      <c r="AW2" s="1809"/>
      <c r="AX2" s="1809"/>
      <c r="AY2" s="1809"/>
      <c r="AZ2" s="1809"/>
      <c r="BA2" s="1809"/>
      <c r="BB2" s="1809"/>
      <c r="BC2" s="1809"/>
      <c r="BD2" s="1809"/>
      <c r="BE2" s="1809"/>
      <c r="BF2" s="1809"/>
      <c r="BG2" s="1809"/>
      <c r="BH2" s="1809"/>
      <c r="BI2" s="1809"/>
      <c r="BJ2" s="1809"/>
      <c r="BK2" s="1809"/>
      <c r="BL2" s="1809"/>
      <c r="BM2" s="1809"/>
      <c r="BN2" s="1809"/>
      <c r="BO2" s="1809"/>
      <c r="BP2" s="1809"/>
      <c r="BQ2" s="1809"/>
      <c r="BR2" s="83"/>
    </row>
    <row r="3" spans="1:78" ht="13.5" customHeight="1" thickBot="1">
      <c r="A3" s="1834" t="s">
        <v>66</v>
      </c>
      <c r="B3" s="1848" t="s">
        <v>67</v>
      </c>
      <c r="C3" s="1837" t="s">
        <v>969</v>
      </c>
      <c r="D3" s="1838"/>
      <c r="E3" s="1838"/>
      <c r="F3" s="1838"/>
      <c r="G3" s="1838"/>
      <c r="H3" s="1838"/>
      <c r="I3" s="1838"/>
      <c r="J3" s="1838"/>
      <c r="K3" s="1838"/>
      <c r="L3" s="1838"/>
      <c r="M3" s="1838"/>
      <c r="N3" s="1838"/>
      <c r="O3" s="1838"/>
      <c r="P3" s="1838"/>
      <c r="Q3" s="1839"/>
      <c r="R3" s="1824" t="s">
        <v>57</v>
      </c>
      <c r="S3" s="1825"/>
      <c r="T3" s="1825"/>
      <c r="U3" s="1825"/>
      <c r="V3" s="1825"/>
      <c r="W3" s="1825"/>
      <c r="X3" s="1826"/>
      <c r="Y3" s="1824" t="s">
        <v>58</v>
      </c>
      <c r="Z3" s="1825"/>
      <c r="AA3" s="1825"/>
      <c r="AB3" s="1825"/>
      <c r="AC3" s="1825"/>
      <c r="AD3" s="1825"/>
      <c r="AE3" s="1826"/>
      <c r="AF3" s="1821" t="s">
        <v>1233</v>
      </c>
      <c r="AG3" s="1811" t="s">
        <v>1234</v>
      </c>
      <c r="AH3" s="1814" t="s">
        <v>63</v>
      </c>
      <c r="AI3" s="165"/>
      <c r="AJ3" s="166"/>
      <c r="AK3" s="166"/>
      <c r="AL3" s="166"/>
      <c r="AM3" s="166"/>
      <c r="AN3" s="166"/>
      <c r="AO3" s="166"/>
      <c r="AP3" s="166"/>
      <c r="AQ3" s="166"/>
      <c r="AR3" s="166"/>
      <c r="AS3" s="166"/>
      <c r="AT3" s="166"/>
      <c r="AU3" s="166"/>
      <c r="AV3" s="166"/>
      <c r="AW3" s="166"/>
      <c r="AX3" s="331"/>
      <c r="AY3" s="331"/>
      <c r="AZ3" s="331"/>
      <c r="BA3" s="166"/>
      <c r="BB3" s="166"/>
      <c r="BC3" s="166"/>
      <c r="BD3" s="166"/>
      <c r="BE3" s="166"/>
      <c r="BF3" s="166"/>
      <c r="BG3" s="166"/>
      <c r="BH3" s="166"/>
      <c r="BI3" s="166"/>
      <c r="BJ3" s="166"/>
      <c r="BK3" s="166"/>
      <c r="BL3" s="166"/>
      <c r="BM3" s="166"/>
      <c r="BN3" s="166"/>
      <c r="BO3" s="166"/>
      <c r="BP3" s="166"/>
      <c r="BQ3" s="166"/>
    </row>
    <row r="4" spans="1:78" ht="12" customHeight="1">
      <c r="A4" s="1835"/>
      <c r="B4" s="1849"/>
      <c r="C4" s="1840"/>
      <c r="D4" s="1841"/>
      <c r="E4" s="1841"/>
      <c r="F4" s="1841"/>
      <c r="G4" s="1841"/>
      <c r="H4" s="1841"/>
      <c r="I4" s="1841"/>
      <c r="J4" s="1841"/>
      <c r="K4" s="1841"/>
      <c r="L4" s="1841"/>
      <c r="M4" s="1841"/>
      <c r="N4" s="1841"/>
      <c r="O4" s="1841"/>
      <c r="P4" s="1841"/>
      <c r="Q4" s="1842"/>
      <c r="R4" s="1810" t="s">
        <v>694</v>
      </c>
      <c r="S4" s="1799"/>
      <c r="T4" s="1799"/>
      <c r="U4" s="1800"/>
      <c r="V4" s="1810" t="s">
        <v>124</v>
      </c>
      <c r="W4" s="1799"/>
      <c r="X4" s="1800"/>
      <c r="Y4" s="1810" t="s">
        <v>694</v>
      </c>
      <c r="Z4" s="1799"/>
      <c r="AA4" s="1799"/>
      <c r="AB4" s="1800"/>
      <c r="AC4" s="1810" t="s">
        <v>124</v>
      </c>
      <c r="AD4" s="1799"/>
      <c r="AE4" s="1800"/>
      <c r="AF4" s="1822"/>
      <c r="AG4" s="1812"/>
      <c r="AH4" s="1815"/>
      <c r="AI4" s="167"/>
      <c r="AJ4" s="167"/>
      <c r="AK4" s="168"/>
      <c r="AL4" s="168"/>
      <c r="AM4" s="168"/>
      <c r="AN4" s="168"/>
      <c r="AO4" s="168"/>
      <c r="AP4" s="169"/>
      <c r="AQ4" s="168"/>
      <c r="AR4" s="168"/>
      <c r="AS4" s="168"/>
      <c r="AT4" s="168"/>
      <c r="AU4" s="168"/>
      <c r="AV4" s="169"/>
      <c r="AW4" s="169"/>
      <c r="AX4" s="332"/>
      <c r="AY4" s="332"/>
      <c r="AZ4" s="332"/>
      <c r="BA4" s="169"/>
      <c r="BB4" s="169"/>
      <c r="BC4" s="170"/>
      <c r="BD4" s="170"/>
      <c r="BE4" s="170"/>
      <c r="BF4" s="170"/>
      <c r="BG4" s="170"/>
      <c r="BH4" s="170"/>
      <c r="BI4" s="170"/>
      <c r="BJ4" s="170"/>
      <c r="BK4" s="170"/>
      <c r="BL4" s="170"/>
      <c r="BM4" s="170"/>
      <c r="BN4" s="170"/>
      <c r="BO4" s="170"/>
      <c r="BP4" s="170"/>
      <c r="BQ4" s="170"/>
    </row>
    <row r="5" spans="1:78" ht="21" customHeight="1" thickBot="1">
      <c r="A5" s="1835"/>
      <c r="B5" s="1849"/>
      <c r="C5" s="1840"/>
      <c r="D5" s="1841"/>
      <c r="E5" s="1841"/>
      <c r="F5" s="1841"/>
      <c r="G5" s="1841"/>
      <c r="H5" s="1841"/>
      <c r="I5" s="1841"/>
      <c r="J5" s="1841"/>
      <c r="K5" s="1841"/>
      <c r="L5" s="1841"/>
      <c r="M5" s="1841"/>
      <c r="N5" s="1841"/>
      <c r="O5" s="1841"/>
      <c r="P5" s="1841"/>
      <c r="Q5" s="1842"/>
      <c r="R5" s="1803" t="s">
        <v>376</v>
      </c>
      <c r="S5" s="1804"/>
      <c r="T5" s="1804"/>
      <c r="U5" s="1805"/>
      <c r="V5" s="1817" t="s">
        <v>41</v>
      </c>
      <c r="W5" s="1818"/>
      <c r="X5" s="1819"/>
      <c r="Y5" s="1803" t="s">
        <v>376</v>
      </c>
      <c r="Z5" s="1804"/>
      <c r="AA5" s="1804"/>
      <c r="AB5" s="1805"/>
      <c r="AC5" s="1817" t="s">
        <v>41</v>
      </c>
      <c r="AD5" s="1818"/>
      <c r="AE5" s="1819"/>
      <c r="AF5" s="1822"/>
      <c r="AG5" s="1812"/>
      <c r="AH5" s="1815"/>
      <c r="AI5" s="167"/>
      <c r="AJ5" s="171"/>
      <c r="AK5" s="168"/>
      <c r="AL5" s="168"/>
      <c r="AM5" s="168"/>
      <c r="AN5" s="168"/>
      <c r="AO5" s="168"/>
      <c r="AP5" s="169"/>
      <c r="AQ5" s="168"/>
      <c r="AR5" s="168"/>
      <c r="AS5" s="168"/>
      <c r="AT5" s="168"/>
      <c r="AU5" s="168"/>
      <c r="AV5" s="172"/>
      <c r="AW5" s="172"/>
      <c r="AX5" s="333"/>
      <c r="AY5" s="333"/>
      <c r="AZ5" s="333"/>
      <c r="BA5" s="172"/>
      <c r="BB5" s="172"/>
      <c r="BC5" s="170"/>
      <c r="BD5" s="170"/>
      <c r="BE5" s="170"/>
      <c r="BF5" s="170"/>
      <c r="BG5" s="170"/>
      <c r="BH5" s="170"/>
      <c r="BI5" s="170"/>
      <c r="BJ5" s="170"/>
      <c r="BK5" s="170"/>
      <c r="BL5" s="170"/>
      <c r="BM5" s="170"/>
      <c r="BN5" s="170"/>
      <c r="BO5" s="170"/>
      <c r="BP5" s="170"/>
      <c r="BQ5" s="170"/>
    </row>
    <row r="6" spans="1:78" ht="45" customHeight="1">
      <c r="A6" s="1835"/>
      <c r="B6" s="1849"/>
      <c r="C6" s="1843" t="s">
        <v>1235</v>
      </c>
      <c r="D6" s="1821" t="s">
        <v>968</v>
      </c>
      <c r="E6" s="911"/>
      <c r="F6" s="911"/>
      <c r="G6" s="1801" t="s">
        <v>1214</v>
      </c>
      <c r="H6" s="1801" t="s">
        <v>1215</v>
      </c>
      <c r="I6" s="1821" t="s">
        <v>1270</v>
      </c>
      <c r="J6" s="910"/>
      <c r="K6" s="898" t="s">
        <v>729</v>
      </c>
      <c r="L6" s="900"/>
      <c r="M6" s="900"/>
      <c r="N6" s="900"/>
      <c r="O6" s="900"/>
      <c r="P6" s="899"/>
      <c r="Q6" s="941" t="s">
        <v>1216</v>
      </c>
      <c r="R6" s="1801" t="s">
        <v>1219</v>
      </c>
      <c r="S6" s="1801" t="s">
        <v>1220</v>
      </c>
      <c r="T6" s="1801" t="s">
        <v>1221</v>
      </c>
      <c r="U6" s="1801" t="s">
        <v>1222</v>
      </c>
      <c r="V6" s="1801" t="s">
        <v>1223</v>
      </c>
      <c r="W6" s="1801" t="s">
        <v>1224</v>
      </c>
      <c r="X6" s="1801" t="s">
        <v>1225</v>
      </c>
      <c r="Y6" s="1801" t="s">
        <v>1226</v>
      </c>
      <c r="Z6" s="1801" t="s">
        <v>1227</v>
      </c>
      <c r="AA6" s="1801" t="s">
        <v>1228</v>
      </c>
      <c r="AB6" s="1801" t="s">
        <v>1229</v>
      </c>
      <c r="AC6" s="1801" t="s">
        <v>1230</v>
      </c>
      <c r="AD6" s="1801" t="s">
        <v>1231</v>
      </c>
      <c r="AE6" s="1801" t="s">
        <v>1232</v>
      </c>
      <c r="AF6" s="1822"/>
      <c r="AG6" s="1812"/>
      <c r="AH6" s="1815"/>
      <c r="AI6" s="167"/>
      <c r="AJ6" s="171"/>
      <c r="AK6" s="1820" t="s">
        <v>160</v>
      </c>
      <c r="AL6" s="1820"/>
      <c r="AM6" s="1820"/>
      <c r="AN6" s="1820"/>
      <c r="AO6" s="173"/>
      <c r="AP6" s="169"/>
      <c r="AQ6" s="1828" t="s">
        <v>161</v>
      </c>
      <c r="AR6" s="1820"/>
      <c r="AS6" s="1820"/>
      <c r="AT6" s="1820"/>
      <c r="AU6" s="1820"/>
      <c r="AV6" s="1820"/>
      <c r="AW6" s="173"/>
      <c r="AX6" s="334"/>
      <c r="AY6" s="334"/>
      <c r="AZ6" s="334"/>
      <c r="BA6" s="173"/>
      <c r="BB6" s="173"/>
      <c r="BC6" s="170"/>
      <c r="BD6" s="170"/>
      <c r="BE6" s="170"/>
      <c r="BF6" s="170"/>
      <c r="BG6" s="170"/>
      <c r="BH6" s="170"/>
      <c r="BI6" s="170"/>
      <c r="BJ6" s="170"/>
      <c r="BK6" s="170"/>
      <c r="BL6" s="170"/>
      <c r="BM6" s="170"/>
      <c r="BN6" s="170"/>
      <c r="BO6" s="170"/>
      <c r="BP6" s="170"/>
      <c r="BQ6" s="170"/>
    </row>
    <row r="7" spans="1:78" ht="93" customHeight="1" thickBot="1">
      <c r="A7" s="1836"/>
      <c r="B7" s="1850"/>
      <c r="C7" s="1844"/>
      <c r="D7" s="1823"/>
      <c r="E7" s="912" t="s">
        <v>1161</v>
      </c>
      <c r="F7" s="912" t="s">
        <v>1256</v>
      </c>
      <c r="G7" s="1802"/>
      <c r="H7" s="1802"/>
      <c r="I7" s="1823"/>
      <c r="J7" s="910" t="s">
        <v>1162</v>
      </c>
      <c r="K7" s="898" t="s">
        <v>1155</v>
      </c>
      <c r="L7" s="901" t="s">
        <v>1156</v>
      </c>
      <c r="M7" s="901" t="s">
        <v>1157</v>
      </c>
      <c r="N7" s="901" t="s">
        <v>1158</v>
      </c>
      <c r="O7" s="901" t="s">
        <v>1159</v>
      </c>
      <c r="P7" s="898" t="s">
        <v>1160</v>
      </c>
      <c r="Q7" s="942" t="s">
        <v>531</v>
      </c>
      <c r="R7" s="1802"/>
      <c r="S7" s="1802"/>
      <c r="T7" s="1802"/>
      <c r="U7" s="1802"/>
      <c r="V7" s="1802"/>
      <c r="W7" s="1802"/>
      <c r="X7" s="1802"/>
      <c r="Y7" s="1802"/>
      <c r="Z7" s="1802"/>
      <c r="AA7" s="1802"/>
      <c r="AB7" s="1802"/>
      <c r="AC7" s="1802"/>
      <c r="AD7" s="1802"/>
      <c r="AE7" s="1802"/>
      <c r="AF7" s="1823"/>
      <c r="AG7" s="1813"/>
      <c r="AH7" s="1816"/>
      <c r="AI7" s="167" t="s">
        <v>729</v>
      </c>
      <c r="AJ7" s="171" t="s">
        <v>30</v>
      </c>
      <c r="AK7" s="174" t="s">
        <v>180</v>
      </c>
      <c r="AL7" s="174" t="s">
        <v>787</v>
      </c>
      <c r="AM7" s="174" t="s">
        <v>788</v>
      </c>
      <c r="AN7" s="174" t="s">
        <v>192</v>
      </c>
      <c r="AO7" s="174" t="s">
        <v>193</v>
      </c>
      <c r="AP7" s="169"/>
      <c r="AQ7" s="174" t="s">
        <v>180</v>
      </c>
      <c r="AR7" s="174" t="s">
        <v>787</v>
      </c>
      <c r="AS7" s="174" t="s">
        <v>788</v>
      </c>
      <c r="AT7" s="174" t="s">
        <v>192</v>
      </c>
      <c r="AU7" s="174" t="s">
        <v>193</v>
      </c>
      <c r="AV7" s="175" t="s">
        <v>194</v>
      </c>
      <c r="AW7" s="175"/>
      <c r="AX7" s="335"/>
      <c r="AY7" s="335"/>
      <c r="AZ7" s="335"/>
      <c r="BA7" s="175"/>
      <c r="BB7" s="175"/>
      <c r="BC7" s="170"/>
      <c r="BD7" s="170"/>
      <c r="BE7" s="170"/>
      <c r="BF7" s="170"/>
      <c r="BG7" s="170"/>
      <c r="BH7" s="170"/>
      <c r="BI7" s="170"/>
      <c r="BJ7" s="170"/>
      <c r="BK7" s="170"/>
      <c r="BL7" s="170"/>
      <c r="BM7" s="170"/>
      <c r="BN7" s="170"/>
      <c r="BO7" s="170"/>
      <c r="BP7" s="170">
        <v>1000</v>
      </c>
      <c r="BQ7" s="170"/>
    </row>
    <row r="8" spans="1:78" ht="20.100000000000001" customHeight="1">
      <c r="A8" s="61" t="s">
        <v>195</v>
      </c>
      <c r="B8" s="62" t="s">
        <v>196</v>
      </c>
      <c r="C8" s="387">
        <f>+D8+G8+H8+I8+Q8+F8</f>
        <v>361062</v>
      </c>
      <c r="D8" s="379">
        <f>+E8</f>
        <v>299007</v>
      </c>
      <c r="E8" s="379">
        <v>299007</v>
      </c>
      <c r="F8" s="379">
        <v>28487</v>
      </c>
      <c r="G8" s="376">
        <v>13524</v>
      </c>
      <c r="H8" s="374">
        <v>2446</v>
      </c>
      <c r="I8" s="797">
        <f>+P8+O8+N8+M8+L8+K8+J8</f>
        <v>17567</v>
      </c>
      <c r="J8" s="892">
        <v>22</v>
      </c>
      <c r="K8" s="892">
        <v>15976</v>
      </c>
      <c r="L8" s="893">
        <v>0</v>
      </c>
      <c r="M8" s="893">
        <v>0</v>
      </c>
      <c r="N8" s="893">
        <v>2</v>
      </c>
      <c r="O8" s="893">
        <v>817</v>
      </c>
      <c r="P8" s="892">
        <v>750</v>
      </c>
      <c r="Q8" s="707">
        <v>31</v>
      </c>
      <c r="R8" s="343">
        <v>2208</v>
      </c>
      <c r="S8" s="344">
        <v>131318</v>
      </c>
      <c r="T8" s="344">
        <v>57162</v>
      </c>
      <c r="U8" s="345">
        <v>41830</v>
      </c>
      <c r="V8" s="343">
        <v>1561</v>
      </c>
      <c r="W8" s="344">
        <v>2604</v>
      </c>
      <c r="X8" s="345">
        <v>1505</v>
      </c>
      <c r="Y8" s="889">
        <v>45</v>
      </c>
      <c r="Z8" s="347">
        <v>2861</v>
      </c>
      <c r="AA8" s="890">
        <v>750</v>
      </c>
      <c r="AB8" s="349">
        <v>480</v>
      </c>
      <c r="AC8" s="346">
        <v>0</v>
      </c>
      <c r="AD8" s="347">
        <v>2</v>
      </c>
      <c r="AE8" s="349">
        <v>1</v>
      </c>
      <c r="AF8" s="350">
        <f>+R8+S8+U8+V8+X8+Y8+Z8+AB8+AE8+AC8</f>
        <v>181809</v>
      </c>
      <c r="AG8" s="351">
        <f>+R8+S8+T8+V8+W8+Y8+Z8+AA8+AC8+AD8</f>
        <v>198511</v>
      </c>
      <c r="AH8" s="352">
        <f>(E8*AK8)+G8+(H8*AO8)+I8+((R8+Y8)*AL8)+((S8+Z8)*AM8)+(AA8+T8)+((V8+AC8)*AN8)+(W8+AD8)+Q8+F8</f>
        <v>1120820.9406952115</v>
      </c>
      <c r="AI8" s="142">
        <v>56142.509224043228</v>
      </c>
      <c r="AJ8" s="148">
        <f>+AH8-D8-G8-H8-I8-AC8-Z8-Y8-V8-S8-R8-AD8-AA8-W8-T8-Q8-F8</f>
        <v>561247.94069521152</v>
      </c>
      <c r="AK8" s="149">
        <v>1.94</v>
      </c>
      <c r="AL8" s="149">
        <v>2.85</v>
      </c>
      <c r="AM8" s="149">
        <v>2.97</v>
      </c>
      <c r="AN8" s="149">
        <v>3.92</v>
      </c>
      <c r="AO8" s="149">
        <v>3.9119217887209197</v>
      </c>
      <c r="AP8" s="83"/>
      <c r="AQ8" s="143">
        <f>+AK8-1</f>
        <v>0.94</v>
      </c>
      <c r="AR8" s="143">
        <f>AL8-1</f>
        <v>1.85</v>
      </c>
      <c r="AS8" s="143">
        <f>AM8-1</f>
        <v>1.9700000000000002</v>
      </c>
      <c r="AT8" s="143">
        <f>AN8-1</f>
        <v>2.92</v>
      </c>
      <c r="AU8" s="143">
        <f>AO8-1</f>
        <v>2.9119217887209197</v>
      </c>
      <c r="AV8" s="144">
        <f t="shared" ref="AV8:AV47" si="0">(D8*AQ8)+(H8*AU8)+(R8*AR8)+(S8*AS8)+(V8*AT8)</f>
        <v>555528.52069521125</v>
      </c>
      <c r="AW8" s="145" t="s">
        <v>196</v>
      </c>
      <c r="AX8" s="336">
        <f>+'23-İL-EMOD-Öncelikli Yaşam'!F6</f>
        <v>35851.165210244711</v>
      </c>
      <c r="AY8" s="336" t="e">
        <f>+'23-İL-EMOD-Öncelikli Yaşam'!#REF!</f>
        <v>#REF!</v>
      </c>
      <c r="AZ8" s="336" t="e">
        <f>+AX8-AY8</f>
        <v>#REF!</v>
      </c>
      <c r="BA8" s="145" t="e">
        <f>+'23-İL-EMOD-Öncelikli Yaşam'!#REF!</f>
        <v>#REF!</v>
      </c>
      <c r="BB8" s="145"/>
      <c r="BC8" s="150">
        <v>44770</v>
      </c>
      <c r="BD8" s="83">
        <v>2099</v>
      </c>
      <c r="BE8" s="83">
        <v>17991</v>
      </c>
      <c r="BF8" s="83">
        <v>1374</v>
      </c>
      <c r="BG8" s="83">
        <v>12047</v>
      </c>
      <c r="BH8" s="150">
        <f>SUM(BC8:BG8)</f>
        <v>78281</v>
      </c>
      <c r="BI8" s="83"/>
      <c r="BJ8" s="151">
        <v>10109.704945802354</v>
      </c>
      <c r="BK8" s="151">
        <f>+(BJ8/198000)*199000</f>
        <v>10160.764061690244</v>
      </c>
      <c r="BL8" s="83"/>
      <c r="BM8" s="83"/>
      <c r="BN8" s="83">
        <f t="shared" ref="BN8:BN47" si="1">+H8/$H$97</f>
        <v>8.2359675409946459E-2</v>
      </c>
      <c r="BO8" s="83">
        <f t="shared" ref="BO8:BO47" si="2">+BN8*$BP$7</f>
        <v>82.359675409946462</v>
      </c>
      <c r="BP8" s="83"/>
      <c r="BQ8" s="149">
        <v>0.01</v>
      </c>
      <c r="BR8" s="309"/>
      <c r="BS8" s="22"/>
      <c r="BT8" s="22"/>
      <c r="BU8" s="22"/>
    </row>
    <row r="9" spans="1:78" ht="20.100000000000001" customHeight="1">
      <c r="A9" s="56" t="s">
        <v>197</v>
      </c>
      <c r="B9" s="44" t="s">
        <v>198</v>
      </c>
      <c r="C9" s="375">
        <f>+D9+G9+H9+I9+Q9+F9</f>
        <v>64009</v>
      </c>
      <c r="D9" s="379">
        <f>+E9</f>
        <v>49744</v>
      </c>
      <c r="E9" s="379">
        <v>49744</v>
      </c>
      <c r="F9" s="379">
        <v>5029</v>
      </c>
      <c r="G9" s="376">
        <v>6062</v>
      </c>
      <c r="H9" s="705">
        <v>58</v>
      </c>
      <c r="I9" s="797">
        <f t="shared" ref="I9:I47" si="3">+P9+O9+N9+M9+L9+K9+J9</f>
        <v>3116</v>
      </c>
      <c r="J9" s="893">
        <v>4</v>
      </c>
      <c r="K9" s="893">
        <v>3083</v>
      </c>
      <c r="L9" s="893">
        <v>0</v>
      </c>
      <c r="M9" s="893">
        <v>0</v>
      </c>
      <c r="N9" s="893">
        <v>3</v>
      </c>
      <c r="O9" s="893">
        <v>1</v>
      </c>
      <c r="P9" s="893">
        <v>25</v>
      </c>
      <c r="Q9" s="377">
        <v>0</v>
      </c>
      <c r="R9" s="343">
        <v>221</v>
      </c>
      <c r="S9" s="348">
        <v>12933</v>
      </c>
      <c r="T9" s="348">
        <v>5724</v>
      </c>
      <c r="U9" s="353">
        <v>3670</v>
      </c>
      <c r="V9" s="610">
        <v>223</v>
      </c>
      <c r="W9" s="609">
        <v>500</v>
      </c>
      <c r="X9" s="605">
        <v>240</v>
      </c>
      <c r="Y9" s="610">
        <v>4</v>
      </c>
      <c r="Z9" s="609">
        <v>200</v>
      </c>
      <c r="AA9" s="609">
        <v>43</v>
      </c>
      <c r="AB9" s="353">
        <v>25</v>
      </c>
      <c r="AC9" s="357">
        <v>0</v>
      </c>
      <c r="AD9" s="348">
        <v>0</v>
      </c>
      <c r="AE9" s="353">
        <v>0</v>
      </c>
      <c r="AF9" s="350">
        <f t="shared" ref="AF9:AF47" si="4">+R9+S9+U9+V9+X9+Y9+Z9+AB9+AE9+AC9</f>
        <v>17516</v>
      </c>
      <c r="AG9" s="358">
        <f t="shared" ref="AG9:AG47" si="5">+R9+S9+T9+V9+W9+Y9+Z9+AA9+AC9+AD9</f>
        <v>19848</v>
      </c>
      <c r="AH9" s="352">
        <f>(E9*AK9)+G9+(H9*AO9)+I9+((R9+Y9)*AL9)+((S9+Z9)*AM9)+(AA9+T9)+((V9+AC9)*AN9)+(W9+AD9)+Q9+F9</f>
        <v>187893.95980276822</v>
      </c>
      <c r="AI9" s="146">
        <v>46502.088232243434</v>
      </c>
      <c r="AJ9" s="148">
        <f t="shared" ref="AJ9:AJ47" si="6">+AH9-D9-G9-H9-I9-AC9-Z9-Y9-V9-S9-R9-AD9-AA9-W9-T9-Q9-F9</f>
        <v>104036.95980276822</v>
      </c>
      <c r="AK9" s="149">
        <v>2.37</v>
      </c>
      <c r="AL9" s="149">
        <v>3.374384236453202</v>
      </c>
      <c r="AM9" s="149">
        <v>3.6091387245233397</v>
      </c>
      <c r="AN9" s="149">
        <v>4.78494623655914</v>
      </c>
      <c r="AO9" s="149">
        <v>5.1996805111821089</v>
      </c>
      <c r="AP9" s="83"/>
      <c r="AQ9" s="143">
        <f t="shared" ref="AQ9:AQ47" si="7">+AK9-1</f>
        <v>1.37</v>
      </c>
      <c r="AR9" s="143">
        <f t="shared" ref="AR9:AU47" si="8">AL9-1</f>
        <v>2.374384236453202</v>
      </c>
      <c r="AS9" s="143">
        <f t="shared" si="8"/>
        <v>2.6091387245233397</v>
      </c>
      <c r="AT9" s="143">
        <f t="shared" si="8"/>
        <v>3.78494623655914</v>
      </c>
      <c r="AU9" s="143">
        <f t="shared" si="8"/>
        <v>4.1996805111821089</v>
      </c>
      <c r="AV9" s="144">
        <f t="shared" si="0"/>
        <v>103505.63452091777</v>
      </c>
      <c r="AW9" s="145" t="s">
        <v>198</v>
      </c>
      <c r="AX9" s="336">
        <f>+'23-İL-EMOD-Öncelikli Yaşam'!F7</f>
        <v>35423.440215244656</v>
      </c>
      <c r="AY9" s="336" t="e">
        <f>+'23-İL-EMOD-Öncelikli Yaşam'!#REF!</f>
        <v>#REF!</v>
      </c>
      <c r="AZ9" s="336" t="e">
        <f t="shared" ref="AZ9:AZ47" si="9">+AX9-AY9</f>
        <v>#REF!</v>
      </c>
      <c r="BA9" s="145" t="e">
        <f>+'23-İL-EMOD-Öncelikli Yaşam'!#REF!</f>
        <v>#REF!</v>
      </c>
      <c r="BB9" s="145"/>
      <c r="BC9" s="83">
        <v>3999</v>
      </c>
      <c r="BD9" s="83">
        <v>347</v>
      </c>
      <c r="BE9" s="83">
        <v>3302</v>
      </c>
      <c r="BF9" s="83">
        <v>275</v>
      </c>
      <c r="BG9" s="83">
        <v>1980</v>
      </c>
      <c r="BH9" s="150">
        <f t="shared" ref="BH9:BH47" si="10">SUM(BC9:BG9)</f>
        <v>9903</v>
      </c>
      <c r="BI9" s="83"/>
      <c r="BJ9" s="151">
        <v>495.67716717370206</v>
      </c>
      <c r="BK9" s="151">
        <f t="shared" ref="BK9:BK47" si="11">+(BJ9/198000)*199000</f>
        <v>498.18058720993287</v>
      </c>
      <c r="BL9" s="83"/>
      <c r="BM9" s="83"/>
      <c r="BN9" s="83">
        <f t="shared" si="1"/>
        <v>1.9529277080036365E-3</v>
      </c>
      <c r="BO9" s="83">
        <f t="shared" si="2"/>
        <v>1.9529277080036365</v>
      </c>
      <c r="BP9" s="83"/>
      <c r="BQ9" s="149">
        <v>0.01</v>
      </c>
      <c r="BR9" s="309"/>
      <c r="BS9" s="22"/>
      <c r="BT9" s="22"/>
      <c r="BU9" s="22"/>
    </row>
    <row r="10" spans="1:78" ht="14.25" customHeight="1">
      <c r="A10" s="56" t="s">
        <v>199</v>
      </c>
      <c r="B10" s="306" t="s">
        <v>200</v>
      </c>
      <c r="C10" s="375">
        <f t="shared" ref="C10:C46" si="12">+D10+G10+H10+I10+Q10+F10</f>
        <v>106411</v>
      </c>
      <c r="D10" s="379">
        <f t="shared" ref="D10:D47" si="13">+E10</f>
        <v>88564</v>
      </c>
      <c r="E10" s="379">
        <v>88564</v>
      </c>
      <c r="F10" s="379">
        <v>9301</v>
      </c>
      <c r="G10" s="376">
        <v>3946</v>
      </c>
      <c r="H10" s="376">
        <v>936</v>
      </c>
      <c r="I10" s="797">
        <f t="shared" si="3"/>
        <v>3664</v>
      </c>
      <c r="J10" s="893">
        <v>9</v>
      </c>
      <c r="K10" s="893">
        <v>3586</v>
      </c>
      <c r="L10" s="893">
        <v>0</v>
      </c>
      <c r="M10" s="893">
        <v>4</v>
      </c>
      <c r="N10" s="893">
        <v>0</v>
      </c>
      <c r="O10" s="893">
        <v>5</v>
      </c>
      <c r="P10" s="893">
        <v>60</v>
      </c>
      <c r="Q10" s="377">
        <v>0</v>
      </c>
      <c r="R10" s="343">
        <v>501</v>
      </c>
      <c r="S10" s="348">
        <v>34248</v>
      </c>
      <c r="T10" s="348">
        <v>13721</v>
      </c>
      <c r="U10" s="353">
        <v>11102</v>
      </c>
      <c r="V10" s="610">
        <v>460</v>
      </c>
      <c r="W10" s="609">
        <v>777</v>
      </c>
      <c r="X10" s="605">
        <v>499</v>
      </c>
      <c r="Y10" s="610">
        <v>18</v>
      </c>
      <c r="Z10" s="348">
        <v>1507</v>
      </c>
      <c r="AA10" s="609">
        <v>208</v>
      </c>
      <c r="AB10" s="353">
        <v>166</v>
      </c>
      <c r="AC10" s="357">
        <v>0</v>
      </c>
      <c r="AD10" s="348">
        <v>0</v>
      </c>
      <c r="AE10" s="353">
        <v>0</v>
      </c>
      <c r="AF10" s="350">
        <f t="shared" si="4"/>
        <v>48501</v>
      </c>
      <c r="AG10" s="358">
        <f t="shared" si="5"/>
        <v>51440</v>
      </c>
      <c r="AH10" s="352">
        <f t="shared" ref="AH10:AH47" si="14">(E10*AK10)+G10+(H10*AO10)+I10+((R10+Y10)*AL10)+((S10+Z10)*AM10)+(AA10+T10)+((V10+AC10)*AN10)+(W10+AD10)+Q10+F10</f>
        <v>321804.46725646377</v>
      </c>
      <c r="AI10" s="146">
        <v>26757.410167825525</v>
      </c>
      <c r="AJ10" s="148">
        <f t="shared" si="6"/>
        <v>163953.46725646377</v>
      </c>
      <c r="AK10" s="149">
        <v>2.0499999999999998</v>
      </c>
      <c r="AL10" s="149">
        <v>2.85</v>
      </c>
      <c r="AM10" s="149">
        <v>2.85</v>
      </c>
      <c r="AN10" s="149">
        <v>3.6805555555555554</v>
      </c>
      <c r="AO10" s="149">
        <v>3.8005466890044968</v>
      </c>
      <c r="AP10" s="83"/>
      <c r="AQ10" s="143">
        <f t="shared" si="7"/>
        <v>1.0499999999999998</v>
      </c>
      <c r="AR10" s="143">
        <f t="shared" si="8"/>
        <v>1.85</v>
      </c>
      <c r="AS10" s="143">
        <f t="shared" si="8"/>
        <v>1.85</v>
      </c>
      <c r="AT10" s="143">
        <f t="shared" si="8"/>
        <v>2.6805555555555554</v>
      </c>
      <c r="AU10" s="143">
        <f t="shared" si="8"/>
        <v>2.8005466890044968</v>
      </c>
      <c r="AV10" s="144">
        <f t="shared" si="0"/>
        <v>161132.21725646377</v>
      </c>
      <c r="AW10" s="145" t="s">
        <v>200</v>
      </c>
      <c r="AX10" s="336">
        <f>+'23-İL-EMOD-Öncelikli Yaşam'!F8</f>
        <v>11825.329419914633</v>
      </c>
      <c r="AY10" s="336" t="e">
        <f>+'23-İL-EMOD-Öncelikli Yaşam'!#REF!</f>
        <v>#REF!</v>
      </c>
      <c r="AZ10" s="336" t="e">
        <f t="shared" si="9"/>
        <v>#REF!</v>
      </c>
      <c r="BA10" s="145" t="e">
        <f>+'23-İL-EMOD-Öncelikli Yaşam'!#REF!</f>
        <v>#REF!</v>
      </c>
      <c r="BB10" s="145"/>
      <c r="BC10" s="83">
        <v>10443</v>
      </c>
      <c r="BD10" s="83">
        <v>732</v>
      </c>
      <c r="BE10" s="83">
        <v>6693</v>
      </c>
      <c r="BF10" s="83">
        <v>2162</v>
      </c>
      <c r="BG10" s="83">
        <v>4851</v>
      </c>
      <c r="BH10" s="150">
        <f t="shared" si="10"/>
        <v>24881</v>
      </c>
      <c r="BI10" s="83"/>
      <c r="BJ10" s="151">
        <v>3063.7067460417115</v>
      </c>
      <c r="BK10" s="151">
        <f t="shared" si="11"/>
        <v>3079.1800124358615</v>
      </c>
      <c r="BL10" s="83"/>
      <c r="BM10" s="83"/>
      <c r="BN10" s="83">
        <f t="shared" si="1"/>
        <v>3.1516212667093167E-2</v>
      </c>
      <c r="BO10" s="83">
        <f t="shared" si="2"/>
        <v>31.516212667093168</v>
      </c>
      <c r="BP10" s="83"/>
      <c r="BQ10" s="149">
        <v>0.01</v>
      </c>
      <c r="BR10" s="309"/>
      <c r="BS10" s="22"/>
      <c r="BT10" s="22"/>
      <c r="BU10" s="22"/>
    </row>
    <row r="11" spans="1:78" ht="20.100000000000001" customHeight="1">
      <c r="A11" s="56" t="s">
        <v>201</v>
      </c>
      <c r="B11" s="44" t="s">
        <v>202</v>
      </c>
      <c r="C11" s="375">
        <f t="shared" si="12"/>
        <v>29688</v>
      </c>
      <c r="D11" s="379">
        <f t="shared" si="13"/>
        <v>24064</v>
      </c>
      <c r="E11" s="379">
        <v>24064</v>
      </c>
      <c r="F11" s="379">
        <v>3521</v>
      </c>
      <c r="G11" s="376">
        <v>1844</v>
      </c>
      <c r="H11" s="376">
        <v>0</v>
      </c>
      <c r="I11" s="797">
        <f t="shared" si="3"/>
        <v>259</v>
      </c>
      <c r="J11" s="893">
        <v>0</v>
      </c>
      <c r="K11" s="893">
        <v>258</v>
      </c>
      <c r="L11" s="893">
        <v>0</v>
      </c>
      <c r="M11" s="893">
        <v>0</v>
      </c>
      <c r="N11" s="893">
        <v>0</v>
      </c>
      <c r="O11" s="893">
        <v>0</v>
      </c>
      <c r="P11" s="893">
        <v>1</v>
      </c>
      <c r="Q11" s="377">
        <v>0</v>
      </c>
      <c r="R11" s="343">
        <v>109</v>
      </c>
      <c r="S11" s="348">
        <v>2741</v>
      </c>
      <c r="T11" s="348">
        <v>3448</v>
      </c>
      <c r="U11" s="353">
        <v>1751</v>
      </c>
      <c r="V11" s="610">
        <v>199</v>
      </c>
      <c r="W11" s="609">
        <v>488</v>
      </c>
      <c r="X11" s="605">
        <v>225</v>
      </c>
      <c r="Y11" s="354">
        <v>0</v>
      </c>
      <c r="Z11" s="348">
        <v>0</v>
      </c>
      <c r="AA11" s="348">
        <v>0</v>
      </c>
      <c r="AB11" s="353">
        <v>0</v>
      </c>
      <c r="AC11" s="357">
        <v>0</v>
      </c>
      <c r="AD11" s="348">
        <v>0</v>
      </c>
      <c r="AE11" s="353">
        <v>0</v>
      </c>
      <c r="AF11" s="350">
        <f t="shared" si="4"/>
        <v>5025</v>
      </c>
      <c r="AG11" s="358">
        <f t="shared" si="5"/>
        <v>6985</v>
      </c>
      <c r="AH11" s="352">
        <f t="shared" si="14"/>
        <v>133353.16</v>
      </c>
      <c r="AI11" s="146">
        <v>37228.102676351788</v>
      </c>
      <c r="AJ11" s="148">
        <f t="shared" si="6"/>
        <v>96680.16</v>
      </c>
      <c r="AK11" s="149">
        <v>4.49</v>
      </c>
      <c r="AL11" s="149">
        <v>4.2</v>
      </c>
      <c r="AM11" s="149">
        <v>5.2</v>
      </c>
      <c r="AN11" s="149">
        <v>5.2</v>
      </c>
      <c r="AO11" s="149">
        <v>5.05</v>
      </c>
      <c r="AP11" s="83"/>
      <c r="AQ11" s="143">
        <f t="shared" si="7"/>
        <v>3.49</v>
      </c>
      <c r="AR11" s="143">
        <f t="shared" si="8"/>
        <v>3.2</v>
      </c>
      <c r="AS11" s="143">
        <f t="shared" si="8"/>
        <v>4.2</v>
      </c>
      <c r="AT11" s="143">
        <f t="shared" si="8"/>
        <v>4.2</v>
      </c>
      <c r="AU11" s="143">
        <f t="shared" si="8"/>
        <v>4.05</v>
      </c>
      <c r="AV11" s="144">
        <f t="shared" si="0"/>
        <v>96680.16</v>
      </c>
      <c r="AW11" s="145" t="s">
        <v>202</v>
      </c>
      <c r="AX11" s="336">
        <f>+'23-İL-EMOD-Öncelikli Yaşam'!F9</f>
        <v>25778.539200257626</v>
      </c>
      <c r="AY11" s="336" t="e">
        <f>+'23-İL-EMOD-Öncelikli Yaşam'!#REF!</f>
        <v>#REF!</v>
      </c>
      <c r="AZ11" s="336" t="e">
        <f t="shared" si="9"/>
        <v>#REF!</v>
      </c>
      <c r="BA11" s="145" t="e">
        <f>+'23-İL-EMOD-Öncelikli Yaşam'!#REF!</f>
        <v>#REF!</v>
      </c>
      <c r="BB11" s="145"/>
      <c r="BC11" s="83">
        <v>1777</v>
      </c>
      <c r="BD11" s="83">
        <v>417</v>
      </c>
      <c r="BE11" s="83">
        <v>2423</v>
      </c>
      <c r="BF11" s="83">
        <v>90</v>
      </c>
      <c r="BG11" s="83">
        <v>1148</v>
      </c>
      <c r="BH11" s="150">
        <f t="shared" si="10"/>
        <v>5855</v>
      </c>
      <c r="BI11" s="83"/>
      <c r="BJ11" s="151">
        <v>1.0546322705823443</v>
      </c>
      <c r="BK11" s="151">
        <f t="shared" si="11"/>
        <v>1.0599586961913461</v>
      </c>
      <c r="BL11" s="83"/>
      <c r="BM11" s="83"/>
      <c r="BN11" s="83">
        <f t="shared" si="1"/>
        <v>0</v>
      </c>
      <c r="BO11" s="83">
        <f t="shared" si="2"/>
        <v>0</v>
      </c>
      <c r="BP11" s="83"/>
      <c r="BQ11" s="149">
        <v>0.01</v>
      </c>
      <c r="BR11" s="309"/>
      <c r="BS11" s="22"/>
      <c r="BT11" s="22"/>
      <c r="BU11" s="22"/>
    </row>
    <row r="12" spans="1:78" ht="20.100000000000001" customHeight="1">
      <c r="A12" s="56" t="s">
        <v>185</v>
      </c>
      <c r="B12" s="44" t="s">
        <v>186</v>
      </c>
      <c r="C12" s="375">
        <f t="shared" si="12"/>
        <v>49542</v>
      </c>
      <c r="D12" s="379">
        <f t="shared" si="13"/>
        <v>39475</v>
      </c>
      <c r="E12" s="379">
        <v>39475</v>
      </c>
      <c r="F12" s="379">
        <v>3839</v>
      </c>
      <c r="G12" s="376">
        <v>3897</v>
      </c>
      <c r="H12" s="705">
        <v>427</v>
      </c>
      <c r="I12" s="797">
        <f t="shared" si="3"/>
        <v>1904</v>
      </c>
      <c r="J12" s="893">
        <v>0</v>
      </c>
      <c r="K12" s="893">
        <v>1856</v>
      </c>
      <c r="L12" s="893">
        <v>0</v>
      </c>
      <c r="M12" s="893">
        <v>1</v>
      </c>
      <c r="N12" s="893">
        <v>0</v>
      </c>
      <c r="O12" s="893">
        <v>3</v>
      </c>
      <c r="P12" s="893">
        <v>44</v>
      </c>
      <c r="Q12" s="377">
        <v>0</v>
      </c>
      <c r="R12" s="343">
        <v>279</v>
      </c>
      <c r="S12" s="348">
        <v>19860</v>
      </c>
      <c r="T12" s="348">
        <v>7223</v>
      </c>
      <c r="U12" s="353">
        <v>5900</v>
      </c>
      <c r="V12" s="610">
        <v>284</v>
      </c>
      <c r="W12" s="609">
        <v>498</v>
      </c>
      <c r="X12" s="605">
        <v>328</v>
      </c>
      <c r="Y12" s="610">
        <v>7</v>
      </c>
      <c r="Z12" s="609">
        <v>748</v>
      </c>
      <c r="AA12" s="609">
        <v>117</v>
      </c>
      <c r="AB12" s="353">
        <v>82</v>
      </c>
      <c r="AC12" s="357">
        <v>0</v>
      </c>
      <c r="AD12" s="348">
        <v>0</v>
      </c>
      <c r="AE12" s="353">
        <v>0</v>
      </c>
      <c r="AF12" s="350">
        <f t="shared" si="4"/>
        <v>27488</v>
      </c>
      <c r="AG12" s="358">
        <f t="shared" si="5"/>
        <v>29016</v>
      </c>
      <c r="AH12" s="352">
        <f t="shared" si="14"/>
        <v>130082.69</v>
      </c>
      <c r="AI12" s="146">
        <v>2357.4319155145204</v>
      </c>
      <c r="AJ12" s="148">
        <f t="shared" si="6"/>
        <v>51524.69</v>
      </c>
      <c r="AK12" s="149">
        <v>1.65</v>
      </c>
      <c r="AL12" s="149">
        <v>1.99</v>
      </c>
      <c r="AM12" s="149">
        <v>2.2000000000000002</v>
      </c>
      <c r="AN12" s="149">
        <v>2.2000000000000002</v>
      </c>
      <c r="AO12" s="149">
        <v>2.2000000000000002</v>
      </c>
      <c r="AP12" s="83"/>
      <c r="AQ12" s="143">
        <f t="shared" si="7"/>
        <v>0.64999999999999991</v>
      </c>
      <c r="AR12" s="143">
        <f t="shared" si="8"/>
        <v>0.99</v>
      </c>
      <c r="AS12" s="143">
        <f t="shared" si="8"/>
        <v>1.2000000000000002</v>
      </c>
      <c r="AT12" s="143">
        <f t="shared" si="8"/>
        <v>1.2000000000000002</v>
      </c>
      <c r="AU12" s="143">
        <f t="shared" si="8"/>
        <v>1.2000000000000002</v>
      </c>
      <c r="AV12" s="144">
        <f t="shared" si="0"/>
        <v>50620.160000000003</v>
      </c>
      <c r="AW12" s="145" t="s">
        <v>186</v>
      </c>
      <c r="AX12" s="336">
        <f>+'23-İL-EMOD-Öncelikli Yaşam'!F10</f>
        <v>1883.7746398632298</v>
      </c>
      <c r="AY12" s="336" t="e">
        <f>+'23-İL-EMOD-Öncelikli Yaşam'!#REF!</f>
        <v>#REF!</v>
      </c>
      <c r="AZ12" s="336" t="e">
        <f t="shared" si="9"/>
        <v>#REF!</v>
      </c>
      <c r="BA12" s="145" t="e">
        <f>+'23-İL-EMOD-Öncelikli Yaşam'!#REF!</f>
        <v>#REF!</v>
      </c>
      <c r="BB12" s="145"/>
      <c r="BC12" s="83">
        <v>6008</v>
      </c>
      <c r="BD12" s="83">
        <v>471</v>
      </c>
      <c r="BE12" s="83">
        <v>4370</v>
      </c>
      <c r="BF12" s="83">
        <v>1961</v>
      </c>
      <c r="BG12" s="83">
        <v>2702</v>
      </c>
      <c r="BH12" s="150">
        <f t="shared" si="10"/>
        <v>15512</v>
      </c>
      <c r="BI12" s="83"/>
      <c r="BJ12" s="151">
        <v>1792.8748599899864</v>
      </c>
      <c r="BK12" s="151">
        <f t="shared" si="11"/>
        <v>1801.9297835252892</v>
      </c>
      <c r="BL12" s="83"/>
      <c r="BM12" s="83"/>
      <c r="BN12" s="83">
        <f t="shared" si="1"/>
        <v>1.4377588470992289E-2</v>
      </c>
      <c r="BO12" s="83">
        <f t="shared" si="2"/>
        <v>14.377588470992288</v>
      </c>
      <c r="BP12" s="83"/>
      <c r="BQ12" s="149">
        <v>0.01</v>
      </c>
      <c r="BR12" s="309"/>
      <c r="BS12" s="22"/>
      <c r="BT12" s="22"/>
      <c r="BU12" s="22"/>
    </row>
    <row r="13" spans="1:78" s="31" customFormat="1" ht="20.100000000000001" customHeight="1">
      <c r="A13" s="56" t="s">
        <v>187</v>
      </c>
      <c r="B13" s="44" t="s">
        <v>188</v>
      </c>
      <c r="C13" s="375">
        <f t="shared" si="12"/>
        <v>1390262</v>
      </c>
      <c r="D13" s="379">
        <f t="shared" si="13"/>
        <v>1096464</v>
      </c>
      <c r="E13" s="379">
        <v>1096464</v>
      </c>
      <c r="F13" s="379">
        <v>246264</v>
      </c>
      <c r="G13" s="376">
        <v>28483</v>
      </c>
      <c r="H13" s="705">
        <v>397</v>
      </c>
      <c r="I13" s="797">
        <f t="shared" si="3"/>
        <v>9484</v>
      </c>
      <c r="J13" s="893">
        <v>7</v>
      </c>
      <c r="K13" s="893">
        <v>2218</v>
      </c>
      <c r="L13" s="893">
        <v>4</v>
      </c>
      <c r="M13" s="893">
        <v>53</v>
      </c>
      <c r="N13" s="893">
        <v>139</v>
      </c>
      <c r="O13" s="893">
        <v>1918</v>
      </c>
      <c r="P13" s="893">
        <v>5145</v>
      </c>
      <c r="Q13" s="345">
        <v>9170</v>
      </c>
      <c r="R13" s="343">
        <v>4846</v>
      </c>
      <c r="S13" s="348">
        <v>349250</v>
      </c>
      <c r="T13" s="348">
        <v>118641</v>
      </c>
      <c r="U13" s="353">
        <v>95629</v>
      </c>
      <c r="V13" s="357">
        <v>3814</v>
      </c>
      <c r="W13" s="348">
        <v>4581</v>
      </c>
      <c r="X13" s="353">
        <v>3094</v>
      </c>
      <c r="Y13" s="610">
        <v>20</v>
      </c>
      <c r="Z13" s="609">
        <v>795</v>
      </c>
      <c r="AA13" s="609">
        <v>201</v>
      </c>
      <c r="AB13" s="353">
        <v>145</v>
      </c>
      <c r="AC13" s="357">
        <v>0</v>
      </c>
      <c r="AD13" s="348">
        <v>0</v>
      </c>
      <c r="AE13" s="353">
        <v>0</v>
      </c>
      <c r="AF13" s="350">
        <f t="shared" si="4"/>
        <v>457593</v>
      </c>
      <c r="AG13" s="358">
        <f t="shared" si="5"/>
        <v>482148</v>
      </c>
      <c r="AH13" s="352">
        <f t="shared" si="14"/>
        <v>3091338.5</v>
      </c>
      <c r="AI13" s="146">
        <v>343162.25306443777</v>
      </c>
      <c r="AJ13" s="148">
        <f t="shared" si="6"/>
        <v>1218928.5</v>
      </c>
      <c r="AK13" s="149">
        <v>1.75</v>
      </c>
      <c r="AL13" s="149">
        <v>2.15</v>
      </c>
      <c r="AM13" s="149">
        <v>2.1</v>
      </c>
      <c r="AN13" s="149">
        <v>2.4</v>
      </c>
      <c r="AO13" s="149">
        <v>2.5</v>
      </c>
      <c r="AP13" s="83"/>
      <c r="AQ13" s="143">
        <f t="shared" si="7"/>
        <v>0.75</v>
      </c>
      <c r="AR13" s="143">
        <f t="shared" si="8"/>
        <v>1.1499999999999999</v>
      </c>
      <c r="AS13" s="143">
        <f t="shared" si="8"/>
        <v>1.1000000000000001</v>
      </c>
      <c r="AT13" s="143">
        <f t="shared" si="8"/>
        <v>1.4</v>
      </c>
      <c r="AU13" s="143">
        <f t="shared" si="8"/>
        <v>1.5</v>
      </c>
      <c r="AV13" s="144">
        <f t="shared" si="0"/>
        <v>1218031.0000000002</v>
      </c>
      <c r="AW13" s="145" t="s">
        <v>188</v>
      </c>
      <c r="AX13" s="336">
        <f>+'23-İL-EMOD-Öncelikli Yaşam'!F11</f>
        <v>42908.971237176098</v>
      </c>
      <c r="AY13" s="336" t="e">
        <f>+'23-İL-EMOD-Öncelikli Yaşam'!#REF!</f>
        <v>#REF!</v>
      </c>
      <c r="AZ13" s="336" t="e">
        <f t="shared" si="9"/>
        <v>#REF!</v>
      </c>
      <c r="BA13" s="145" t="e">
        <f>+'23-İL-EMOD-Öncelikli Yaşam'!#REF!</f>
        <v>#REF!</v>
      </c>
      <c r="BB13" s="145"/>
      <c r="BC13" s="83">
        <v>84535</v>
      </c>
      <c r="BD13" s="83">
        <v>3761</v>
      </c>
      <c r="BE13" s="83">
        <v>30136</v>
      </c>
      <c r="BF13" s="83">
        <v>4356</v>
      </c>
      <c r="BG13" s="83">
        <v>72976</v>
      </c>
      <c r="BH13" s="150">
        <f t="shared" si="10"/>
        <v>195764</v>
      </c>
      <c r="BI13" s="83"/>
      <c r="BJ13" s="151">
        <v>2547.9915657269448</v>
      </c>
      <c r="BK13" s="151">
        <f t="shared" si="11"/>
        <v>2560.8602099982932</v>
      </c>
      <c r="BL13" s="83"/>
      <c r="BM13" s="83"/>
      <c r="BN13" s="83">
        <f t="shared" si="1"/>
        <v>1.3367453449611098E-2</v>
      </c>
      <c r="BO13" s="83">
        <f t="shared" si="2"/>
        <v>13.367453449611098</v>
      </c>
      <c r="BP13" s="83"/>
      <c r="BQ13" s="149">
        <v>0.01</v>
      </c>
      <c r="BR13" s="309"/>
      <c r="BS13" s="22"/>
      <c r="BT13" s="22"/>
      <c r="BU13" s="22"/>
      <c r="BZ13" s="81"/>
    </row>
    <row r="14" spans="1:78" ht="20.100000000000001" customHeight="1">
      <c r="A14" s="56" t="s">
        <v>189</v>
      </c>
      <c r="B14" s="44" t="s">
        <v>190</v>
      </c>
      <c r="C14" s="375">
        <f t="shared" si="12"/>
        <v>536323</v>
      </c>
      <c r="D14" s="379">
        <f t="shared" si="13"/>
        <v>489419</v>
      </c>
      <c r="E14" s="379">
        <v>489419</v>
      </c>
      <c r="F14" s="379">
        <v>25769</v>
      </c>
      <c r="G14" s="376">
        <v>12244</v>
      </c>
      <c r="H14" s="705">
        <v>191</v>
      </c>
      <c r="I14" s="797">
        <f t="shared" si="3"/>
        <v>8362</v>
      </c>
      <c r="J14" s="893">
        <v>17</v>
      </c>
      <c r="K14" s="893">
        <v>5079</v>
      </c>
      <c r="L14" s="893">
        <v>0</v>
      </c>
      <c r="M14" s="893">
        <v>6</v>
      </c>
      <c r="N14" s="893">
        <v>12</v>
      </c>
      <c r="O14" s="893">
        <v>39</v>
      </c>
      <c r="P14" s="893">
        <v>3209</v>
      </c>
      <c r="Q14" s="708">
        <v>338</v>
      </c>
      <c r="R14" s="343">
        <v>1680</v>
      </c>
      <c r="S14" s="348">
        <v>125462</v>
      </c>
      <c r="T14" s="348">
        <v>38068</v>
      </c>
      <c r="U14" s="353">
        <v>29292</v>
      </c>
      <c r="V14" s="357">
        <v>1417</v>
      </c>
      <c r="W14" s="348">
        <v>1648</v>
      </c>
      <c r="X14" s="353">
        <v>1093</v>
      </c>
      <c r="Y14" s="610">
        <v>19</v>
      </c>
      <c r="Z14" s="609">
        <v>703</v>
      </c>
      <c r="AA14" s="609">
        <v>163</v>
      </c>
      <c r="AB14" s="353">
        <v>130</v>
      </c>
      <c r="AC14" s="357">
        <v>0</v>
      </c>
      <c r="AD14" s="348">
        <v>0</v>
      </c>
      <c r="AE14" s="353">
        <v>0</v>
      </c>
      <c r="AF14" s="350">
        <f t="shared" si="4"/>
        <v>159796</v>
      </c>
      <c r="AG14" s="358">
        <f t="shared" si="5"/>
        <v>169160</v>
      </c>
      <c r="AH14" s="352">
        <f t="shared" si="14"/>
        <v>1304132.1600000001</v>
      </c>
      <c r="AI14" s="146">
        <v>69395.618338937405</v>
      </c>
      <c r="AJ14" s="148">
        <f t="shared" si="6"/>
        <v>598649.16000000015</v>
      </c>
      <c r="AK14" s="149">
        <v>1.87</v>
      </c>
      <c r="AL14" s="149">
        <v>2.63</v>
      </c>
      <c r="AM14" s="149">
        <v>2.3199999999999998</v>
      </c>
      <c r="AN14" s="149">
        <v>3.18</v>
      </c>
      <c r="AO14" s="149">
        <v>3.4</v>
      </c>
      <c r="AP14" s="83"/>
      <c r="AQ14" s="143">
        <f t="shared" si="7"/>
        <v>0.87000000000000011</v>
      </c>
      <c r="AR14" s="143">
        <f t="shared" si="8"/>
        <v>1.63</v>
      </c>
      <c r="AS14" s="143">
        <f t="shared" si="8"/>
        <v>1.3199999999999998</v>
      </c>
      <c r="AT14" s="143">
        <f t="shared" si="8"/>
        <v>2.1800000000000002</v>
      </c>
      <c r="AU14" s="143">
        <f t="shared" si="8"/>
        <v>2.4</v>
      </c>
      <c r="AV14" s="144">
        <f t="shared" si="0"/>
        <v>597690.2300000001</v>
      </c>
      <c r="AW14" s="145" t="s">
        <v>190</v>
      </c>
      <c r="AX14" s="336">
        <f>+'23-İL-EMOD-Öncelikli Yaşam'!F12</f>
        <v>32898.020415072329</v>
      </c>
      <c r="AY14" s="336" t="e">
        <f>+'23-İL-EMOD-Öncelikli Yaşam'!#REF!</f>
        <v>#REF!</v>
      </c>
      <c r="AZ14" s="336" t="e">
        <f t="shared" si="9"/>
        <v>#REF!</v>
      </c>
      <c r="BA14" s="145" t="e">
        <f>+'23-İL-EMOD-Öncelikli Yaşam'!#REF!</f>
        <v>#REF!</v>
      </c>
      <c r="BB14" s="145"/>
      <c r="BC14" s="83">
        <v>21601</v>
      </c>
      <c r="BD14" s="83">
        <v>1288</v>
      </c>
      <c r="BE14" s="83">
        <v>12191</v>
      </c>
      <c r="BF14" s="83">
        <v>1428</v>
      </c>
      <c r="BG14" s="83">
        <v>11881</v>
      </c>
      <c r="BH14" s="150">
        <f t="shared" si="10"/>
        <v>48389</v>
      </c>
      <c r="BI14" s="83"/>
      <c r="BJ14" s="151">
        <v>9165.8090636311572</v>
      </c>
      <c r="BK14" s="151">
        <f t="shared" si="11"/>
        <v>9212.1010285989923</v>
      </c>
      <c r="BL14" s="83"/>
      <c r="BM14" s="83"/>
      <c r="BN14" s="83">
        <f t="shared" si="1"/>
        <v>6.4311929694602513E-3</v>
      </c>
      <c r="BO14" s="83">
        <f t="shared" si="2"/>
        <v>6.431192969460251</v>
      </c>
      <c r="BP14" s="83"/>
      <c r="BQ14" s="149">
        <v>0.01</v>
      </c>
      <c r="BR14" s="309"/>
      <c r="BS14" s="22"/>
      <c r="BT14" s="22"/>
      <c r="BU14" s="22"/>
    </row>
    <row r="15" spans="1:78" ht="20.100000000000001" customHeight="1">
      <c r="A15" s="56" t="s">
        <v>643</v>
      </c>
      <c r="B15" s="44" t="s">
        <v>644</v>
      </c>
      <c r="C15" s="375">
        <f t="shared" si="12"/>
        <v>28201</v>
      </c>
      <c r="D15" s="379">
        <f t="shared" si="13"/>
        <v>24847</v>
      </c>
      <c r="E15" s="379">
        <v>24847</v>
      </c>
      <c r="F15" s="379">
        <v>1407</v>
      </c>
      <c r="G15" s="705">
        <v>1133</v>
      </c>
      <c r="H15" s="705">
        <v>1</v>
      </c>
      <c r="I15" s="797">
        <f t="shared" si="3"/>
        <v>813</v>
      </c>
      <c r="J15" s="893">
        <v>1</v>
      </c>
      <c r="K15" s="893">
        <v>774</v>
      </c>
      <c r="L15" s="893">
        <v>0</v>
      </c>
      <c r="M15" s="893">
        <v>0</v>
      </c>
      <c r="N15" s="893">
        <v>0</v>
      </c>
      <c r="O15" s="893">
        <v>0</v>
      </c>
      <c r="P15" s="893">
        <v>38</v>
      </c>
      <c r="Q15" s="377">
        <v>0</v>
      </c>
      <c r="R15" s="343">
        <v>197</v>
      </c>
      <c r="S15" s="348">
        <v>14317</v>
      </c>
      <c r="T15" s="348">
        <v>7480</v>
      </c>
      <c r="U15" s="353">
        <v>6282</v>
      </c>
      <c r="V15" s="610">
        <v>121</v>
      </c>
      <c r="W15" s="609">
        <v>275</v>
      </c>
      <c r="X15" s="605">
        <v>178</v>
      </c>
      <c r="Y15" s="354">
        <v>0</v>
      </c>
      <c r="Z15" s="609">
        <v>24</v>
      </c>
      <c r="AA15" s="609">
        <v>9</v>
      </c>
      <c r="AB15" s="353">
        <v>8</v>
      </c>
      <c r="AC15" s="357">
        <v>0</v>
      </c>
      <c r="AD15" s="348">
        <v>0</v>
      </c>
      <c r="AE15" s="353">
        <v>0</v>
      </c>
      <c r="AF15" s="350">
        <f t="shared" si="4"/>
        <v>21127</v>
      </c>
      <c r="AG15" s="351">
        <f t="shared" si="5"/>
        <v>22423</v>
      </c>
      <c r="AH15" s="352">
        <f t="shared" si="14"/>
        <v>82686.75</v>
      </c>
      <c r="AI15" s="146">
        <v>1771.1909883226617</v>
      </c>
      <c r="AJ15" s="148">
        <f t="shared" si="6"/>
        <v>32062.75</v>
      </c>
      <c r="AK15" s="149">
        <v>1.7</v>
      </c>
      <c r="AL15" s="149">
        <v>2.0499999999999998</v>
      </c>
      <c r="AM15" s="149">
        <v>2</v>
      </c>
      <c r="AN15" s="149">
        <v>2</v>
      </c>
      <c r="AO15" s="149">
        <v>2</v>
      </c>
      <c r="AP15" s="83"/>
      <c r="AQ15" s="143">
        <f t="shared" si="7"/>
        <v>0.7</v>
      </c>
      <c r="AR15" s="143">
        <f t="shared" si="8"/>
        <v>1.0499999999999998</v>
      </c>
      <c r="AS15" s="143">
        <f t="shared" si="8"/>
        <v>1</v>
      </c>
      <c r="AT15" s="143">
        <f t="shared" si="8"/>
        <v>1</v>
      </c>
      <c r="AU15" s="143">
        <f t="shared" si="8"/>
        <v>1</v>
      </c>
      <c r="AV15" s="144">
        <f t="shared" si="0"/>
        <v>32038.749999999996</v>
      </c>
      <c r="AW15" s="145" t="s">
        <v>644</v>
      </c>
      <c r="AX15" s="336">
        <f>+'23-İL-EMOD-Öncelikli Yaşam'!F13</f>
        <v>10396.456552254094</v>
      </c>
      <c r="AY15" s="336" t="e">
        <f>+'23-İL-EMOD-Öncelikli Yaşam'!#REF!</f>
        <v>#REF!</v>
      </c>
      <c r="AZ15" s="336" t="e">
        <f t="shared" si="9"/>
        <v>#REF!</v>
      </c>
      <c r="BA15" s="145" t="e">
        <f>+'23-İL-EMOD-Öncelikli Yaşam'!#REF!</f>
        <v>#REF!</v>
      </c>
      <c r="BB15" s="145"/>
      <c r="BC15" s="83">
        <v>6409</v>
      </c>
      <c r="BD15" s="83">
        <v>233</v>
      </c>
      <c r="BE15" s="83">
        <v>2039</v>
      </c>
      <c r="BF15" s="83">
        <v>335</v>
      </c>
      <c r="BG15" s="83">
        <v>1453</v>
      </c>
      <c r="BH15" s="150">
        <f t="shared" si="10"/>
        <v>10469</v>
      </c>
      <c r="BI15" s="83"/>
      <c r="BJ15" s="151">
        <v>22.147277682229237</v>
      </c>
      <c r="BK15" s="151">
        <f t="shared" si="11"/>
        <v>22.259132620018274</v>
      </c>
      <c r="BL15" s="83"/>
      <c r="BM15" s="83"/>
      <c r="BN15" s="83">
        <f t="shared" si="1"/>
        <v>3.367116737937304E-5</v>
      </c>
      <c r="BO15" s="83">
        <f t="shared" si="2"/>
        <v>3.3671167379373042E-2</v>
      </c>
      <c r="BP15" s="83"/>
      <c r="BQ15" s="149">
        <v>0.01</v>
      </c>
      <c r="BR15" s="309"/>
      <c r="BS15" s="22"/>
      <c r="BT15" s="22"/>
      <c r="BU15" s="22"/>
    </row>
    <row r="16" spans="1:78" ht="20.100000000000001" customHeight="1">
      <c r="A16" s="56" t="s">
        <v>645</v>
      </c>
      <c r="B16" s="44" t="s">
        <v>476</v>
      </c>
      <c r="C16" s="375">
        <f t="shared" si="12"/>
        <v>180649</v>
      </c>
      <c r="D16" s="379">
        <f t="shared" si="13"/>
        <v>156900</v>
      </c>
      <c r="E16" s="379">
        <v>156900</v>
      </c>
      <c r="F16" s="379">
        <v>10520</v>
      </c>
      <c r="G16" s="376">
        <v>5278</v>
      </c>
      <c r="H16" s="705">
        <v>478</v>
      </c>
      <c r="I16" s="797">
        <f t="shared" si="3"/>
        <v>7473</v>
      </c>
      <c r="J16" s="893">
        <v>4</v>
      </c>
      <c r="K16" s="893">
        <v>7046</v>
      </c>
      <c r="L16" s="893">
        <v>0</v>
      </c>
      <c r="M16" s="893">
        <v>0</v>
      </c>
      <c r="N16" s="893">
        <v>1</v>
      </c>
      <c r="O16" s="893">
        <v>3</v>
      </c>
      <c r="P16" s="893">
        <v>419</v>
      </c>
      <c r="Q16" s="377">
        <v>0</v>
      </c>
      <c r="R16" s="343">
        <v>1082</v>
      </c>
      <c r="S16" s="348">
        <v>77079</v>
      </c>
      <c r="T16" s="348">
        <v>26697</v>
      </c>
      <c r="U16" s="353">
        <v>22080</v>
      </c>
      <c r="V16" s="610">
        <v>795</v>
      </c>
      <c r="W16" s="609">
        <v>880</v>
      </c>
      <c r="X16" s="605">
        <v>592</v>
      </c>
      <c r="Y16" s="610">
        <v>41</v>
      </c>
      <c r="Z16" s="348">
        <v>1841</v>
      </c>
      <c r="AA16" s="609">
        <v>378</v>
      </c>
      <c r="AB16" s="353">
        <v>330</v>
      </c>
      <c r="AC16" s="357">
        <v>0</v>
      </c>
      <c r="AD16" s="609">
        <v>1</v>
      </c>
      <c r="AE16" s="353">
        <v>1</v>
      </c>
      <c r="AF16" s="350">
        <f t="shared" si="4"/>
        <v>103841</v>
      </c>
      <c r="AG16" s="351">
        <f t="shared" si="5"/>
        <v>108794</v>
      </c>
      <c r="AH16" s="352">
        <f t="shared" si="14"/>
        <v>497465.19</v>
      </c>
      <c r="AI16" s="146">
        <v>9177.2062969366089</v>
      </c>
      <c r="AJ16" s="148">
        <f t="shared" si="6"/>
        <v>208022.19</v>
      </c>
      <c r="AK16" s="149">
        <v>1.55</v>
      </c>
      <c r="AL16" s="149">
        <v>2.2799999999999998</v>
      </c>
      <c r="AM16" s="149">
        <v>2.5</v>
      </c>
      <c r="AN16" s="149">
        <v>2.35</v>
      </c>
      <c r="AO16" s="149">
        <v>2.75</v>
      </c>
      <c r="AP16" s="83"/>
      <c r="AQ16" s="143">
        <f t="shared" si="7"/>
        <v>0.55000000000000004</v>
      </c>
      <c r="AR16" s="143">
        <f t="shared" si="8"/>
        <v>1.2799999999999998</v>
      </c>
      <c r="AS16" s="143">
        <f t="shared" si="8"/>
        <v>1.5</v>
      </c>
      <c r="AT16" s="143">
        <f t="shared" si="8"/>
        <v>1.35</v>
      </c>
      <c r="AU16" s="143">
        <f t="shared" si="8"/>
        <v>1.75</v>
      </c>
      <c r="AV16" s="144">
        <f t="shared" si="0"/>
        <v>205208.21000000002</v>
      </c>
      <c r="AW16" s="145" t="s">
        <v>476</v>
      </c>
      <c r="AX16" s="336">
        <f>+'23-İL-EMOD-Öncelikli Yaşam'!F14</f>
        <v>2972.1093422933482</v>
      </c>
      <c r="AY16" s="336" t="e">
        <f>+'23-İL-EMOD-Öncelikli Yaşam'!#REF!</f>
        <v>#REF!</v>
      </c>
      <c r="AZ16" s="336" t="e">
        <f t="shared" si="9"/>
        <v>#REF!</v>
      </c>
      <c r="BA16" s="145" t="e">
        <f>+'23-İL-EMOD-Öncelikli Yaşam'!#REF!</f>
        <v>#REF!</v>
      </c>
      <c r="BB16" s="145"/>
      <c r="BC16" s="83">
        <v>19466</v>
      </c>
      <c r="BD16" s="83">
        <v>746</v>
      </c>
      <c r="BE16" s="83">
        <v>11347</v>
      </c>
      <c r="BF16" s="83">
        <v>2706</v>
      </c>
      <c r="BG16" s="83">
        <v>6747</v>
      </c>
      <c r="BH16" s="150">
        <f t="shared" si="10"/>
        <v>41012</v>
      </c>
      <c r="BI16" s="83"/>
      <c r="BJ16" s="151">
        <v>3760.8186768966416</v>
      </c>
      <c r="BK16" s="151">
        <f t="shared" si="11"/>
        <v>3779.812710618342</v>
      </c>
      <c r="BL16" s="83"/>
      <c r="BM16" s="83"/>
      <c r="BN16" s="83">
        <f t="shared" si="1"/>
        <v>1.6094818007340316E-2</v>
      </c>
      <c r="BO16" s="83">
        <f t="shared" si="2"/>
        <v>16.094818007340315</v>
      </c>
      <c r="BP16" s="83"/>
      <c r="BQ16" s="149">
        <v>0.01</v>
      </c>
      <c r="BR16" s="309"/>
      <c r="BS16" s="22"/>
      <c r="BT16" s="22"/>
      <c r="BU16" s="22"/>
    </row>
    <row r="17" spans="1:73" ht="20.100000000000001" customHeight="1">
      <c r="A17" s="57">
        <f t="shared" ref="A17:A71" si="15">+A16+1</f>
        <v>10</v>
      </c>
      <c r="B17" s="44" t="s">
        <v>405</v>
      </c>
      <c r="C17" s="375">
        <f t="shared" si="12"/>
        <v>196603</v>
      </c>
      <c r="D17" s="379">
        <f t="shared" si="13"/>
        <v>165607</v>
      </c>
      <c r="E17" s="379">
        <v>165607</v>
      </c>
      <c r="F17" s="379">
        <v>14808</v>
      </c>
      <c r="G17" s="376">
        <v>5424</v>
      </c>
      <c r="H17" s="780">
        <v>166</v>
      </c>
      <c r="I17" s="797">
        <f t="shared" si="3"/>
        <v>10598</v>
      </c>
      <c r="J17" s="893">
        <v>15</v>
      </c>
      <c r="K17" s="893">
        <v>10055</v>
      </c>
      <c r="L17" s="893">
        <v>0</v>
      </c>
      <c r="M17" s="893">
        <v>0</v>
      </c>
      <c r="N17" s="893">
        <v>3</v>
      </c>
      <c r="O17" s="893">
        <v>97</v>
      </c>
      <c r="P17" s="893">
        <v>428</v>
      </c>
      <c r="Q17" s="377">
        <v>0</v>
      </c>
      <c r="R17" s="343">
        <v>1178</v>
      </c>
      <c r="S17" s="348">
        <v>104429</v>
      </c>
      <c r="T17" s="348">
        <v>35701</v>
      </c>
      <c r="U17" s="353">
        <v>30547</v>
      </c>
      <c r="V17" s="610">
        <v>994</v>
      </c>
      <c r="W17" s="348">
        <v>1301</v>
      </c>
      <c r="X17" s="605">
        <v>853</v>
      </c>
      <c r="Y17" s="610">
        <v>16</v>
      </c>
      <c r="Z17" s="348">
        <v>1133</v>
      </c>
      <c r="AA17" s="609">
        <v>172</v>
      </c>
      <c r="AB17" s="353">
        <v>153</v>
      </c>
      <c r="AC17" s="357">
        <v>0</v>
      </c>
      <c r="AD17" s="609">
        <v>4</v>
      </c>
      <c r="AE17" s="353">
        <v>2</v>
      </c>
      <c r="AF17" s="350">
        <f t="shared" si="4"/>
        <v>139305</v>
      </c>
      <c r="AG17" s="351">
        <f t="shared" si="5"/>
        <v>144928</v>
      </c>
      <c r="AH17" s="352">
        <f t="shared" si="14"/>
        <v>566499.14000000013</v>
      </c>
      <c r="AI17" s="146">
        <v>1261.564455981832</v>
      </c>
      <c r="AJ17" s="148">
        <f t="shared" si="6"/>
        <v>224968.14000000013</v>
      </c>
      <c r="AK17" s="149">
        <v>1.48</v>
      </c>
      <c r="AL17" s="149">
        <v>2.3199999999999998</v>
      </c>
      <c r="AM17" s="149">
        <v>2.35</v>
      </c>
      <c r="AN17" s="149">
        <v>2.2000000000000002</v>
      </c>
      <c r="AO17" s="149">
        <v>2.2000000000000002</v>
      </c>
      <c r="AP17" s="83"/>
      <c r="AQ17" s="143">
        <f t="shared" si="7"/>
        <v>0.48</v>
      </c>
      <c r="AR17" s="143">
        <f t="shared" si="8"/>
        <v>1.3199999999999998</v>
      </c>
      <c r="AS17" s="143">
        <f t="shared" si="8"/>
        <v>1.35</v>
      </c>
      <c r="AT17" s="143">
        <f t="shared" si="8"/>
        <v>1.2000000000000002</v>
      </c>
      <c r="AU17" s="143">
        <f t="shared" si="8"/>
        <v>1.2000000000000002</v>
      </c>
      <c r="AV17" s="144">
        <f t="shared" si="0"/>
        <v>223417.47000000003</v>
      </c>
      <c r="AW17" s="145" t="s">
        <v>405</v>
      </c>
      <c r="AX17" s="336">
        <f>+'23-İL-EMOD-Öncelikli Yaşam'!F15</f>
        <v>6580.7637247643434</v>
      </c>
      <c r="AY17" s="336" t="e">
        <f>+'23-İL-EMOD-Öncelikli Yaşam'!#REF!</f>
        <v>#REF!</v>
      </c>
      <c r="AZ17" s="336" t="e">
        <f t="shared" si="9"/>
        <v>#REF!</v>
      </c>
      <c r="BA17" s="145" t="e">
        <f>+'23-İL-EMOD-Öncelikli Yaşam'!#REF!</f>
        <v>#REF!</v>
      </c>
      <c r="BB17" s="145"/>
      <c r="BC17" s="83">
        <v>25006</v>
      </c>
      <c r="BD17" s="83">
        <v>1045</v>
      </c>
      <c r="BE17" s="83">
        <v>14215</v>
      </c>
      <c r="BF17" s="83">
        <v>2199</v>
      </c>
      <c r="BG17" s="83">
        <v>11181</v>
      </c>
      <c r="BH17" s="150">
        <f t="shared" si="10"/>
        <v>53646</v>
      </c>
      <c r="BI17" s="83"/>
      <c r="BJ17" s="151">
        <v>1273.9957828634724</v>
      </c>
      <c r="BK17" s="151">
        <f t="shared" si="11"/>
        <v>1280.4301049991466</v>
      </c>
      <c r="BL17" s="83"/>
      <c r="BM17" s="83"/>
      <c r="BN17" s="83">
        <f t="shared" si="1"/>
        <v>5.5894137849759251E-3</v>
      </c>
      <c r="BO17" s="83">
        <f t="shared" si="2"/>
        <v>5.5894137849759247</v>
      </c>
      <c r="BP17" s="83"/>
      <c r="BQ17" s="149">
        <v>0.01</v>
      </c>
      <c r="BR17" s="309"/>
      <c r="BS17" s="22"/>
      <c r="BT17" s="22"/>
      <c r="BU17" s="22"/>
    </row>
    <row r="18" spans="1:73" ht="20.100000000000001" customHeight="1">
      <c r="A18" s="57">
        <f t="shared" si="15"/>
        <v>11</v>
      </c>
      <c r="B18" s="44" t="s">
        <v>406</v>
      </c>
      <c r="C18" s="375">
        <f t="shared" si="12"/>
        <v>48213</v>
      </c>
      <c r="D18" s="379">
        <f t="shared" si="13"/>
        <v>43238</v>
      </c>
      <c r="E18" s="379">
        <v>43238</v>
      </c>
      <c r="F18" s="379">
        <v>3268</v>
      </c>
      <c r="G18" s="376">
        <v>1045</v>
      </c>
      <c r="H18" s="705">
        <v>92</v>
      </c>
      <c r="I18" s="797">
        <f t="shared" si="3"/>
        <v>570</v>
      </c>
      <c r="J18" s="893">
        <v>3</v>
      </c>
      <c r="K18" s="894">
        <v>553</v>
      </c>
      <c r="L18" s="894">
        <v>0</v>
      </c>
      <c r="M18" s="894">
        <v>0</v>
      </c>
      <c r="N18" s="894">
        <v>0</v>
      </c>
      <c r="O18" s="894">
        <v>0</v>
      </c>
      <c r="P18" s="894">
        <v>14</v>
      </c>
      <c r="Q18" s="377">
        <v>0</v>
      </c>
      <c r="R18" s="343">
        <v>254</v>
      </c>
      <c r="S18" s="348">
        <v>19262</v>
      </c>
      <c r="T18" s="348">
        <v>6145</v>
      </c>
      <c r="U18" s="353">
        <v>5235</v>
      </c>
      <c r="V18" s="610">
        <v>335</v>
      </c>
      <c r="W18" s="609">
        <v>227</v>
      </c>
      <c r="X18" s="605">
        <v>162</v>
      </c>
      <c r="Y18" s="610">
        <v>2</v>
      </c>
      <c r="Z18" s="609">
        <v>148</v>
      </c>
      <c r="AA18" s="609">
        <v>36</v>
      </c>
      <c r="AB18" s="353">
        <v>22</v>
      </c>
      <c r="AC18" s="357">
        <v>0</v>
      </c>
      <c r="AD18" s="348">
        <v>0</v>
      </c>
      <c r="AE18" s="353">
        <v>0</v>
      </c>
      <c r="AF18" s="350">
        <f t="shared" si="4"/>
        <v>25420</v>
      </c>
      <c r="AG18" s="351">
        <f t="shared" si="5"/>
        <v>26409</v>
      </c>
      <c r="AH18" s="352">
        <f t="shared" si="14"/>
        <v>135791.39999999997</v>
      </c>
      <c r="AI18" s="146">
        <v>1480.5879142794292</v>
      </c>
      <c r="AJ18" s="148">
        <f t="shared" si="6"/>
        <v>61169.399999999965</v>
      </c>
      <c r="AK18" s="149">
        <v>1.9</v>
      </c>
      <c r="AL18" s="149">
        <v>2.02</v>
      </c>
      <c r="AM18" s="149">
        <v>2.09</v>
      </c>
      <c r="AN18" s="149">
        <v>2.98</v>
      </c>
      <c r="AO18" s="149">
        <v>2.89</v>
      </c>
      <c r="AP18" s="83"/>
      <c r="AQ18" s="143">
        <f t="shared" si="7"/>
        <v>0.89999999999999991</v>
      </c>
      <c r="AR18" s="143">
        <f t="shared" si="8"/>
        <v>1.02</v>
      </c>
      <c r="AS18" s="143">
        <f t="shared" si="8"/>
        <v>1.0899999999999999</v>
      </c>
      <c r="AT18" s="143">
        <f t="shared" si="8"/>
        <v>1.98</v>
      </c>
      <c r="AU18" s="143">
        <f t="shared" si="8"/>
        <v>1.8900000000000001</v>
      </c>
      <c r="AV18" s="144">
        <f t="shared" si="0"/>
        <v>61006.039999999994</v>
      </c>
      <c r="AW18" s="145" t="s">
        <v>406</v>
      </c>
      <c r="AX18" s="336">
        <f>+'23-İL-EMOD-Öncelikli Yaşam'!F16</f>
        <v>4042.1760066846618</v>
      </c>
      <c r="AY18" s="336" t="e">
        <f>+'23-İL-EMOD-Öncelikli Yaşam'!#REF!</f>
        <v>#REF!</v>
      </c>
      <c r="AZ18" s="336" t="e">
        <f t="shared" si="9"/>
        <v>#REF!</v>
      </c>
      <c r="BA18" s="145" t="e">
        <f>+'23-İL-EMOD-Öncelikli Yaşam'!#REF!</f>
        <v>#REF!</v>
      </c>
      <c r="BB18" s="145"/>
      <c r="BC18" s="83">
        <v>4501</v>
      </c>
      <c r="BD18" s="83">
        <v>211</v>
      </c>
      <c r="BE18" s="83">
        <v>2153</v>
      </c>
      <c r="BF18" s="83">
        <v>597</v>
      </c>
      <c r="BG18" s="83">
        <v>1611</v>
      </c>
      <c r="BH18" s="150">
        <f t="shared" si="10"/>
        <v>9073</v>
      </c>
      <c r="BI18" s="83"/>
      <c r="BJ18" s="151">
        <v>963.93389531226308</v>
      </c>
      <c r="BK18" s="151">
        <f t="shared" si="11"/>
        <v>968.80224831889075</v>
      </c>
      <c r="BL18" s="83"/>
      <c r="BM18" s="83"/>
      <c r="BN18" s="83">
        <f t="shared" si="1"/>
        <v>3.0977473989023201E-3</v>
      </c>
      <c r="BO18" s="83">
        <f t="shared" si="2"/>
        <v>3.0977473989023201</v>
      </c>
      <c r="BP18" s="83"/>
      <c r="BQ18" s="149">
        <v>0.01</v>
      </c>
      <c r="BR18" s="309"/>
      <c r="BS18" s="22"/>
      <c r="BT18" s="22"/>
      <c r="BU18" s="22"/>
    </row>
    <row r="19" spans="1:73" ht="20.100000000000001" customHeight="1">
      <c r="A19" s="57">
        <f t="shared" si="15"/>
        <v>12</v>
      </c>
      <c r="B19" s="44" t="s">
        <v>407</v>
      </c>
      <c r="C19" s="375">
        <f t="shared" si="12"/>
        <v>33074</v>
      </c>
      <c r="D19" s="379">
        <f t="shared" si="13"/>
        <v>28732</v>
      </c>
      <c r="E19" s="379">
        <v>28732</v>
      </c>
      <c r="F19" s="379">
        <v>3784</v>
      </c>
      <c r="G19" s="705">
        <v>475</v>
      </c>
      <c r="H19" s="706">
        <v>1</v>
      </c>
      <c r="I19" s="797">
        <f t="shared" si="3"/>
        <v>81</v>
      </c>
      <c r="J19" s="893">
        <v>0</v>
      </c>
      <c r="K19" s="894">
        <v>76</v>
      </c>
      <c r="L19" s="894">
        <v>0</v>
      </c>
      <c r="M19" s="894">
        <v>0</v>
      </c>
      <c r="N19" s="894">
        <v>0</v>
      </c>
      <c r="O19" s="894">
        <v>3</v>
      </c>
      <c r="P19" s="894">
        <v>2</v>
      </c>
      <c r="Q19" s="353">
        <v>1</v>
      </c>
      <c r="R19" s="343">
        <v>123</v>
      </c>
      <c r="S19" s="348">
        <v>3529</v>
      </c>
      <c r="T19" s="348">
        <v>2739</v>
      </c>
      <c r="U19" s="353">
        <v>1560</v>
      </c>
      <c r="V19" s="610">
        <v>91</v>
      </c>
      <c r="W19" s="609">
        <v>297</v>
      </c>
      <c r="X19" s="605">
        <v>127</v>
      </c>
      <c r="Y19" s="354">
        <v>0</v>
      </c>
      <c r="Z19" s="609">
        <v>2</v>
      </c>
      <c r="AA19" s="609">
        <v>1</v>
      </c>
      <c r="AB19" s="353">
        <v>1</v>
      </c>
      <c r="AC19" s="357">
        <v>0</v>
      </c>
      <c r="AD19" s="348">
        <v>0</v>
      </c>
      <c r="AE19" s="353">
        <v>0</v>
      </c>
      <c r="AF19" s="350">
        <f t="shared" si="4"/>
        <v>5433</v>
      </c>
      <c r="AG19" s="351">
        <f t="shared" si="5"/>
        <v>6782</v>
      </c>
      <c r="AH19" s="352">
        <f t="shared" si="14"/>
        <v>80112.570000000007</v>
      </c>
      <c r="AI19" s="146">
        <v>2551.0522969791491</v>
      </c>
      <c r="AJ19" s="148">
        <f t="shared" si="6"/>
        <v>40256.570000000007</v>
      </c>
      <c r="AK19" s="149">
        <v>2</v>
      </c>
      <c r="AL19" s="149">
        <v>3.2</v>
      </c>
      <c r="AM19" s="149">
        <v>4.0999999999999996</v>
      </c>
      <c r="AN19" s="149">
        <v>4.3499999999999996</v>
      </c>
      <c r="AO19" s="149">
        <v>4.0199999999999996</v>
      </c>
      <c r="AP19" s="83"/>
      <c r="AQ19" s="143">
        <f t="shared" si="7"/>
        <v>1</v>
      </c>
      <c r="AR19" s="143">
        <f t="shared" si="8"/>
        <v>2.2000000000000002</v>
      </c>
      <c r="AS19" s="143">
        <f t="shared" si="8"/>
        <v>3.0999999999999996</v>
      </c>
      <c r="AT19" s="143">
        <f t="shared" si="8"/>
        <v>3.3499999999999996</v>
      </c>
      <c r="AU19" s="143">
        <f t="shared" si="8"/>
        <v>3.0199999999999996</v>
      </c>
      <c r="AV19" s="144">
        <f t="shared" si="0"/>
        <v>40250.369999999995</v>
      </c>
      <c r="AW19" s="145" t="s">
        <v>407</v>
      </c>
      <c r="AX19" s="336">
        <f>+'23-İL-EMOD-Öncelikli Yaşam'!F17</f>
        <v>12977.37789129687</v>
      </c>
      <c r="AY19" s="336" t="e">
        <f>+'23-İL-EMOD-Öncelikli Yaşam'!#REF!</f>
        <v>#REF!</v>
      </c>
      <c r="AZ19" s="336" t="e">
        <f t="shared" si="9"/>
        <v>#REF!</v>
      </c>
      <c r="BA19" s="145" t="e">
        <f>+'23-İL-EMOD-Öncelikli Yaşam'!#REF!</f>
        <v>#REF!</v>
      </c>
      <c r="BB19" s="145"/>
      <c r="BC19" s="83">
        <v>2051</v>
      </c>
      <c r="BD19" s="83">
        <v>180</v>
      </c>
      <c r="BE19" s="83">
        <v>2060</v>
      </c>
      <c r="BF19" s="83">
        <v>15</v>
      </c>
      <c r="BG19" s="83">
        <v>1087</v>
      </c>
      <c r="BH19" s="150">
        <f t="shared" si="10"/>
        <v>5393</v>
      </c>
      <c r="BI19" s="83"/>
      <c r="BJ19" s="151">
        <v>8.4370581646587546</v>
      </c>
      <c r="BK19" s="151">
        <f t="shared" si="11"/>
        <v>8.4796695695307687</v>
      </c>
      <c r="BL19" s="83"/>
      <c r="BM19" s="83"/>
      <c r="BN19" s="83">
        <f t="shared" si="1"/>
        <v>3.367116737937304E-5</v>
      </c>
      <c r="BO19" s="83">
        <f t="shared" si="2"/>
        <v>3.3671167379373042E-2</v>
      </c>
      <c r="BP19" s="83"/>
      <c r="BQ19" s="149">
        <v>0.01</v>
      </c>
      <c r="BR19" s="309"/>
      <c r="BS19" s="22"/>
      <c r="BT19" s="22"/>
      <c r="BU19" s="22"/>
    </row>
    <row r="20" spans="1:73" ht="20.100000000000001" customHeight="1">
      <c r="A20" s="57">
        <f t="shared" si="15"/>
        <v>13</v>
      </c>
      <c r="B20" s="44" t="s">
        <v>408</v>
      </c>
      <c r="C20" s="375">
        <f t="shared" si="12"/>
        <v>27193</v>
      </c>
      <c r="D20" s="379">
        <f t="shared" si="13"/>
        <v>22505</v>
      </c>
      <c r="E20" s="379">
        <v>22505</v>
      </c>
      <c r="F20" s="379">
        <v>3534</v>
      </c>
      <c r="G20" s="376">
        <v>1098</v>
      </c>
      <c r="H20" s="379">
        <v>0</v>
      </c>
      <c r="I20" s="797">
        <f t="shared" si="3"/>
        <v>56</v>
      </c>
      <c r="J20" s="893">
        <v>0</v>
      </c>
      <c r="K20" s="894">
        <v>56</v>
      </c>
      <c r="L20" s="894">
        <v>0</v>
      </c>
      <c r="M20" s="894">
        <v>0</v>
      </c>
      <c r="N20" s="894">
        <v>0</v>
      </c>
      <c r="O20" s="894">
        <v>0</v>
      </c>
      <c r="P20" s="894">
        <v>0</v>
      </c>
      <c r="Q20" s="605">
        <v>0</v>
      </c>
      <c r="R20" s="343">
        <v>81</v>
      </c>
      <c r="S20" s="348">
        <v>3210</v>
      </c>
      <c r="T20" s="348">
        <v>2452</v>
      </c>
      <c r="U20" s="353">
        <v>1405</v>
      </c>
      <c r="V20" s="610">
        <v>100</v>
      </c>
      <c r="W20" s="609">
        <v>289</v>
      </c>
      <c r="X20" s="605">
        <v>134</v>
      </c>
      <c r="Y20" s="354">
        <v>0</v>
      </c>
      <c r="Z20" s="609">
        <v>1</v>
      </c>
      <c r="AA20" s="609">
        <v>4</v>
      </c>
      <c r="AB20" s="353">
        <v>0</v>
      </c>
      <c r="AC20" s="357">
        <v>0</v>
      </c>
      <c r="AD20" s="348">
        <v>0</v>
      </c>
      <c r="AE20" s="353">
        <v>0</v>
      </c>
      <c r="AF20" s="350">
        <f t="shared" si="4"/>
        <v>4931</v>
      </c>
      <c r="AG20" s="351">
        <f t="shared" si="5"/>
        <v>6137</v>
      </c>
      <c r="AH20" s="352">
        <f t="shared" si="14"/>
        <v>82335.28</v>
      </c>
      <c r="AI20" s="146">
        <v>7912.3298542728298</v>
      </c>
      <c r="AJ20" s="148">
        <f t="shared" si="6"/>
        <v>49005.279999999999</v>
      </c>
      <c r="AK20" s="149">
        <v>2.85</v>
      </c>
      <c r="AL20" s="149">
        <v>3.05</v>
      </c>
      <c r="AM20" s="149">
        <v>3.18</v>
      </c>
      <c r="AN20" s="149">
        <v>3.05</v>
      </c>
      <c r="AO20" s="149">
        <v>3.05</v>
      </c>
      <c r="AP20" s="83"/>
      <c r="AQ20" s="143">
        <f t="shared" si="7"/>
        <v>1.85</v>
      </c>
      <c r="AR20" s="143">
        <f t="shared" si="8"/>
        <v>2.0499999999999998</v>
      </c>
      <c r="AS20" s="143">
        <f t="shared" si="8"/>
        <v>2.1800000000000002</v>
      </c>
      <c r="AT20" s="143">
        <f t="shared" si="8"/>
        <v>2.0499999999999998</v>
      </c>
      <c r="AU20" s="143">
        <f t="shared" si="8"/>
        <v>2.0499999999999998</v>
      </c>
      <c r="AV20" s="144">
        <f t="shared" si="0"/>
        <v>49003.100000000006</v>
      </c>
      <c r="AW20" s="145" t="s">
        <v>408</v>
      </c>
      <c r="AX20" s="336">
        <f>+'23-İL-EMOD-Öncelikli Yaşam'!F18</f>
        <v>26710.513549434021</v>
      </c>
      <c r="AY20" s="336" t="e">
        <f>+'23-İL-EMOD-Öncelikli Yaşam'!#REF!</f>
        <v>#REF!</v>
      </c>
      <c r="AZ20" s="336" t="e">
        <f t="shared" si="9"/>
        <v>#REF!</v>
      </c>
      <c r="BA20" s="145" t="e">
        <f>+'23-İL-EMOD-Öncelikli Yaşam'!#REF!</f>
        <v>#REF!</v>
      </c>
      <c r="BB20" s="145"/>
      <c r="BC20" s="83">
        <v>1711</v>
      </c>
      <c r="BD20" s="83">
        <v>244</v>
      </c>
      <c r="BE20" s="83">
        <v>2344</v>
      </c>
      <c r="BF20" s="83">
        <v>213</v>
      </c>
      <c r="BG20" s="83">
        <v>1182</v>
      </c>
      <c r="BH20" s="150">
        <f t="shared" si="10"/>
        <v>5694</v>
      </c>
      <c r="BI20" s="83"/>
      <c r="BJ20" s="151">
        <v>0</v>
      </c>
      <c r="BK20" s="151">
        <f t="shared" si="11"/>
        <v>0</v>
      </c>
      <c r="BL20" s="83"/>
      <c r="BM20" s="83"/>
      <c r="BN20" s="83">
        <f t="shared" si="1"/>
        <v>0</v>
      </c>
      <c r="BO20" s="83">
        <f t="shared" si="2"/>
        <v>0</v>
      </c>
      <c r="BP20" s="83"/>
      <c r="BQ20" s="149">
        <v>0.01</v>
      </c>
      <c r="BR20" s="309"/>
      <c r="BS20" s="22"/>
      <c r="BT20" s="22"/>
      <c r="BU20" s="22"/>
    </row>
    <row r="21" spans="1:73" ht="20.100000000000001" customHeight="1">
      <c r="A21" s="57">
        <f t="shared" si="15"/>
        <v>14</v>
      </c>
      <c r="B21" s="44" t="s">
        <v>409</v>
      </c>
      <c r="C21" s="375">
        <f t="shared" si="12"/>
        <v>62387</v>
      </c>
      <c r="D21" s="379">
        <f t="shared" si="13"/>
        <v>56248</v>
      </c>
      <c r="E21" s="379">
        <v>56248</v>
      </c>
      <c r="F21" s="379">
        <v>4479</v>
      </c>
      <c r="G21" s="376">
        <v>940</v>
      </c>
      <c r="H21" s="706">
        <v>51</v>
      </c>
      <c r="I21" s="797">
        <f t="shared" si="3"/>
        <v>669</v>
      </c>
      <c r="J21" s="893">
        <v>0</v>
      </c>
      <c r="K21" s="894">
        <v>612</v>
      </c>
      <c r="L21" s="894">
        <v>0</v>
      </c>
      <c r="M21" s="894">
        <v>0</v>
      </c>
      <c r="N21" s="894">
        <v>0</v>
      </c>
      <c r="O21" s="894">
        <v>0</v>
      </c>
      <c r="P21" s="894">
        <v>57</v>
      </c>
      <c r="Q21" s="377">
        <v>0</v>
      </c>
      <c r="R21" s="343">
        <v>424</v>
      </c>
      <c r="S21" s="348">
        <v>22491</v>
      </c>
      <c r="T21" s="348">
        <v>7369</v>
      </c>
      <c r="U21" s="353">
        <v>6282</v>
      </c>
      <c r="V21" s="610">
        <v>401</v>
      </c>
      <c r="W21" s="609">
        <v>351</v>
      </c>
      <c r="X21" s="605">
        <v>237</v>
      </c>
      <c r="Y21" s="354">
        <v>0</v>
      </c>
      <c r="Z21" s="609">
        <v>125</v>
      </c>
      <c r="AA21" s="609">
        <v>22</v>
      </c>
      <c r="AB21" s="353">
        <v>16</v>
      </c>
      <c r="AC21" s="357">
        <v>0</v>
      </c>
      <c r="AD21" s="348">
        <v>0</v>
      </c>
      <c r="AE21" s="353">
        <v>0</v>
      </c>
      <c r="AF21" s="350">
        <f t="shared" si="4"/>
        <v>29976</v>
      </c>
      <c r="AG21" s="351">
        <f t="shared" si="5"/>
        <v>31183</v>
      </c>
      <c r="AH21" s="352">
        <f t="shared" si="14"/>
        <v>171382.9</v>
      </c>
      <c r="AI21" s="146">
        <v>2898.5138410335639</v>
      </c>
      <c r="AJ21" s="148">
        <f t="shared" si="6"/>
        <v>77812.899999999994</v>
      </c>
      <c r="AK21" s="149">
        <v>1.94</v>
      </c>
      <c r="AL21" s="149">
        <v>2.12</v>
      </c>
      <c r="AM21" s="149">
        <v>2.0499999999999998</v>
      </c>
      <c r="AN21" s="149">
        <v>2.6</v>
      </c>
      <c r="AO21" s="149">
        <v>2.5</v>
      </c>
      <c r="AP21" s="83"/>
      <c r="AQ21" s="143">
        <f t="shared" si="7"/>
        <v>0.94</v>
      </c>
      <c r="AR21" s="143">
        <f t="shared" si="8"/>
        <v>1.1200000000000001</v>
      </c>
      <c r="AS21" s="143">
        <f t="shared" si="8"/>
        <v>1.0499999999999998</v>
      </c>
      <c r="AT21" s="143">
        <f t="shared" si="8"/>
        <v>1.6</v>
      </c>
      <c r="AU21" s="143">
        <f t="shared" si="8"/>
        <v>1.5</v>
      </c>
      <c r="AV21" s="144">
        <f t="shared" si="0"/>
        <v>77681.649999999994</v>
      </c>
      <c r="AW21" s="145" t="s">
        <v>409</v>
      </c>
      <c r="AX21" s="336">
        <f>+'23-İL-EMOD-Öncelikli Yaşam'!F19</f>
        <v>3469.7765288767987</v>
      </c>
      <c r="AY21" s="336" t="e">
        <f>+'23-İL-EMOD-Öncelikli Yaşam'!#REF!</f>
        <v>#REF!</v>
      </c>
      <c r="AZ21" s="336" t="e">
        <f t="shared" si="9"/>
        <v>#REF!</v>
      </c>
      <c r="BA21" s="145" t="e">
        <f>+'23-İL-EMOD-Öncelikli Yaşam'!#REF!</f>
        <v>#REF!</v>
      </c>
      <c r="BB21" s="145"/>
      <c r="BC21" s="83">
        <v>5346</v>
      </c>
      <c r="BD21" s="83">
        <v>300</v>
      </c>
      <c r="BE21" s="83">
        <v>3341</v>
      </c>
      <c r="BF21" s="83">
        <v>252</v>
      </c>
      <c r="BG21" s="83">
        <v>2619</v>
      </c>
      <c r="BH21" s="150">
        <f t="shared" si="10"/>
        <v>11858</v>
      </c>
      <c r="BI21" s="83"/>
      <c r="BJ21" s="151">
        <v>383.88614649197359</v>
      </c>
      <c r="BK21" s="151">
        <f t="shared" si="11"/>
        <v>385.8249654136502</v>
      </c>
      <c r="BL21" s="83"/>
      <c r="BM21" s="83"/>
      <c r="BN21" s="83">
        <f t="shared" si="1"/>
        <v>1.7172295363480253E-3</v>
      </c>
      <c r="BO21" s="83">
        <f t="shared" si="2"/>
        <v>1.7172295363480252</v>
      </c>
      <c r="BP21" s="83"/>
      <c r="BQ21" s="149">
        <v>0.01</v>
      </c>
      <c r="BR21" s="309"/>
      <c r="BS21" s="22"/>
      <c r="BT21" s="22"/>
      <c r="BU21" s="22"/>
    </row>
    <row r="22" spans="1:73" ht="20.100000000000001" customHeight="1">
      <c r="A22" s="57">
        <f t="shared" si="15"/>
        <v>15</v>
      </c>
      <c r="B22" s="44" t="s">
        <v>410</v>
      </c>
      <c r="C22" s="375">
        <f t="shared" si="12"/>
        <v>42189</v>
      </c>
      <c r="D22" s="379">
        <f t="shared" si="13"/>
        <v>36041</v>
      </c>
      <c r="E22" s="379">
        <v>36041</v>
      </c>
      <c r="F22" s="379">
        <v>3227</v>
      </c>
      <c r="G22" s="376">
        <v>1399</v>
      </c>
      <c r="H22" s="706">
        <v>3</v>
      </c>
      <c r="I22" s="797">
        <f t="shared" si="3"/>
        <v>1519</v>
      </c>
      <c r="J22" s="893">
        <v>14</v>
      </c>
      <c r="K22" s="894">
        <v>1463</v>
      </c>
      <c r="L22" s="894">
        <v>0</v>
      </c>
      <c r="M22" s="894">
        <v>0</v>
      </c>
      <c r="N22" s="894">
        <v>0</v>
      </c>
      <c r="O22" s="894">
        <v>0</v>
      </c>
      <c r="P22" s="894">
        <v>42</v>
      </c>
      <c r="Q22" s="377">
        <v>0</v>
      </c>
      <c r="R22" s="343">
        <v>231</v>
      </c>
      <c r="S22" s="348">
        <v>18412</v>
      </c>
      <c r="T22" s="348">
        <v>5986</v>
      </c>
      <c r="U22" s="353">
        <v>5049</v>
      </c>
      <c r="V22" s="610">
        <v>197</v>
      </c>
      <c r="W22" s="609">
        <v>266</v>
      </c>
      <c r="X22" s="605">
        <v>191</v>
      </c>
      <c r="Y22" s="610">
        <v>3</v>
      </c>
      <c r="Z22" s="609">
        <v>106</v>
      </c>
      <c r="AA22" s="609">
        <v>52</v>
      </c>
      <c r="AB22" s="353">
        <v>47</v>
      </c>
      <c r="AC22" s="357">
        <v>0</v>
      </c>
      <c r="AD22" s="348">
        <v>0</v>
      </c>
      <c r="AE22" s="353">
        <v>0</v>
      </c>
      <c r="AF22" s="350">
        <f t="shared" si="4"/>
        <v>24236</v>
      </c>
      <c r="AG22" s="351">
        <f t="shared" si="5"/>
        <v>25253</v>
      </c>
      <c r="AH22" s="352">
        <f t="shared" si="14"/>
        <v>106177.91</v>
      </c>
      <c r="AI22" s="146">
        <v>10111.530586820911</v>
      </c>
      <c r="AJ22" s="148">
        <f t="shared" si="6"/>
        <v>38735.910000000003</v>
      </c>
      <c r="AK22" s="149">
        <v>1.54</v>
      </c>
      <c r="AL22" s="149">
        <v>1.75</v>
      </c>
      <c r="AM22" s="149">
        <v>2.02</v>
      </c>
      <c r="AN22" s="149">
        <v>2.0499999999999998</v>
      </c>
      <c r="AO22" s="149">
        <v>2.02</v>
      </c>
      <c r="AP22" s="83"/>
      <c r="AQ22" s="143">
        <f t="shared" si="7"/>
        <v>0.54</v>
      </c>
      <c r="AR22" s="143">
        <f t="shared" si="8"/>
        <v>0.75</v>
      </c>
      <c r="AS22" s="143">
        <f t="shared" si="8"/>
        <v>1.02</v>
      </c>
      <c r="AT22" s="143">
        <f t="shared" si="8"/>
        <v>1.0499999999999998</v>
      </c>
      <c r="AU22" s="143">
        <f t="shared" si="8"/>
        <v>1.02</v>
      </c>
      <c r="AV22" s="144">
        <f t="shared" si="0"/>
        <v>38625.54</v>
      </c>
      <c r="AW22" s="145" t="s">
        <v>410</v>
      </c>
      <c r="AX22" s="336">
        <f>+'23-İL-EMOD-Öncelikli Yaşam'!F20</f>
        <v>3781.9606627662433</v>
      </c>
      <c r="AY22" s="336" t="e">
        <f>+'23-İL-EMOD-Öncelikli Yaşam'!#REF!</f>
        <v>#REF!</v>
      </c>
      <c r="AZ22" s="336" t="e">
        <f t="shared" si="9"/>
        <v>#REF!</v>
      </c>
      <c r="BA22" s="145" t="e">
        <f>+'23-İL-EMOD-Öncelikli Yaşam'!#REF!</f>
        <v>#REF!</v>
      </c>
      <c r="BB22" s="145"/>
      <c r="BC22" s="83">
        <v>4178</v>
      </c>
      <c r="BD22" s="83">
        <v>237</v>
      </c>
      <c r="BE22" s="83">
        <v>4415</v>
      </c>
      <c r="BF22" s="83">
        <v>354</v>
      </c>
      <c r="BG22" s="83">
        <v>1985</v>
      </c>
      <c r="BH22" s="150">
        <f t="shared" si="10"/>
        <v>11169</v>
      </c>
      <c r="BI22" s="83"/>
      <c r="BJ22" s="151">
        <v>133.93829836395778</v>
      </c>
      <c r="BK22" s="151">
        <f t="shared" si="11"/>
        <v>134.614754416301</v>
      </c>
      <c r="BL22" s="83"/>
      <c r="BM22" s="83"/>
      <c r="BN22" s="83">
        <f t="shared" si="1"/>
        <v>1.0101350213811913E-4</v>
      </c>
      <c r="BO22" s="83">
        <f t="shared" si="2"/>
        <v>0.10101350213811913</v>
      </c>
      <c r="BP22" s="83"/>
      <c r="BQ22" s="149">
        <v>0.01</v>
      </c>
      <c r="BR22" s="309"/>
      <c r="BS22" s="22"/>
      <c r="BT22" s="22"/>
      <c r="BU22" s="22"/>
    </row>
    <row r="23" spans="1:73" ht="20.100000000000001" customHeight="1">
      <c r="A23" s="57">
        <f t="shared" si="15"/>
        <v>16</v>
      </c>
      <c r="B23" s="44" t="s">
        <v>411</v>
      </c>
      <c r="C23" s="375">
        <f t="shared" si="12"/>
        <v>739923</v>
      </c>
      <c r="D23" s="379">
        <f t="shared" si="13"/>
        <v>665956</v>
      </c>
      <c r="E23" s="379">
        <v>665956</v>
      </c>
      <c r="F23" s="379">
        <v>44633</v>
      </c>
      <c r="G23" s="376">
        <v>14486</v>
      </c>
      <c r="H23" s="379">
        <v>1272</v>
      </c>
      <c r="I23" s="797">
        <f t="shared" si="3"/>
        <v>13556</v>
      </c>
      <c r="J23" s="893">
        <v>7</v>
      </c>
      <c r="K23" s="894">
        <v>9661</v>
      </c>
      <c r="L23" s="894">
        <v>0</v>
      </c>
      <c r="M23" s="894">
        <v>110</v>
      </c>
      <c r="N23" s="894">
        <v>2</v>
      </c>
      <c r="O23" s="894">
        <v>713</v>
      </c>
      <c r="P23" s="894">
        <v>3063</v>
      </c>
      <c r="Q23" s="708">
        <v>20</v>
      </c>
      <c r="R23" s="343">
        <v>3675</v>
      </c>
      <c r="S23" s="348">
        <v>255160</v>
      </c>
      <c r="T23" s="348">
        <v>75247</v>
      </c>
      <c r="U23" s="353">
        <v>62425</v>
      </c>
      <c r="V23" s="357">
        <v>3145</v>
      </c>
      <c r="W23" s="348">
        <v>2770</v>
      </c>
      <c r="X23" s="353">
        <v>1891</v>
      </c>
      <c r="Y23" s="610">
        <v>41</v>
      </c>
      <c r="Z23" s="348">
        <v>2775</v>
      </c>
      <c r="AA23" s="609">
        <v>633</v>
      </c>
      <c r="AB23" s="353">
        <v>533</v>
      </c>
      <c r="AC23" s="610">
        <v>1</v>
      </c>
      <c r="AD23" s="348">
        <v>0</v>
      </c>
      <c r="AE23" s="353">
        <v>0</v>
      </c>
      <c r="AF23" s="350">
        <f t="shared" si="4"/>
        <v>329646</v>
      </c>
      <c r="AG23" s="351">
        <f t="shared" si="5"/>
        <v>343447</v>
      </c>
      <c r="AH23" s="352">
        <f t="shared" si="14"/>
        <v>1864873.602</v>
      </c>
      <c r="AI23" s="146">
        <v>33812.76129560452</v>
      </c>
      <c r="AJ23" s="148">
        <f t="shared" si="6"/>
        <v>781503.60199999996</v>
      </c>
      <c r="AK23" s="149">
        <v>1.6145</v>
      </c>
      <c r="AL23" s="149">
        <v>2.34</v>
      </c>
      <c r="AM23" s="149">
        <v>2.4</v>
      </c>
      <c r="AN23" s="149">
        <v>2.4</v>
      </c>
      <c r="AO23" s="149">
        <v>2.4</v>
      </c>
      <c r="AP23" s="83"/>
      <c r="AQ23" s="143">
        <f t="shared" si="7"/>
        <v>0.61450000000000005</v>
      </c>
      <c r="AR23" s="143">
        <f t="shared" si="8"/>
        <v>1.3399999999999999</v>
      </c>
      <c r="AS23" s="143">
        <f t="shared" si="8"/>
        <v>1.4</v>
      </c>
      <c r="AT23" s="143">
        <f t="shared" si="8"/>
        <v>1.4</v>
      </c>
      <c r="AU23" s="143">
        <f t="shared" si="8"/>
        <v>1.4</v>
      </c>
      <c r="AV23" s="144">
        <f t="shared" si="0"/>
        <v>777562.2620000001</v>
      </c>
      <c r="AW23" s="145" t="s">
        <v>411</v>
      </c>
      <c r="AX23" s="336">
        <f>+'23-İL-EMOD-Öncelikli Yaşam'!F21</f>
        <v>18958.884803389665</v>
      </c>
      <c r="AY23" s="336" t="e">
        <f>+'23-İL-EMOD-Öncelikli Yaşam'!#REF!</f>
        <v>#REF!</v>
      </c>
      <c r="AZ23" s="336" t="e">
        <f t="shared" si="9"/>
        <v>#REF!</v>
      </c>
      <c r="BA23" s="145" t="e">
        <f>+'23-İL-EMOD-Öncelikli Yaşam'!#REF!</f>
        <v>#REF!</v>
      </c>
      <c r="BB23" s="145"/>
      <c r="BC23" s="83">
        <v>52542</v>
      </c>
      <c r="BD23" s="83">
        <v>2331</v>
      </c>
      <c r="BE23" s="83">
        <v>22170</v>
      </c>
      <c r="BF23" s="83">
        <v>2768</v>
      </c>
      <c r="BG23" s="83">
        <v>15290</v>
      </c>
      <c r="BH23" s="150">
        <f t="shared" si="10"/>
        <v>95101</v>
      </c>
      <c r="BI23" s="83"/>
      <c r="BJ23" s="151">
        <v>6083.1189367189636</v>
      </c>
      <c r="BK23" s="151">
        <f t="shared" si="11"/>
        <v>6113.8417596316858</v>
      </c>
      <c r="BL23" s="83"/>
      <c r="BM23" s="83"/>
      <c r="BN23" s="83">
        <f t="shared" si="1"/>
        <v>4.2829724906562512E-2</v>
      </c>
      <c r="BO23" s="83">
        <f t="shared" si="2"/>
        <v>42.829724906562511</v>
      </c>
      <c r="BP23" s="83"/>
      <c r="BQ23" s="149">
        <v>0.01</v>
      </c>
      <c r="BR23" s="309"/>
      <c r="BS23" s="22"/>
      <c r="BT23" s="22"/>
      <c r="BU23" s="22"/>
    </row>
    <row r="24" spans="1:73" ht="20.100000000000001" customHeight="1">
      <c r="A24" s="57">
        <f t="shared" si="15"/>
        <v>17</v>
      </c>
      <c r="B24" s="44" t="s">
        <v>412</v>
      </c>
      <c r="C24" s="375">
        <f t="shared" si="12"/>
        <v>96075</v>
      </c>
      <c r="D24" s="379">
        <f t="shared" si="13"/>
        <v>83932</v>
      </c>
      <c r="E24" s="379">
        <v>83932</v>
      </c>
      <c r="F24" s="379">
        <v>4240</v>
      </c>
      <c r="G24" s="376">
        <v>2337</v>
      </c>
      <c r="H24" s="706">
        <v>137</v>
      </c>
      <c r="I24" s="797">
        <f t="shared" si="3"/>
        <v>5429</v>
      </c>
      <c r="J24" s="893">
        <v>2</v>
      </c>
      <c r="K24" s="894">
        <v>5264</v>
      </c>
      <c r="L24" s="894">
        <v>0</v>
      </c>
      <c r="M24" s="894">
        <v>0</v>
      </c>
      <c r="N24" s="894">
        <v>1</v>
      </c>
      <c r="O24" s="894">
        <v>12</v>
      </c>
      <c r="P24" s="894">
        <v>150</v>
      </c>
      <c r="Q24" s="377">
        <v>0</v>
      </c>
      <c r="R24" s="343">
        <v>442</v>
      </c>
      <c r="S24" s="348">
        <v>42613</v>
      </c>
      <c r="T24" s="348">
        <v>12215</v>
      </c>
      <c r="U24" s="353">
        <v>10495</v>
      </c>
      <c r="V24" s="610">
        <v>311</v>
      </c>
      <c r="W24" s="609">
        <v>363</v>
      </c>
      <c r="X24" s="605">
        <v>280</v>
      </c>
      <c r="Y24" s="610">
        <v>4</v>
      </c>
      <c r="Z24" s="609">
        <v>370</v>
      </c>
      <c r="AA24" s="609">
        <v>77</v>
      </c>
      <c r="AB24" s="353">
        <v>73</v>
      </c>
      <c r="AC24" s="357">
        <v>0</v>
      </c>
      <c r="AD24" s="609">
        <v>3</v>
      </c>
      <c r="AE24" s="353">
        <v>1</v>
      </c>
      <c r="AF24" s="350">
        <f t="shared" si="4"/>
        <v>54589</v>
      </c>
      <c r="AG24" s="351">
        <f t="shared" si="5"/>
        <v>56398</v>
      </c>
      <c r="AH24" s="352">
        <f t="shared" si="14"/>
        <v>245035.31267383898</v>
      </c>
      <c r="AI24" s="146">
        <v>10870.270651461789</v>
      </c>
      <c r="AJ24" s="148">
        <f t="shared" si="6"/>
        <v>92562.312673838984</v>
      </c>
      <c r="AK24" s="149">
        <v>1.48</v>
      </c>
      <c r="AL24" s="149">
        <v>1.9685314685314685</v>
      </c>
      <c r="AM24" s="149">
        <v>2.1919965483766584</v>
      </c>
      <c r="AN24" s="149">
        <v>2.0499999999999998</v>
      </c>
      <c r="AO24" s="149">
        <v>3.05</v>
      </c>
      <c r="AP24" s="83"/>
      <c r="AQ24" s="143">
        <f t="shared" si="7"/>
        <v>0.48</v>
      </c>
      <c r="AR24" s="143">
        <f t="shared" si="8"/>
        <v>0.96853146853146854</v>
      </c>
      <c r="AS24" s="143">
        <f t="shared" si="8"/>
        <v>1.1919965483766584</v>
      </c>
      <c r="AT24" s="143">
        <f t="shared" si="8"/>
        <v>1.0499999999999998</v>
      </c>
      <c r="AU24" s="143">
        <f t="shared" si="8"/>
        <v>2.0499999999999998</v>
      </c>
      <c r="AV24" s="144">
        <f t="shared" si="0"/>
        <v>92117.399825065455</v>
      </c>
      <c r="AW24" s="145" t="s">
        <v>412</v>
      </c>
      <c r="AX24" s="336">
        <f>+'23-İL-EMOD-Öncelikli Yaşam'!F22</f>
        <v>7846.5038923325483</v>
      </c>
      <c r="AY24" s="336" t="e">
        <f>+'23-İL-EMOD-Öncelikli Yaşam'!#REF!</f>
        <v>#REF!</v>
      </c>
      <c r="AZ24" s="336" t="e">
        <f t="shared" si="9"/>
        <v>#REF!</v>
      </c>
      <c r="BA24" s="145" t="e">
        <f>+'23-İL-EMOD-Öncelikli Yaşam'!#REF!</f>
        <v>#REF!</v>
      </c>
      <c r="BB24" s="145"/>
      <c r="BC24" s="83">
        <v>8009</v>
      </c>
      <c r="BD24" s="83">
        <v>317</v>
      </c>
      <c r="BE24" s="83">
        <v>5587</v>
      </c>
      <c r="BF24" s="83">
        <v>2088</v>
      </c>
      <c r="BG24" s="83">
        <v>4473</v>
      </c>
      <c r="BH24" s="150">
        <f t="shared" si="10"/>
        <v>20474</v>
      </c>
      <c r="BI24" s="83"/>
      <c r="BJ24" s="151">
        <v>779.37324796035284</v>
      </c>
      <c r="BK24" s="151">
        <f t="shared" si="11"/>
        <v>783.30947648540518</v>
      </c>
      <c r="BL24" s="83"/>
      <c r="BM24" s="83"/>
      <c r="BN24" s="83">
        <f t="shared" si="1"/>
        <v>4.6129499309741067E-3</v>
      </c>
      <c r="BO24" s="83">
        <f t="shared" si="2"/>
        <v>4.6129499309741071</v>
      </c>
      <c r="BP24" s="83"/>
      <c r="BQ24" s="149">
        <v>0.01</v>
      </c>
      <c r="BR24" s="309"/>
      <c r="BS24" s="22"/>
      <c r="BT24" s="22"/>
      <c r="BU24" s="22"/>
    </row>
    <row r="25" spans="1:73" ht="20.100000000000001" customHeight="1">
      <c r="A25" s="57">
        <f t="shared" si="15"/>
        <v>18</v>
      </c>
      <c r="B25" s="45" t="s">
        <v>413</v>
      </c>
      <c r="C25" s="375">
        <f t="shared" si="12"/>
        <v>29396</v>
      </c>
      <c r="D25" s="379">
        <f t="shared" si="13"/>
        <v>25565</v>
      </c>
      <c r="E25" s="379">
        <v>25565</v>
      </c>
      <c r="F25" s="379">
        <v>2256</v>
      </c>
      <c r="G25" s="705">
        <v>850</v>
      </c>
      <c r="H25" s="706">
        <v>59</v>
      </c>
      <c r="I25" s="797">
        <f t="shared" si="3"/>
        <v>666</v>
      </c>
      <c r="J25" s="893">
        <v>1</v>
      </c>
      <c r="K25" s="894">
        <v>653</v>
      </c>
      <c r="L25" s="894">
        <v>0</v>
      </c>
      <c r="M25" s="894">
        <v>0</v>
      </c>
      <c r="N25" s="894">
        <v>0</v>
      </c>
      <c r="O25" s="894">
        <v>0</v>
      </c>
      <c r="P25" s="894">
        <v>12</v>
      </c>
      <c r="Q25" s="377">
        <v>0</v>
      </c>
      <c r="R25" s="343">
        <v>125</v>
      </c>
      <c r="S25" s="348">
        <v>9440</v>
      </c>
      <c r="T25" s="348">
        <v>3310</v>
      </c>
      <c r="U25" s="353">
        <v>2750</v>
      </c>
      <c r="V25" s="610">
        <v>107</v>
      </c>
      <c r="W25" s="609">
        <v>137</v>
      </c>
      <c r="X25" s="605">
        <v>89</v>
      </c>
      <c r="Y25" s="610">
        <v>1</v>
      </c>
      <c r="Z25" s="609">
        <v>106</v>
      </c>
      <c r="AA25" s="609">
        <v>11</v>
      </c>
      <c r="AB25" s="353">
        <v>7</v>
      </c>
      <c r="AC25" s="357">
        <v>0</v>
      </c>
      <c r="AD25" s="348">
        <v>0</v>
      </c>
      <c r="AE25" s="353">
        <v>0</v>
      </c>
      <c r="AF25" s="350">
        <f t="shared" si="4"/>
        <v>12625</v>
      </c>
      <c r="AG25" s="351">
        <f t="shared" si="5"/>
        <v>13237</v>
      </c>
      <c r="AH25" s="352">
        <f t="shared" si="14"/>
        <v>79846.929999999993</v>
      </c>
      <c r="AI25" s="146">
        <v>2101.1706755167688</v>
      </c>
      <c r="AJ25" s="148">
        <f t="shared" si="6"/>
        <v>37213.929999999993</v>
      </c>
      <c r="AK25" s="149">
        <v>1.7</v>
      </c>
      <c r="AL25" s="149">
        <v>2.0099999999999998</v>
      </c>
      <c r="AM25" s="149">
        <v>2.98</v>
      </c>
      <c r="AN25" s="149">
        <v>2.68</v>
      </c>
      <c r="AO25" s="149">
        <v>2.87</v>
      </c>
      <c r="AP25" s="83"/>
      <c r="AQ25" s="143">
        <f t="shared" si="7"/>
        <v>0.7</v>
      </c>
      <c r="AR25" s="143">
        <f t="shared" si="8"/>
        <v>1.0099999999999998</v>
      </c>
      <c r="AS25" s="143">
        <f t="shared" si="8"/>
        <v>1.98</v>
      </c>
      <c r="AT25" s="143">
        <f t="shared" si="8"/>
        <v>1.6800000000000002</v>
      </c>
      <c r="AU25" s="143">
        <f t="shared" si="8"/>
        <v>1.87</v>
      </c>
      <c r="AV25" s="144">
        <f t="shared" si="0"/>
        <v>37003.040000000001</v>
      </c>
      <c r="AW25" s="145" t="s">
        <v>413</v>
      </c>
      <c r="AX25" s="336">
        <f>+'23-İL-EMOD-Öncelikli Yaşam'!F23</f>
        <v>11215.362097985868</v>
      </c>
      <c r="AY25" s="336" t="e">
        <f>+'23-İL-EMOD-Öncelikli Yaşam'!#REF!</f>
        <v>#REF!</v>
      </c>
      <c r="AZ25" s="336" t="e">
        <f t="shared" si="9"/>
        <v>#REF!</v>
      </c>
      <c r="BA25" s="145" t="e">
        <f>+'23-İL-EMOD-Öncelikli Yaşam'!#REF!</f>
        <v>#REF!</v>
      </c>
      <c r="BB25" s="145"/>
      <c r="BC25" s="83">
        <v>2794</v>
      </c>
      <c r="BD25" s="83">
        <v>159</v>
      </c>
      <c r="BE25" s="83">
        <v>2043</v>
      </c>
      <c r="BF25" s="83">
        <v>1802</v>
      </c>
      <c r="BG25" s="83">
        <v>2359</v>
      </c>
      <c r="BH25" s="150">
        <f t="shared" si="10"/>
        <v>9157</v>
      </c>
      <c r="BI25" s="83"/>
      <c r="BJ25" s="151">
        <v>348.02864929217384</v>
      </c>
      <c r="BK25" s="151">
        <f t="shared" si="11"/>
        <v>349.78636974314441</v>
      </c>
      <c r="BL25" s="83"/>
      <c r="BM25" s="83"/>
      <c r="BN25" s="83">
        <f t="shared" si="1"/>
        <v>1.9865988753830096E-3</v>
      </c>
      <c r="BO25" s="83">
        <f t="shared" si="2"/>
        <v>1.9865988753830095</v>
      </c>
      <c r="BP25" s="83"/>
      <c r="BQ25" s="149">
        <v>0.01</v>
      </c>
      <c r="BR25" s="309"/>
      <c r="BS25" s="22"/>
      <c r="BT25" s="22"/>
      <c r="BU25" s="22"/>
    </row>
    <row r="26" spans="1:73" ht="20.100000000000001" customHeight="1">
      <c r="A26" s="57">
        <f t="shared" si="15"/>
        <v>19</v>
      </c>
      <c r="B26" s="45" t="s">
        <v>414</v>
      </c>
      <c r="C26" s="375">
        <f t="shared" si="12"/>
        <v>77539</v>
      </c>
      <c r="D26" s="379">
        <f t="shared" si="13"/>
        <v>58940</v>
      </c>
      <c r="E26" s="379">
        <v>58940</v>
      </c>
      <c r="F26" s="379">
        <v>5073</v>
      </c>
      <c r="G26" s="376">
        <v>2918</v>
      </c>
      <c r="H26" s="379">
        <v>1768</v>
      </c>
      <c r="I26" s="797">
        <f t="shared" si="3"/>
        <v>8840</v>
      </c>
      <c r="J26" s="893">
        <v>8</v>
      </c>
      <c r="K26" s="894">
        <v>8753</v>
      </c>
      <c r="L26" s="894">
        <v>0</v>
      </c>
      <c r="M26" s="894">
        <v>0</v>
      </c>
      <c r="N26" s="894">
        <v>0</v>
      </c>
      <c r="O26" s="894">
        <v>0</v>
      </c>
      <c r="P26" s="894">
        <v>79</v>
      </c>
      <c r="Q26" s="353">
        <v>0</v>
      </c>
      <c r="R26" s="343">
        <v>710</v>
      </c>
      <c r="S26" s="348">
        <v>36300</v>
      </c>
      <c r="T26" s="348">
        <v>13167</v>
      </c>
      <c r="U26" s="353">
        <v>10920</v>
      </c>
      <c r="V26" s="610">
        <v>540</v>
      </c>
      <c r="W26" s="609">
        <v>795</v>
      </c>
      <c r="X26" s="605">
        <v>544</v>
      </c>
      <c r="Y26" s="610">
        <v>38</v>
      </c>
      <c r="Z26" s="348">
        <v>2413</v>
      </c>
      <c r="AA26" s="609">
        <v>451</v>
      </c>
      <c r="AB26" s="353">
        <v>365</v>
      </c>
      <c r="AC26" s="610">
        <v>1</v>
      </c>
      <c r="AD26" s="609">
        <v>3</v>
      </c>
      <c r="AE26" s="353">
        <v>1</v>
      </c>
      <c r="AF26" s="350">
        <f t="shared" si="4"/>
        <v>51832</v>
      </c>
      <c r="AG26" s="351">
        <f t="shared" si="5"/>
        <v>54418</v>
      </c>
      <c r="AH26" s="352">
        <f t="shared" si="14"/>
        <v>269361.22000000003</v>
      </c>
      <c r="AI26" s="146">
        <v>8223.2327052829787</v>
      </c>
      <c r="AJ26" s="148">
        <f t="shared" si="6"/>
        <v>137404.22000000003</v>
      </c>
      <c r="AK26" s="228">
        <v>2.1</v>
      </c>
      <c r="AL26" s="149">
        <v>2.39</v>
      </c>
      <c r="AM26" s="149">
        <v>2.7</v>
      </c>
      <c r="AN26" s="149">
        <v>3.4</v>
      </c>
      <c r="AO26" s="149">
        <v>3.5</v>
      </c>
      <c r="AP26" s="83"/>
      <c r="AQ26" s="143">
        <f t="shared" si="7"/>
        <v>1.1000000000000001</v>
      </c>
      <c r="AR26" s="143">
        <f t="shared" si="8"/>
        <v>1.3900000000000001</v>
      </c>
      <c r="AS26" s="143">
        <f t="shared" si="8"/>
        <v>1.7000000000000002</v>
      </c>
      <c r="AT26" s="143">
        <f t="shared" si="8"/>
        <v>2.4</v>
      </c>
      <c r="AU26" s="143">
        <f t="shared" si="8"/>
        <v>2.5</v>
      </c>
      <c r="AV26" s="144">
        <f t="shared" si="0"/>
        <v>133246.9</v>
      </c>
      <c r="AW26" s="145" t="s">
        <v>414</v>
      </c>
      <c r="AX26" s="336">
        <f>+'23-İL-EMOD-Öncelikli Yaşam'!F24</f>
        <v>15826.407009076444</v>
      </c>
      <c r="AY26" s="336" t="e">
        <f>+'23-İL-EMOD-Öncelikli Yaşam'!#REF!</f>
        <v>#REF!</v>
      </c>
      <c r="AZ26" s="336" t="e">
        <f t="shared" si="9"/>
        <v>#REF!</v>
      </c>
      <c r="BA26" s="145" t="e">
        <f>+'23-İL-EMOD-Öncelikli Yaşam'!#REF!</f>
        <v>#REF!</v>
      </c>
      <c r="BB26" s="145"/>
      <c r="BC26" s="83">
        <v>10917</v>
      </c>
      <c r="BD26" s="83">
        <v>910</v>
      </c>
      <c r="BE26" s="83">
        <v>6034</v>
      </c>
      <c r="BF26" s="83">
        <v>699</v>
      </c>
      <c r="BG26" s="83">
        <v>3648</v>
      </c>
      <c r="BH26" s="150">
        <f t="shared" si="10"/>
        <v>22208</v>
      </c>
      <c r="BI26" s="83"/>
      <c r="BJ26" s="151">
        <v>5372.2967863464646</v>
      </c>
      <c r="BK26" s="151">
        <f t="shared" si="11"/>
        <v>5399.4295983987195</v>
      </c>
      <c r="BL26" s="83"/>
      <c r="BM26" s="83"/>
      <c r="BN26" s="83">
        <f t="shared" si="1"/>
        <v>5.9530623926731537E-2</v>
      </c>
      <c r="BO26" s="83">
        <f t="shared" si="2"/>
        <v>59.530623926731536</v>
      </c>
      <c r="BP26" s="83"/>
      <c r="BQ26" s="149">
        <v>0.01</v>
      </c>
      <c r="BR26" s="309"/>
      <c r="BS26" s="22"/>
      <c r="BT26" s="22"/>
      <c r="BU26" s="22"/>
    </row>
    <row r="27" spans="1:73" ht="20.100000000000001" customHeight="1">
      <c r="A27" s="57">
        <f t="shared" si="15"/>
        <v>20</v>
      </c>
      <c r="B27" s="45" t="s">
        <v>415</v>
      </c>
      <c r="C27" s="375">
        <f t="shared" si="12"/>
        <v>219609</v>
      </c>
      <c r="D27" s="379">
        <f t="shared" si="13"/>
        <v>188981</v>
      </c>
      <c r="E27" s="379">
        <v>188981</v>
      </c>
      <c r="F27" s="379">
        <v>11588</v>
      </c>
      <c r="G27" s="376">
        <v>6051</v>
      </c>
      <c r="H27" s="706">
        <v>448</v>
      </c>
      <c r="I27" s="797">
        <f t="shared" si="3"/>
        <v>12541</v>
      </c>
      <c r="J27" s="893">
        <v>12</v>
      </c>
      <c r="K27" s="894">
        <v>11869</v>
      </c>
      <c r="L27" s="894">
        <v>0</v>
      </c>
      <c r="M27" s="894">
        <v>3</v>
      </c>
      <c r="N27" s="894">
        <v>3</v>
      </c>
      <c r="O27" s="894">
        <v>119</v>
      </c>
      <c r="P27" s="894">
        <v>535</v>
      </c>
      <c r="Q27" s="377">
        <v>0</v>
      </c>
      <c r="R27" s="343">
        <v>1218</v>
      </c>
      <c r="S27" s="348">
        <v>83900</v>
      </c>
      <c r="T27" s="348">
        <v>21781</v>
      </c>
      <c r="U27" s="353">
        <v>17991</v>
      </c>
      <c r="V27" s="610">
        <v>867</v>
      </c>
      <c r="W27" s="609">
        <v>897</v>
      </c>
      <c r="X27" s="605">
        <v>630</v>
      </c>
      <c r="Y27" s="610">
        <v>16</v>
      </c>
      <c r="Z27" s="348">
        <v>1137</v>
      </c>
      <c r="AA27" s="609">
        <v>178</v>
      </c>
      <c r="AB27" s="353">
        <v>153</v>
      </c>
      <c r="AC27" s="357">
        <v>0</v>
      </c>
      <c r="AD27" s="348">
        <v>0</v>
      </c>
      <c r="AE27" s="353">
        <v>0</v>
      </c>
      <c r="AF27" s="350">
        <f t="shared" si="4"/>
        <v>105912</v>
      </c>
      <c r="AG27" s="351">
        <f t="shared" si="5"/>
        <v>109994</v>
      </c>
      <c r="AH27" s="352">
        <f t="shared" si="14"/>
        <v>544727.4800000001</v>
      </c>
      <c r="AI27" s="146">
        <v>30573.804246272892</v>
      </c>
      <c r="AJ27" s="148">
        <f t="shared" si="6"/>
        <v>215124.4800000001</v>
      </c>
      <c r="AK27" s="149">
        <v>1.6</v>
      </c>
      <c r="AL27" s="149">
        <v>2.0499999999999998</v>
      </c>
      <c r="AM27" s="149">
        <v>2.15</v>
      </c>
      <c r="AN27" s="149">
        <v>3.01</v>
      </c>
      <c r="AO27" s="149">
        <v>3.02</v>
      </c>
      <c r="AP27" s="83"/>
      <c r="AQ27" s="143">
        <f t="shared" si="7"/>
        <v>0.60000000000000009</v>
      </c>
      <c r="AR27" s="143">
        <f t="shared" si="8"/>
        <v>1.0499999999999998</v>
      </c>
      <c r="AS27" s="143">
        <f t="shared" si="8"/>
        <v>1.1499999999999999</v>
      </c>
      <c r="AT27" s="143">
        <f t="shared" si="8"/>
        <v>2.0099999999999998</v>
      </c>
      <c r="AU27" s="143">
        <f t="shared" si="8"/>
        <v>2.02</v>
      </c>
      <c r="AV27" s="144">
        <f t="shared" si="0"/>
        <v>213800.13000000003</v>
      </c>
      <c r="AW27" s="145" t="s">
        <v>415</v>
      </c>
      <c r="AX27" s="336">
        <f>+'23-İL-EMOD-Öncelikli Yaşam'!F25</f>
        <v>11832.896808289457</v>
      </c>
      <c r="AY27" s="336" t="e">
        <f>+'23-İL-EMOD-Öncelikli Yaşam'!#REF!</f>
        <v>#REF!</v>
      </c>
      <c r="AZ27" s="336" t="e">
        <f t="shared" si="9"/>
        <v>#REF!</v>
      </c>
      <c r="BA27" s="145" t="e">
        <f>+'23-İL-EMOD-Öncelikli Yaşam'!#REF!</f>
        <v>#REF!</v>
      </c>
      <c r="BB27" s="145"/>
      <c r="BC27" s="83">
        <v>13786</v>
      </c>
      <c r="BD27" s="83">
        <v>728</v>
      </c>
      <c r="BE27" s="83">
        <v>11431</v>
      </c>
      <c r="BF27" s="83">
        <v>2959</v>
      </c>
      <c r="BG27" s="83">
        <v>5163</v>
      </c>
      <c r="BH27" s="150">
        <f t="shared" si="10"/>
        <v>34067</v>
      </c>
      <c r="BI27" s="83"/>
      <c r="BJ27" s="151">
        <v>8405.4191965412865</v>
      </c>
      <c r="BK27" s="151">
        <f t="shared" si="11"/>
        <v>8447.8708086450315</v>
      </c>
      <c r="BL27" s="83"/>
      <c r="BM27" s="83"/>
      <c r="BN27" s="83">
        <f t="shared" si="1"/>
        <v>1.5084682985959124E-2</v>
      </c>
      <c r="BO27" s="83">
        <f t="shared" si="2"/>
        <v>15.084682985959123</v>
      </c>
      <c r="BP27" s="83"/>
      <c r="BQ27" s="149">
        <v>0.01</v>
      </c>
      <c r="BR27" s="309"/>
      <c r="BS27" s="22"/>
      <c r="BT27" s="22"/>
      <c r="BU27" s="22"/>
    </row>
    <row r="28" spans="1:73" ht="20.100000000000001" customHeight="1">
      <c r="A28" s="57">
        <f t="shared" si="15"/>
        <v>21</v>
      </c>
      <c r="B28" s="45" t="s">
        <v>502</v>
      </c>
      <c r="C28" s="375">
        <f t="shared" si="12"/>
        <v>169256</v>
      </c>
      <c r="D28" s="379">
        <f t="shared" si="13"/>
        <v>139023</v>
      </c>
      <c r="E28" s="379">
        <v>139023</v>
      </c>
      <c r="F28" s="379">
        <v>9810</v>
      </c>
      <c r="G28" s="376">
        <v>15320</v>
      </c>
      <c r="H28" s="706">
        <v>298</v>
      </c>
      <c r="I28" s="797">
        <f t="shared" si="3"/>
        <v>4805</v>
      </c>
      <c r="J28" s="893">
        <v>4</v>
      </c>
      <c r="K28" s="894">
        <v>4768</v>
      </c>
      <c r="L28" s="894">
        <v>0</v>
      </c>
      <c r="M28" s="894">
        <v>0</v>
      </c>
      <c r="N28" s="894">
        <v>0</v>
      </c>
      <c r="O28" s="894">
        <v>4</v>
      </c>
      <c r="P28" s="894">
        <v>29</v>
      </c>
      <c r="Q28" s="708">
        <v>0</v>
      </c>
      <c r="R28" s="343">
        <v>634</v>
      </c>
      <c r="S28" s="348">
        <v>26840</v>
      </c>
      <c r="T28" s="348">
        <v>22658</v>
      </c>
      <c r="U28" s="353">
        <v>12782</v>
      </c>
      <c r="V28" s="610">
        <v>830</v>
      </c>
      <c r="W28" s="348">
        <v>2000</v>
      </c>
      <c r="X28" s="605">
        <v>876</v>
      </c>
      <c r="Y28" s="610">
        <v>25</v>
      </c>
      <c r="Z28" s="609">
        <v>735</v>
      </c>
      <c r="AA28" s="609">
        <v>831</v>
      </c>
      <c r="AB28" s="353">
        <v>414</v>
      </c>
      <c r="AC28" s="357">
        <v>0</v>
      </c>
      <c r="AD28" s="348">
        <v>0</v>
      </c>
      <c r="AE28" s="353">
        <v>0</v>
      </c>
      <c r="AF28" s="350">
        <f t="shared" si="4"/>
        <v>43136</v>
      </c>
      <c r="AG28" s="351">
        <f t="shared" si="5"/>
        <v>54553</v>
      </c>
      <c r="AH28" s="352">
        <f t="shared" si="14"/>
        <v>611718.94999999995</v>
      </c>
      <c r="AI28" s="146">
        <v>177767.55192379747</v>
      </c>
      <c r="AJ28" s="148">
        <f t="shared" si="6"/>
        <v>387909.94999999995</v>
      </c>
      <c r="AK28" s="149">
        <v>3.1</v>
      </c>
      <c r="AL28" s="149">
        <v>4.4000000000000004</v>
      </c>
      <c r="AM28" s="149">
        <v>4.25</v>
      </c>
      <c r="AN28" s="149">
        <v>4.6500000000000004</v>
      </c>
      <c r="AO28" s="149">
        <v>4.5999999999999996</v>
      </c>
      <c r="AP28" s="83"/>
      <c r="AQ28" s="143">
        <f t="shared" si="7"/>
        <v>2.1</v>
      </c>
      <c r="AR28" s="143">
        <f t="shared" si="8"/>
        <v>3.4000000000000004</v>
      </c>
      <c r="AS28" s="143">
        <f t="shared" si="8"/>
        <v>3.25</v>
      </c>
      <c r="AT28" s="143">
        <f t="shared" si="8"/>
        <v>3.6500000000000004</v>
      </c>
      <c r="AU28" s="143">
        <f t="shared" si="8"/>
        <v>3.5999999999999996</v>
      </c>
      <c r="AV28" s="144">
        <f t="shared" si="0"/>
        <v>385436.19999999995</v>
      </c>
      <c r="AW28" s="145" t="s">
        <v>502</v>
      </c>
      <c r="AX28" s="336">
        <f>+'23-İL-EMOD-Öncelikli Yaşam'!F26</f>
        <v>29449.842312877066</v>
      </c>
      <c r="AY28" s="336" t="e">
        <f>+'23-İL-EMOD-Öncelikli Yaşam'!#REF!</f>
        <v>#REF!</v>
      </c>
      <c r="AZ28" s="336" t="e">
        <f t="shared" si="9"/>
        <v>#REF!</v>
      </c>
      <c r="BA28" s="145" t="e">
        <f>+'23-İL-EMOD-Öncelikli Yaşam'!#REF!</f>
        <v>#REF!</v>
      </c>
      <c r="BB28" s="145"/>
      <c r="BC28" s="83">
        <v>18040</v>
      </c>
      <c r="BD28" s="83">
        <v>1438</v>
      </c>
      <c r="BE28" s="83">
        <v>7973</v>
      </c>
      <c r="BF28" s="83">
        <v>371</v>
      </c>
      <c r="BG28" s="83">
        <v>5890</v>
      </c>
      <c r="BH28" s="150">
        <f t="shared" si="10"/>
        <v>33712</v>
      </c>
      <c r="BI28" s="83"/>
      <c r="BJ28" s="151">
        <v>1153.7677040170854</v>
      </c>
      <c r="BK28" s="151">
        <f t="shared" si="11"/>
        <v>1159.5948136333334</v>
      </c>
      <c r="BL28" s="83"/>
      <c r="BM28" s="83"/>
      <c r="BN28" s="83">
        <f t="shared" si="1"/>
        <v>1.0034007879053166E-2</v>
      </c>
      <c r="BO28" s="83">
        <f t="shared" si="2"/>
        <v>10.034007879053167</v>
      </c>
      <c r="BP28" s="83"/>
      <c r="BQ28" s="149">
        <v>0.01</v>
      </c>
      <c r="BR28" s="309"/>
      <c r="BS28" s="22"/>
      <c r="BT28" s="22"/>
      <c r="BU28" s="22"/>
    </row>
    <row r="29" spans="1:73" ht="20.100000000000001" customHeight="1">
      <c r="A29" s="57">
        <f t="shared" si="15"/>
        <v>22</v>
      </c>
      <c r="B29" s="45" t="s">
        <v>503</v>
      </c>
      <c r="C29" s="375">
        <f t="shared" si="12"/>
        <v>63745</v>
      </c>
      <c r="D29" s="379">
        <f t="shared" si="13"/>
        <v>57348</v>
      </c>
      <c r="E29" s="379">
        <v>57348</v>
      </c>
      <c r="F29" s="379">
        <v>4070</v>
      </c>
      <c r="G29" s="376">
        <v>1171</v>
      </c>
      <c r="H29" s="706">
        <v>47</v>
      </c>
      <c r="I29" s="797">
        <f t="shared" si="3"/>
        <v>1109</v>
      </c>
      <c r="J29" s="893">
        <v>2</v>
      </c>
      <c r="K29" s="894">
        <v>984</v>
      </c>
      <c r="L29" s="894">
        <v>0</v>
      </c>
      <c r="M29" s="894">
        <v>0</v>
      </c>
      <c r="N29" s="894">
        <v>2</v>
      </c>
      <c r="O29" s="894">
        <v>19</v>
      </c>
      <c r="P29" s="894">
        <v>102</v>
      </c>
      <c r="Q29" s="377">
        <v>0</v>
      </c>
      <c r="R29" s="343">
        <v>289</v>
      </c>
      <c r="S29" s="348">
        <v>28102</v>
      </c>
      <c r="T29" s="348">
        <v>8487</v>
      </c>
      <c r="U29" s="353">
        <v>7112</v>
      </c>
      <c r="V29" s="610">
        <v>245</v>
      </c>
      <c r="W29" s="609">
        <v>292</v>
      </c>
      <c r="X29" s="605">
        <v>200</v>
      </c>
      <c r="Y29" s="354">
        <v>0</v>
      </c>
      <c r="Z29" s="609">
        <v>120</v>
      </c>
      <c r="AA29" s="609">
        <v>12</v>
      </c>
      <c r="AB29" s="353">
        <v>10</v>
      </c>
      <c r="AC29" s="357">
        <v>0</v>
      </c>
      <c r="AD29" s="348">
        <v>0</v>
      </c>
      <c r="AE29" s="353">
        <v>0</v>
      </c>
      <c r="AF29" s="350">
        <f t="shared" si="4"/>
        <v>36078</v>
      </c>
      <c r="AG29" s="351">
        <f t="shared" si="5"/>
        <v>37547</v>
      </c>
      <c r="AH29" s="352">
        <f t="shared" si="14"/>
        <v>157456.85</v>
      </c>
      <c r="AI29" s="146">
        <v>4744.1751469828887</v>
      </c>
      <c r="AJ29" s="148">
        <f t="shared" si="6"/>
        <v>56164.850000000006</v>
      </c>
      <c r="AK29" s="149">
        <v>1.4</v>
      </c>
      <c r="AL29" s="149">
        <v>2.15</v>
      </c>
      <c r="AM29" s="149">
        <v>2.15</v>
      </c>
      <c r="AN29" s="149">
        <v>2.5</v>
      </c>
      <c r="AO29" s="149">
        <v>2.5</v>
      </c>
      <c r="AP29" s="83"/>
      <c r="AQ29" s="143">
        <f t="shared" si="7"/>
        <v>0.39999999999999991</v>
      </c>
      <c r="AR29" s="143">
        <f t="shared" si="8"/>
        <v>1.1499999999999999</v>
      </c>
      <c r="AS29" s="143">
        <f t="shared" si="8"/>
        <v>1.1499999999999999</v>
      </c>
      <c r="AT29" s="143">
        <f t="shared" si="8"/>
        <v>1.5</v>
      </c>
      <c r="AU29" s="143">
        <f t="shared" si="8"/>
        <v>1.5</v>
      </c>
      <c r="AV29" s="144">
        <f t="shared" si="0"/>
        <v>56026.849999999991</v>
      </c>
      <c r="AW29" s="145" t="s">
        <v>503</v>
      </c>
      <c r="AX29" s="336">
        <f>+'23-İL-EMOD-Öncelikli Yaşam'!F27</f>
        <v>3044.8954701098846</v>
      </c>
      <c r="AY29" s="336" t="e">
        <f>+'23-İL-EMOD-Öncelikli Yaşam'!#REF!</f>
        <v>#REF!</v>
      </c>
      <c r="AZ29" s="336" t="e">
        <f t="shared" si="9"/>
        <v>#REF!</v>
      </c>
      <c r="BA29" s="145" t="e">
        <f>+'23-İL-EMOD-Öncelikli Yaşam'!#REF!</f>
        <v>#REF!</v>
      </c>
      <c r="BB29" s="145"/>
      <c r="BC29" s="83">
        <v>6073</v>
      </c>
      <c r="BD29" s="83">
        <v>282</v>
      </c>
      <c r="BE29" s="83">
        <v>5751</v>
      </c>
      <c r="BF29" s="83">
        <v>1786</v>
      </c>
      <c r="BG29" s="83">
        <v>3082</v>
      </c>
      <c r="BH29" s="150">
        <f t="shared" si="10"/>
        <v>16974</v>
      </c>
      <c r="BI29" s="83"/>
      <c r="BJ29" s="151">
        <v>187.72454416365738</v>
      </c>
      <c r="BK29" s="151">
        <f t="shared" si="11"/>
        <v>188.6726479220597</v>
      </c>
      <c r="BL29" s="83"/>
      <c r="BM29" s="83"/>
      <c r="BN29" s="83">
        <f t="shared" si="1"/>
        <v>1.5825448668305331E-3</v>
      </c>
      <c r="BO29" s="83">
        <f t="shared" si="2"/>
        <v>1.5825448668305331</v>
      </c>
      <c r="BP29" s="83"/>
      <c r="BQ29" s="149">
        <v>0.01</v>
      </c>
      <c r="BR29" s="309"/>
      <c r="BS29" s="22"/>
      <c r="BT29" s="22"/>
      <c r="BU29" s="22"/>
    </row>
    <row r="30" spans="1:73" ht="20.100000000000001" customHeight="1">
      <c r="A30" s="57">
        <f t="shared" si="15"/>
        <v>23</v>
      </c>
      <c r="B30" s="45" t="s">
        <v>504</v>
      </c>
      <c r="C30" s="375">
        <f t="shared" si="12"/>
        <v>78153</v>
      </c>
      <c r="D30" s="379">
        <f t="shared" si="13"/>
        <v>64515</v>
      </c>
      <c r="E30" s="379">
        <v>64515</v>
      </c>
      <c r="F30" s="379">
        <v>6627</v>
      </c>
      <c r="G30" s="376">
        <v>4011</v>
      </c>
      <c r="H30" s="706">
        <v>183</v>
      </c>
      <c r="I30" s="797">
        <f t="shared" si="3"/>
        <v>2817</v>
      </c>
      <c r="J30" s="893">
        <v>1</v>
      </c>
      <c r="K30" s="894">
        <v>2801</v>
      </c>
      <c r="L30" s="894">
        <v>0</v>
      </c>
      <c r="M30" s="894">
        <v>0</v>
      </c>
      <c r="N30" s="894">
        <v>0</v>
      </c>
      <c r="O30" s="894">
        <v>0</v>
      </c>
      <c r="P30" s="894">
        <v>15</v>
      </c>
      <c r="Q30" s="353">
        <v>0</v>
      </c>
      <c r="R30" s="343">
        <v>655</v>
      </c>
      <c r="S30" s="348">
        <v>29482</v>
      </c>
      <c r="T30" s="348">
        <v>18336</v>
      </c>
      <c r="U30" s="353">
        <v>13572</v>
      </c>
      <c r="V30" s="610">
        <v>465</v>
      </c>
      <c r="W30" s="609">
        <v>952</v>
      </c>
      <c r="X30" s="605">
        <v>554</v>
      </c>
      <c r="Y30" s="610">
        <v>9</v>
      </c>
      <c r="Z30" s="609">
        <v>378</v>
      </c>
      <c r="AA30" s="609">
        <v>125</v>
      </c>
      <c r="AB30" s="353">
        <v>81</v>
      </c>
      <c r="AC30" s="357">
        <v>0</v>
      </c>
      <c r="AD30" s="348">
        <v>0</v>
      </c>
      <c r="AE30" s="353">
        <v>0</v>
      </c>
      <c r="AF30" s="350">
        <f t="shared" si="4"/>
        <v>45196</v>
      </c>
      <c r="AG30" s="351">
        <f t="shared" si="5"/>
        <v>50402</v>
      </c>
      <c r="AH30" s="352">
        <f t="shared" si="14"/>
        <v>260487.3</v>
      </c>
      <c r="AI30" s="146">
        <v>14016.705100735417</v>
      </c>
      <c r="AJ30" s="148">
        <f t="shared" si="6"/>
        <v>131932.29999999999</v>
      </c>
      <c r="AK30" s="149">
        <v>2.02</v>
      </c>
      <c r="AL30" s="149">
        <v>3.95</v>
      </c>
      <c r="AM30" s="149">
        <v>3.1</v>
      </c>
      <c r="AN30" s="149">
        <v>3.2</v>
      </c>
      <c r="AO30" s="149">
        <v>3.4</v>
      </c>
      <c r="AP30" s="83"/>
      <c r="AQ30" s="143">
        <f t="shared" si="7"/>
        <v>1.02</v>
      </c>
      <c r="AR30" s="143">
        <f t="shared" si="8"/>
        <v>2.95</v>
      </c>
      <c r="AS30" s="143">
        <f t="shared" si="8"/>
        <v>2.1</v>
      </c>
      <c r="AT30" s="143">
        <f t="shared" si="8"/>
        <v>2.2000000000000002</v>
      </c>
      <c r="AU30" s="143">
        <f t="shared" si="8"/>
        <v>2.4</v>
      </c>
      <c r="AV30" s="144">
        <f t="shared" si="0"/>
        <v>131111.95000000001</v>
      </c>
      <c r="AW30" s="145" t="s">
        <v>504</v>
      </c>
      <c r="AX30" s="336">
        <f>+'23-İL-EMOD-Öncelikli Yaşam'!F28</f>
        <v>19547.422199059511</v>
      </c>
      <c r="AY30" s="336" t="e">
        <f>+'23-İL-EMOD-Öncelikli Yaşam'!#REF!</f>
        <v>#REF!</v>
      </c>
      <c r="AZ30" s="336" t="e">
        <f t="shared" si="9"/>
        <v>#REF!</v>
      </c>
      <c r="BA30" s="145" t="e">
        <f>+'23-İL-EMOD-Öncelikli Yaşam'!#REF!</f>
        <v>#REF!</v>
      </c>
      <c r="BB30" s="145"/>
      <c r="BC30" s="83">
        <v>14863</v>
      </c>
      <c r="BD30" s="83">
        <v>802</v>
      </c>
      <c r="BE30" s="83">
        <v>4232</v>
      </c>
      <c r="BF30" s="83">
        <v>116</v>
      </c>
      <c r="BG30" s="83">
        <v>4219</v>
      </c>
      <c r="BH30" s="150">
        <f t="shared" si="10"/>
        <v>24232</v>
      </c>
      <c r="BI30" s="83"/>
      <c r="BJ30" s="151">
        <v>959.71536622993358</v>
      </c>
      <c r="BK30" s="151">
        <f t="shared" si="11"/>
        <v>964.56241353412508</v>
      </c>
      <c r="BL30" s="83"/>
      <c r="BM30" s="83"/>
      <c r="BN30" s="83">
        <f t="shared" si="1"/>
        <v>6.161823630425267E-3</v>
      </c>
      <c r="BO30" s="83">
        <f t="shared" si="2"/>
        <v>6.1618236304252667</v>
      </c>
      <c r="BP30" s="83"/>
      <c r="BQ30" s="149">
        <v>0.01</v>
      </c>
      <c r="BR30" s="309"/>
      <c r="BS30" s="22"/>
      <c r="BT30" s="22"/>
      <c r="BU30" s="22"/>
    </row>
    <row r="31" spans="1:73" ht="20.100000000000001" customHeight="1">
      <c r="A31" s="57">
        <f t="shared" si="15"/>
        <v>24</v>
      </c>
      <c r="B31" s="45" t="s">
        <v>700</v>
      </c>
      <c r="C31" s="375">
        <f t="shared" si="12"/>
        <v>34295</v>
      </c>
      <c r="D31" s="379">
        <f t="shared" si="13"/>
        <v>29197</v>
      </c>
      <c r="E31" s="379">
        <v>29197</v>
      </c>
      <c r="F31" s="379">
        <v>2598</v>
      </c>
      <c r="G31" s="705">
        <v>1665</v>
      </c>
      <c r="H31" s="706">
        <v>151</v>
      </c>
      <c r="I31" s="797">
        <f t="shared" si="3"/>
        <v>684</v>
      </c>
      <c r="J31" s="893">
        <v>0</v>
      </c>
      <c r="K31" s="894">
        <v>676</v>
      </c>
      <c r="L31" s="894">
        <v>0</v>
      </c>
      <c r="M31" s="894">
        <v>0</v>
      </c>
      <c r="N31" s="894">
        <v>0</v>
      </c>
      <c r="O31" s="894">
        <v>0</v>
      </c>
      <c r="P31" s="894">
        <v>8</v>
      </c>
      <c r="Q31" s="353">
        <v>0</v>
      </c>
      <c r="R31" s="343">
        <v>205</v>
      </c>
      <c r="S31" s="348">
        <v>10999</v>
      </c>
      <c r="T31" s="348">
        <v>5420</v>
      </c>
      <c r="U31" s="353">
        <v>4370</v>
      </c>
      <c r="V31" s="610">
        <v>149</v>
      </c>
      <c r="W31" s="609">
        <v>190</v>
      </c>
      <c r="X31" s="605">
        <v>134</v>
      </c>
      <c r="Y31" s="610">
        <v>6</v>
      </c>
      <c r="Z31" s="609">
        <v>462</v>
      </c>
      <c r="AA31" s="609">
        <v>147</v>
      </c>
      <c r="AB31" s="353">
        <v>114</v>
      </c>
      <c r="AC31" s="357">
        <v>0</v>
      </c>
      <c r="AD31" s="348">
        <v>0</v>
      </c>
      <c r="AE31" s="353">
        <v>0</v>
      </c>
      <c r="AF31" s="350">
        <f t="shared" si="4"/>
        <v>16439</v>
      </c>
      <c r="AG31" s="351">
        <f t="shared" si="5"/>
        <v>17578</v>
      </c>
      <c r="AH31" s="352">
        <f t="shared" si="14"/>
        <v>91961.421767145992</v>
      </c>
      <c r="AI31" s="146">
        <v>358.83283168839989</v>
      </c>
      <c r="AJ31" s="148">
        <f t="shared" si="6"/>
        <v>40088.421767145992</v>
      </c>
      <c r="AK31" s="149">
        <v>1.79</v>
      </c>
      <c r="AL31" s="149">
        <v>2.5</v>
      </c>
      <c r="AM31" s="149">
        <v>2.4</v>
      </c>
      <c r="AN31" s="149">
        <v>3.1451612903225801</v>
      </c>
      <c r="AO31" s="149">
        <v>3.26001811184062</v>
      </c>
      <c r="AP31" s="83"/>
      <c r="AQ31" s="143">
        <f t="shared" si="7"/>
        <v>0.79</v>
      </c>
      <c r="AR31" s="143">
        <f t="shared" si="8"/>
        <v>1.5</v>
      </c>
      <c r="AS31" s="143">
        <f t="shared" si="8"/>
        <v>1.4</v>
      </c>
      <c r="AT31" s="143">
        <f t="shared" si="8"/>
        <v>2.1451612903225801</v>
      </c>
      <c r="AU31" s="143">
        <f t="shared" si="8"/>
        <v>2.26001811184062</v>
      </c>
      <c r="AV31" s="144">
        <f t="shared" si="0"/>
        <v>39432.621767145996</v>
      </c>
      <c r="AW31" s="145" t="s">
        <v>700</v>
      </c>
      <c r="AX31" s="336">
        <f>+'23-İL-EMOD-Öncelikli Yaşam'!F29</f>
        <v>12698.378589680477</v>
      </c>
      <c r="AY31" s="336" t="e">
        <f>+'23-İL-EMOD-Öncelikli Yaşam'!#REF!</f>
        <v>#REF!</v>
      </c>
      <c r="AZ31" s="336" t="e">
        <f t="shared" si="9"/>
        <v>#REF!</v>
      </c>
      <c r="BA31" s="145" t="e">
        <f>+'23-İL-EMOD-Öncelikli Yaşam'!#REF!</f>
        <v>#REF!</v>
      </c>
      <c r="BB31" s="145"/>
      <c r="BC31" s="83">
        <v>4387</v>
      </c>
      <c r="BD31" s="83">
        <v>201</v>
      </c>
      <c r="BE31" s="83">
        <v>2925</v>
      </c>
      <c r="BF31" s="83">
        <v>283</v>
      </c>
      <c r="BG31" s="83">
        <v>1764</v>
      </c>
      <c r="BH31" s="150">
        <f t="shared" si="10"/>
        <v>9560</v>
      </c>
      <c r="BI31" s="83"/>
      <c r="BJ31" s="151">
        <v>898.54669453615816</v>
      </c>
      <c r="BK31" s="151">
        <f t="shared" si="11"/>
        <v>903.08480915502764</v>
      </c>
      <c r="BL31" s="83"/>
      <c r="BM31" s="83"/>
      <c r="BN31" s="83">
        <f t="shared" si="1"/>
        <v>5.0843462742853297E-3</v>
      </c>
      <c r="BO31" s="83">
        <f t="shared" si="2"/>
        <v>5.0843462742853296</v>
      </c>
      <c r="BP31" s="83"/>
      <c r="BQ31" s="149">
        <v>0.01</v>
      </c>
      <c r="BR31" s="309"/>
      <c r="BS31" s="22"/>
      <c r="BT31" s="22"/>
      <c r="BU31" s="22"/>
    </row>
    <row r="32" spans="1:73" ht="20.100000000000001" customHeight="1">
      <c r="A32" s="57">
        <f t="shared" si="15"/>
        <v>25</v>
      </c>
      <c r="B32" s="45" t="s">
        <v>701</v>
      </c>
      <c r="C32" s="375">
        <f t="shared" si="12"/>
        <v>91934</v>
      </c>
      <c r="D32" s="379">
        <f t="shared" si="13"/>
        <v>82365</v>
      </c>
      <c r="E32" s="379">
        <v>82365</v>
      </c>
      <c r="F32" s="379">
        <v>6470</v>
      </c>
      <c r="G32" s="376">
        <v>2712</v>
      </c>
      <c r="H32" s="706">
        <v>39</v>
      </c>
      <c r="I32" s="797">
        <f t="shared" si="3"/>
        <v>348</v>
      </c>
      <c r="J32" s="893">
        <v>0</v>
      </c>
      <c r="K32" s="894">
        <v>327</v>
      </c>
      <c r="L32" s="894">
        <v>0</v>
      </c>
      <c r="M32" s="894">
        <v>0</v>
      </c>
      <c r="N32" s="894">
        <v>0</v>
      </c>
      <c r="O32" s="894">
        <v>0</v>
      </c>
      <c r="P32" s="894">
        <v>21</v>
      </c>
      <c r="Q32" s="605">
        <v>0</v>
      </c>
      <c r="R32" s="343">
        <v>523</v>
      </c>
      <c r="S32" s="348">
        <v>23323</v>
      </c>
      <c r="T32" s="348">
        <v>15005</v>
      </c>
      <c r="U32" s="353">
        <v>10922</v>
      </c>
      <c r="V32" s="610">
        <v>454</v>
      </c>
      <c r="W32" s="348">
        <v>992</v>
      </c>
      <c r="X32" s="605">
        <v>565</v>
      </c>
      <c r="Y32" s="354">
        <v>0</v>
      </c>
      <c r="Z32" s="609">
        <v>61</v>
      </c>
      <c r="AA32" s="609">
        <v>18</v>
      </c>
      <c r="AB32" s="353">
        <v>11</v>
      </c>
      <c r="AC32" s="357">
        <v>0</v>
      </c>
      <c r="AD32" s="348">
        <v>0</v>
      </c>
      <c r="AE32" s="353">
        <v>0</v>
      </c>
      <c r="AF32" s="350">
        <f t="shared" si="4"/>
        <v>35859</v>
      </c>
      <c r="AG32" s="351">
        <f t="shared" si="5"/>
        <v>40376</v>
      </c>
      <c r="AH32" s="352">
        <f t="shared" si="14"/>
        <v>320416.65000000002</v>
      </c>
      <c r="AI32" s="146">
        <v>5414.6139590460807</v>
      </c>
      <c r="AJ32" s="148">
        <f t="shared" si="6"/>
        <v>188106.65000000002</v>
      </c>
      <c r="AK32" s="149">
        <v>2.5</v>
      </c>
      <c r="AL32" s="149">
        <v>3.25</v>
      </c>
      <c r="AM32" s="149">
        <v>3.65</v>
      </c>
      <c r="AN32" s="149">
        <v>3.85</v>
      </c>
      <c r="AO32" s="149">
        <v>4.0999999999999996</v>
      </c>
      <c r="AP32" s="83"/>
      <c r="AQ32" s="143">
        <f t="shared" si="7"/>
        <v>1.5</v>
      </c>
      <c r="AR32" s="143">
        <f t="shared" si="8"/>
        <v>2.25</v>
      </c>
      <c r="AS32" s="143">
        <f t="shared" si="8"/>
        <v>2.65</v>
      </c>
      <c r="AT32" s="143">
        <f t="shared" si="8"/>
        <v>2.85</v>
      </c>
      <c r="AU32" s="143">
        <f t="shared" si="8"/>
        <v>3.0999999999999996</v>
      </c>
      <c r="AV32" s="144">
        <f t="shared" si="0"/>
        <v>187944.99999999997</v>
      </c>
      <c r="AW32" s="145" t="s">
        <v>701</v>
      </c>
      <c r="AX32" s="336">
        <f>+'23-İL-EMOD-Öncelikli Yaşam'!F30</f>
        <v>17649.101961326669</v>
      </c>
      <c r="AY32" s="336" t="e">
        <f>+'23-İL-EMOD-Öncelikli Yaşam'!#REF!</f>
        <v>#REF!</v>
      </c>
      <c r="AZ32" s="336" t="e">
        <f t="shared" si="9"/>
        <v>#REF!</v>
      </c>
      <c r="BA32" s="145" t="e">
        <f>+'23-İL-EMOD-Öncelikli Yaşam'!#REF!</f>
        <v>#REF!</v>
      </c>
      <c r="BB32" s="145"/>
      <c r="BC32" s="83">
        <v>12297</v>
      </c>
      <c r="BD32" s="83">
        <v>1027</v>
      </c>
      <c r="BE32" s="83">
        <v>7395</v>
      </c>
      <c r="BF32" s="83">
        <v>486</v>
      </c>
      <c r="BG32" s="83">
        <v>5055</v>
      </c>
      <c r="BH32" s="150">
        <f t="shared" si="10"/>
        <v>26260</v>
      </c>
      <c r="BI32" s="83"/>
      <c r="BJ32" s="151">
        <v>313.22578436295635</v>
      </c>
      <c r="BK32" s="151">
        <f t="shared" si="11"/>
        <v>314.80773276882991</v>
      </c>
      <c r="BL32" s="83"/>
      <c r="BM32" s="83"/>
      <c r="BN32" s="83">
        <f t="shared" si="1"/>
        <v>1.3131755277955488E-3</v>
      </c>
      <c r="BO32" s="83">
        <f t="shared" si="2"/>
        <v>1.3131755277955488</v>
      </c>
      <c r="BP32" s="83"/>
      <c r="BQ32" s="149">
        <v>0.01</v>
      </c>
      <c r="BR32" s="309"/>
      <c r="BS32" s="22"/>
      <c r="BT32" s="22"/>
      <c r="BU32" s="22"/>
    </row>
    <row r="33" spans="1:73" ht="20.100000000000001" customHeight="1">
      <c r="A33" s="57">
        <f t="shared" si="15"/>
        <v>26</v>
      </c>
      <c r="B33" s="45" t="s">
        <v>26</v>
      </c>
      <c r="C33" s="375">
        <f t="shared" si="12"/>
        <v>188182</v>
      </c>
      <c r="D33" s="379">
        <f t="shared" si="13"/>
        <v>169033</v>
      </c>
      <c r="E33" s="379">
        <v>169033</v>
      </c>
      <c r="F33" s="379">
        <v>14520</v>
      </c>
      <c r="G33" s="376">
        <v>3143</v>
      </c>
      <c r="H33" s="706">
        <v>235</v>
      </c>
      <c r="I33" s="797">
        <f t="shared" si="3"/>
        <v>1251</v>
      </c>
      <c r="J33" s="893">
        <v>2</v>
      </c>
      <c r="K33" s="894">
        <v>962</v>
      </c>
      <c r="L33" s="894">
        <v>0</v>
      </c>
      <c r="M33" s="894">
        <v>0</v>
      </c>
      <c r="N33" s="894">
        <v>0</v>
      </c>
      <c r="O33" s="894">
        <v>172</v>
      </c>
      <c r="P33" s="894">
        <v>115</v>
      </c>
      <c r="Q33" s="353">
        <v>0</v>
      </c>
      <c r="R33" s="343">
        <v>970</v>
      </c>
      <c r="S33" s="348">
        <v>75144</v>
      </c>
      <c r="T33" s="348">
        <v>26816</v>
      </c>
      <c r="U33" s="353">
        <v>22821</v>
      </c>
      <c r="V33" s="610">
        <v>792</v>
      </c>
      <c r="W33" s="609">
        <v>779</v>
      </c>
      <c r="X33" s="605">
        <v>554</v>
      </c>
      <c r="Y33" s="610">
        <v>6</v>
      </c>
      <c r="Z33" s="609">
        <v>400</v>
      </c>
      <c r="AA33" s="609">
        <v>55</v>
      </c>
      <c r="AB33" s="356">
        <v>39</v>
      </c>
      <c r="AC33" s="357">
        <v>0</v>
      </c>
      <c r="AD33" s="348">
        <v>0</v>
      </c>
      <c r="AE33" s="353">
        <v>0</v>
      </c>
      <c r="AF33" s="350">
        <f t="shared" si="4"/>
        <v>100726</v>
      </c>
      <c r="AG33" s="351">
        <f t="shared" si="5"/>
        <v>104962</v>
      </c>
      <c r="AH33" s="352">
        <f t="shared" si="14"/>
        <v>518631.57</v>
      </c>
      <c r="AI33" s="146">
        <v>10156.523509284016</v>
      </c>
      <c r="AJ33" s="148">
        <f t="shared" si="6"/>
        <v>225487.57</v>
      </c>
      <c r="AK33" s="149">
        <v>1.71</v>
      </c>
      <c r="AL33" s="149">
        <v>2.4500000000000002</v>
      </c>
      <c r="AM33" s="149">
        <v>2.35</v>
      </c>
      <c r="AN33" s="149">
        <v>3.02</v>
      </c>
      <c r="AO33" s="149">
        <v>3.02</v>
      </c>
      <c r="AP33" s="83"/>
      <c r="AQ33" s="143">
        <f t="shared" si="7"/>
        <v>0.71</v>
      </c>
      <c r="AR33" s="143">
        <f t="shared" si="8"/>
        <v>1.4500000000000002</v>
      </c>
      <c r="AS33" s="143">
        <f t="shared" si="8"/>
        <v>1.35</v>
      </c>
      <c r="AT33" s="143">
        <f t="shared" si="8"/>
        <v>2.02</v>
      </c>
      <c r="AU33" s="143">
        <f t="shared" si="8"/>
        <v>2.02</v>
      </c>
      <c r="AV33" s="144">
        <f t="shared" si="0"/>
        <v>224938.87</v>
      </c>
      <c r="AW33" s="145" t="s">
        <v>26</v>
      </c>
      <c r="AX33" s="336">
        <f>+'23-İL-EMOD-Öncelikli Yaşam'!F31</f>
        <v>6438.8065470464062</v>
      </c>
      <c r="AY33" s="336" t="e">
        <f>+'23-İL-EMOD-Öncelikli Yaşam'!#REF!</f>
        <v>#REF!</v>
      </c>
      <c r="AZ33" s="336" t="e">
        <f t="shared" si="9"/>
        <v>#REF!</v>
      </c>
      <c r="BA33" s="145" t="e">
        <f>+'23-İL-EMOD-Öncelikli Yaşam'!#REF!</f>
        <v>#REF!</v>
      </c>
      <c r="BB33" s="145"/>
      <c r="BC33" s="83">
        <v>21156</v>
      </c>
      <c r="BD33" s="83">
        <v>734</v>
      </c>
      <c r="BE33" s="83">
        <v>7441</v>
      </c>
      <c r="BF33" s="83">
        <v>3933</v>
      </c>
      <c r="BG33" s="83">
        <v>8176</v>
      </c>
      <c r="BH33" s="150">
        <f t="shared" si="10"/>
        <v>41440</v>
      </c>
      <c r="BI33" s="83"/>
      <c r="BJ33" s="151">
        <v>1341.4922481807425</v>
      </c>
      <c r="BK33" s="151">
        <f t="shared" si="11"/>
        <v>1348.2674615553929</v>
      </c>
      <c r="BL33" s="83"/>
      <c r="BM33" s="83"/>
      <c r="BN33" s="83">
        <f t="shared" si="1"/>
        <v>7.9127243341526651E-3</v>
      </c>
      <c r="BO33" s="83">
        <f t="shared" si="2"/>
        <v>7.9127243341526654</v>
      </c>
      <c r="BP33" s="83"/>
      <c r="BQ33" s="149">
        <v>0.01</v>
      </c>
      <c r="BR33" s="309"/>
      <c r="BS33" s="22"/>
      <c r="BT33" s="22"/>
      <c r="BU33" s="22"/>
    </row>
    <row r="34" spans="1:73" ht="20.100000000000001" customHeight="1">
      <c r="A34" s="56">
        <f>+A33+1</f>
        <v>27</v>
      </c>
      <c r="B34" s="44" t="s">
        <v>95</v>
      </c>
      <c r="C34" s="375">
        <f t="shared" si="12"/>
        <v>311043</v>
      </c>
      <c r="D34" s="379">
        <f t="shared" si="13"/>
        <v>272627</v>
      </c>
      <c r="E34" s="379">
        <v>272627</v>
      </c>
      <c r="F34" s="379">
        <v>28450</v>
      </c>
      <c r="G34" s="376">
        <v>7798</v>
      </c>
      <c r="H34" s="706">
        <v>170</v>
      </c>
      <c r="I34" s="797">
        <f t="shared" si="3"/>
        <v>1784</v>
      </c>
      <c r="J34" s="893">
        <v>2</v>
      </c>
      <c r="K34" s="894">
        <v>1375</v>
      </c>
      <c r="L34" s="894">
        <v>0</v>
      </c>
      <c r="M34" s="894">
        <v>0</v>
      </c>
      <c r="N34" s="894">
        <v>62</v>
      </c>
      <c r="O34" s="894">
        <v>61</v>
      </c>
      <c r="P34" s="894">
        <v>284</v>
      </c>
      <c r="Q34" s="605">
        <v>214</v>
      </c>
      <c r="R34" s="343">
        <v>1016</v>
      </c>
      <c r="S34" s="348">
        <v>55115</v>
      </c>
      <c r="T34" s="348">
        <v>27516</v>
      </c>
      <c r="U34" s="353">
        <v>18757</v>
      </c>
      <c r="V34" s="610">
        <v>1151</v>
      </c>
      <c r="W34" s="348">
        <v>1701</v>
      </c>
      <c r="X34" s="605">
        <v>925</v>
      </c>
      <c r="Y34" s="610">
        <v>14</v>
      </c>
      <c r="Z34" s="609">
        <v>553</v>
      </c>
      <c r="AA34" s="609">
        <v>419</v>
      </c>
      <c r="AB34" s="356">
        <v>301</v>
      </c>
      <c r="AC34" s="357">
        <v>0</v>
      </c>
      <c r="AD34" s="609">
        <v>2</v>
      </c>
      <c r="AE34" s="353">
        <v>1</v>
      </c>
      <c r="AF34" s="350">
        <f t="shared" si="4"/>
        <v>77833</v>
      </c>
      <c r="AG34" s="351">
        <f t="shared" si="5"/>
        <v>87487</v>
      </c>
      <c r="AH34" s="352">
        <f t="shared" si="14"/>
        <v>1000001.6124635405</v>
      </c>
      <c r="AI34" s="146">
        <v>79092.881917745806</v>
      </c>
      <c r="AJ34" s="148">
        <f t="shared" si="6"/>
        <v>601471.61246354051</v>
      </c>
      <c r="AK34" s="149">
        <v>2.4500000000000002</v>
      </c>
      <c r="AL34" s="149">
        <v>4.62</v>
      </c>
      <c r="AM34" s="149">
        <v>4.55</v>
      </c>
      <c r="AN34" s="149">
        <v>4.5999999999999996</v>
      </c>
      <c r="AO34" s="149">
        <v>4.9344850796499884</v>
      </c>
      <c r="AP34" s="83"/>
      <c r="AQ34" s="143">
        <f t="shared" si="7"/>
        <v>1.4500000000000002</v>
      </c>
      <c r="AR34" s="143">
        <f t="shared" si="8"/>
        <v>3.62</v>
      </c>
      <c r="AS34" s="143">
        <f t="shared" si="8"/>
        <v>3.55</v>
      </c>
      <c r="AT34" s="143">
        <f t="shared" si="8"/>
        <v>3.5999999999999996</v>
      </c>
      <c r="AU34" s="143">
        <f t="shared" si="8"/>
        <v>3.9344850796499884</v>
      </c>
      <c r="AV34" s="144">
        <f t="shared" si="0"/>
        <v>599457.78246354044</v>
      </c>
      <c r="AW34" s="145" t="s">
        <v>95</v>
      </c>
      <c r="AX34" s="336">
        <f>+'23-İL-EMOD-Öncelikli Yaşam'!F32</f>
        <v>36382.478049979545</v>
      </c>
      <c r="AY34" s="336" t="e">
        <f>+'23-İL-EMOD-Öncelikli Yaşam'!#REF!</f>
        <v>#REF!</v>
      </c>
      <c r="AZ34" s="336" t="e">
        <f t="shared" si="9"/>
        <v>#REF!</v>
      </c>
      <c r="BA34" s="145" t="e">
        <f>+'23-İL-EMOD-Öncelikli Yaşam'!#REF!</f>
        <v>#REF!</v>
      </c>
      <c r="BB34" s="145"/>
      <c r="BC34" s="83">
        <v>19974</v>
      </c>
      <c r="BD34" s="83">
        <v>1299</v>
      </c>
      <c r="BE34" s="83">
        <v>11748</v>
      </c>
      <c r="BF34" s="83">
        <v>1476</v>
      </c>
      <c r="BG34" s="83">
        <v>5291</v>
      </c>
      <c r="BH34" s="150">
        <f t="shared" si="10"/>
        <v>39788</v>
      </c>
      <c r="BI34" s="83"/>
      <c r="BJ34" s="151">
        <v>606.41355558484815</v>
      </c>
      <c r="BK34" s="151">
        <f t="shared" si="11"/>
        <v>609.47625031002417</v>
      </c>
      <c r="BL34" s="83"/>
      <c r="BM34" s="83"/>
      <c r="BN34" s="83">
        <f t="shared" si="1"/>
        <v>5.7240984544934172E-3</v>
      </c>
      <c r="BO34" s="83">
        <f t="shared" si="2"/>
        <v>5.7240984544934168</v>
      </c>
      <c r="BP34" s="83"/>
      <c r="BQ34" s="149">
        <v>0.01</v>
      </c>
      <c r="BR34" s="309"/>
      <c r="BS34" s="22"/>
      <c r="BT34" s="22"/>
      <c r="BU34" s="22"/>
    </row>
    <row r="35" spans="1:73" ht="20.100000000000001" customHeight="1">
      <c r="A35" s="56">
        <f>+A34+1</f>
        <v>28</v>
      </c>
      <c r="B35" s="44" t="s">
        <v>773</v>
      </c>
      <c r="C35" s="375">
        <f t="shared" si="12"/>
        <v>66376</v>
      </c>
      <c r="D35" s="379">
        <f t="shared" si="13"/>
        <v>52676</v>
      </c>
      <c r="E35" s="379">
        <v>52676</v>
      </c>
      <c r="F35" s="379">
        <v>4535</v>
      </c>
      <c r="G35" s="376">
        <v>2846</v>
      </c>
      <c r="H35" s="706">
        <v>244</v>
      </c>
      <c r="I35" s="797">
        <f t="shared" si="3"/>
        <v>6075</v>
      </c>
      <c r="J35" s="893">
        <v>4</v>
      </c>
      <c r="K35" s="894">
        <v>5914</v>
      </c>
      <c r="L35" s="894">
        <v>0</v>
      </c>
      <c r="M35" s="894">
        <v>2</v>
      </c>
      <c r="N35" s="894">
        <v>1</v>
      </c>
      <c r="O35" s="894">
        <v>49</v>
      </c>
      <c r="P35" s="894">
        <v>105</v>
      </c>
      <c r="Q35" s="377">
        <v>0</v>
      </c>
      <c r="R35" s="343">
        <v>640</v>
      </c>
      <c r="S35" s="348">
        <v>36522</v>
      </c>
      <c r="T35" s="348">
        <v>14375</v>
      </c>
      <c r="U35" s="353">
        <v>12047</v>
      </c>
      <c r="V35" s="610">
        <v>359</v>
      </c>
      <c r="W35" s="609">
        <v>567</v>
      </c>
      <c r="X35" s="605">
        <v>419</v>
      </c>
      <c r="Y35" s="610">
        <v>4</v>
      </c>
      <c r="Z35" s="609">
        <v>377</v>
      </c>
      <c r="AA35" s="609">
        <v>52</v>
      </c>
      <c r="AB35" s="356">
        <v>36</v>
      </c>
      <c r="AC35" s="357">
        <v>0</v>
      </c>
      <c r="AD35" s="348">
        <v>0</v>
      </c>
      <c r="AE35" s="353">
        <v>0</v>
      </c>
      <c r="AF35" s="350">
        <f t="shared" si="4"/>
        <v>50404</v>
      </c>
      <c r="AG35" s="351">
        <f t="shared" si="5"/>
        <v>52896</v>
      </c>
      <c r="AH35" s="352">
        <f t="shared" si="14"/>
        <v>223275.31000000003</v>
      </c>
      <c r="AI35" s="146">
        <v>4442.1055659546982</v>
      </c>
      <c r="AJ35" s="148">
        <f t="shared" si="6"/>
        <v>104003.31000000003</v>
      </c>
      <c r="AK35" s="149">
        <v>1.99</v>
      </c>
      <c r="AL35" s="149">
        <v>2.25</v>
      </c>
      <c r="AM35" s="149">
        <v>2.35</v>
      </c>
      <c r="AN35" s="149">
        <v>2.98</v>
      </c>
      <c r="AO35" s="149">
        <v>3.15</v>
      </c>
      <c r="AP35" s="83"/>
      <c r="AQ35" s="143">
        <f t="shared" si="7"/>
        <v>0.99</v>
      </c>
      <c r="AR35" s="143">
        <f t="shared" si="8"/>
        <v>1.25</v>
      </c>
      <c r="AS35" s="143">
        <f t="shared" si="8"/>
        <v>1.35</v>
      </c>
      <c r="AT35" s="143">
        <f t="shared" si="8"/>
        <v>1.98</v>
      </c>
      <c r="AU35" s="143">
        <f t="shared" si="8"/>
        <v>2.15</v>
      </c>
      <c r="AV35" s="144">
        <f t="shared" si="0"/>
        <v>103489.36000000002</v>
      </c>
      <c r="AW35" s="145" t="s">
        <v>773</v>
      </c>
      <c r="AX35" s="336">
        <f>+'23-İL-EMOD-Öncelikli Yaşam'!F33</f>
        <v>2003.3435911993147</v>
      </c>
      <c r="AY35" s="336" t="e">
        <f>+'23-İL-EMOD-Öncelikli Yaşam'!#REF!</f>
        <v>#REF!</v>
      </c>
      <c r="AZ35" s="336" t="e">
        <f t="shared" si="9"/>
        <v>#REF!</v>
      </c>
      <c r="BA35" s="145" t="e">
        <f>+'23-İL-EMOD-Öncelikli Yaşam'!#REF!</f>
        <v>#REF!</v>
      </c>
      <c r="BB35" s="145"/>
      <c r="BC35" s="83">
        <v>10900</v>
      </c>
      <c r="BD35" s="83">
        <v>609</v>
      </c>
      <c r="BE35" s="83">
        <v>5529</v>
      </c>
      <c r="BF35" s="83">
        <v>1236</v>
      </c>
      <c r="BG35" s="83">
        <v>3412</v>
      </c>
      <c r="BH35" s="150">
        <f t="shared" si="10"/>
        <v>21686</v>
      </c>
      <c r="BI35" s="83"/>
      <c r="BJ35" s="151">
        <v>1381.5682744628716</v>
      </c>
      <c r="BK35" s="151">
        <f t="shared" si="11"/>
        <v>1388.5458920106639</v>
      </c>
      <c r="BL35" s="83"/>
      <c r="BM35" s="83"/>
      <c r="BN35" s="83">
        <f t="shared" si="1"/>
        <v>8.2157648405670226E-3</v>
      </c>
      <c r="BO35" s="83">
        <f t="shared" si="2"/>
        <v>8.2157648405670223</v>
      </c>
      <c r="BP35" s="83"/>
      <c r="BQ35" s="149">
        <v>0.01</v>
      </c>
      <c r="BR35" s="309"/>
      <c r="BS35" s="22"/>
      <c r="BT35" s="22"/>
      <c r="BU35" s="22"/>
    </row>
    <row r="36" spans="1:73" ht="20.100000000000001" customHeight="1">
      <c r="A36" s="56">
        <f t="shared" si="15"/>
        <v>29</v>
      </c>
      <c r="B36" s="44" t="s">
        <v>774</v>
      </c>
      <c r="C36" s="375">
        <f t="shared" si="12"/>
        <v>17390</v>
      </c>
      <c r="D36" s="379">
        <f t="shared" si="13"/>
        <v>14970</v>
      </c>
      <c r="E36" s="379">
        <v>14970</v>
      </c>
      <c r="F36" s="379">
        <v>1239</v>
      </c>
      <c r="G36" s="705">
        <v>620</v>
      </c>
      <c r="H36" s="379">
        <v>0</v>
      </c>
      <c r="I36" s="797">
        <f t="shared" si="3"/>
        <v>561</v>
      </c>
      <c r="J36" s="893">
        <v>0</v>
      </c>
      <c r="K36" s="894">
        <v>559</v>
      </c>
      <c r="L36" s="894">
        <v>0</v>
      </c>
      <c r="M36" s="894">
        <v>0</v>
      </c>
      <c r="N36" s="894">
        <v>0</v>
      </c>
      <c r="O36" s="894">
        <v>0</v>
      </c>
      <c r="P36" s="894">
        <v>2</v>
      </c>
      <c r="Q36" s="377">
        <v>0</v>
      </c>
      <c r="R36" s="343">
        <v>123</v>
      </c>
      <c r="S36" s="348">
        <v>6398</v>
      </c>
      <c r="T36" s="348">
        <v>3384</v>
      </c>
      <c r="U36" s="353">
        <v>2709</v>
      </c>
      <c r="V36" s="610">
        <v>78</v>
      </c>
      <c r="W36" s="609">
        <v>192</v>
      </c>
      <c r="X36" s="605">
        <v>131</v>
      </c>
      <c r="Y36" s="610">
        <v>1</v>
      </c>
      <c r="Z36" s="609">
        <v>21</v>
      </c>
      <c r="AA36" s="355">
        <v>0</v>
      </c>
      <c r="AB36" s="356">
        <v>0</v>
      </c>
      <c r="AC36" s="357">
        <v>0</v>
      </c>
      <c r="AD36" s="348">
        <v>0</v>
      </c>
      <c r="AE36" s="353">
        <v>0</v>
      </c>
      <c r="AF36" s="350">
        <f t="shared" si="4"/>
        <v>9461</v>
      </c>
      <c r="AG36" s="351">
        <f t="shared" si="5"/>
        <v>10197</v>
      </c>
      <c r="AH36" s="352">
        <f t="shared" si="14"/>
        <v>67195.72</v>
      </c>
      <c r="AI36" s="146">
        <v>2655.6908935304673</v>
      </c>
      <c r="AJ36" s="148">
        <f t="shared" si="6"/>
        <v>39608.720000000001</v>
      </c>
      <c r="AK36" s="228">
        <v>3.05</v>
      </c>
      <c r="AL36" s="149">
        <v>2.2999999999999998</v>
      </c>
      <c r="AM36" s="149">
        <v>2.34</v>
      </c>
      <c r="AN36" s="149">
        <v>3.02</v>
      </c>
      <c r="AO36" s="149">
        <v>2.99</v>
      </c>
      <c r="AP36" s="83"/>
      <c r="AQ36" s="143">
        <f t="shared" si="7"/>
        <v>2.0499999999999998</v>
      </c>
      <c r="AR36" s="143">
        <f t="shared" si="8"/>
        <v>1.2999999999999998</v>
      </c>
      <c r="AS36" s="143">
        <f t="shared" si="8"/>
        <v>1.3399999999999999</v>
      </c>
      <c r="AT36" s="143">
        <f t="shared" si="8"/>
        <v>2.02</v>
      </c>
      <c r="AU36" s="143">
        <f t="shared" si="8"/>
        <v>1.9900000000000002</v>
      </c>
      <c r="AV36" s="144">
        <f t="shared" si="0"/>
        <v>39579.279999999999</v>
      </c>
      <c r="AW36" s="145" t="s">
        <v>774</v>
      </c>
      <c r="AX36" s="336">
        <f>+'23-İL-EMOD-Öncelikli Yaşam'!F34</f>
        <v>25866.439144347562</v>
      </c>
      <c r="AY36" s="336" t="e">
        <f>+'23-İL-EMOD-Öncelikli Yaşam'!#REF!</f>
        <v>#REF!</v>
      </c>
      <c r="AZ36" s="336" t="e">
        <f t="shared" si="9"/>
        <v>#REF!</v>
      </c>
      <c r="BA36" s="145" t="e">
        <f>+'23-İL-EMOD-Öncelikli Yaşam'!#REF!</f>
        <v>#REF!</v>
      </c>
      <c r="BB36" s="145"/>
      <c r="BC36" s="83">
        <v>2714</v>
      </c>
      <c r="BD36" s="83">
        <v>191</v>
      </c>
      <c r="BE36" s="83">
        <v>1815</v>
      </c>
      <c r="BF36" s="83">
        <v>512</v>
      </c>
      <c r="BG36" s="83">
        <v>893</v>
      </c>
      <c r="BH36" s="150">
        <f t="shared" si="10"/>
        <v>6125</v>
      </c>
      <c r="BI36" s="83"/>
      <c r="BJ36" s="151">
        <v>12.655587246988139</v>
      </c>
      <c r="BK36" s="151">
        <f t="shared" si="11"/>
        <v>12.719504354296159</v>
      </c>
      <c r="BL36" s="83"/>
      <c r="BM36" s="83"/>
      <c r="BN36" s="83">
        <f t="shared" si="1"/>
        <v>0</v>
      </c>
      <c r="BO36" s="83">
        <f t="shared" si="2"/>
        <v>0</v>
      </c>
      <c r="BP36" s="83"/>
      <c r="BQ36" s="149">
        <v>0.01</v>
      </c>
      <c r="BR36" s="309"/>
      <c r="BS36" s="22"/>
      <c r="BT36" s="22"/>
      <c r="BU36" s="22"/>
    </row>
    <row r="37" spans="1:73" ht="16.5" customHeight="1">
      <c r="A37" s="56">
        <f t="shared" si="15"/>
        <v>30</v>
      </c>
      <c r="B37" s="44" t="s">
        <v>775</v>
      </c>
      <c r="C37" s="375">
        <f t="shared" si="12"/>
        <v>21011</v>
      </c>
      <c r="D37" s="379">
        <f t="shared" si="13"/>
        <v>15259</v>
      </c>
      <c r="E37" s="379">
        <v>15259</v>
      </c>
      <c r="F37" s="379">
        <v>1928</v>
      </c>
      <c r="G37" s="376">
        <v>3815</v>
      </c>
      <c r="H37" s="379">
        <v>0</v>
      </c>
      <c r="I37" s="797">
        <f t="shared" si="3"/>
        <v>9</v>
      </c>
      <c r="J37" s="893">
        <v>0</v>
      </c>
      <c r="K37" s="894">
        <v>9</v>
      </c>
      <c r="L37" s="894">
        <v>0</v>
      </c>
      <c r="M37" s="894">
        <v>0</v>
      </c>
      <c r="N37" s="894">
        <v>0</v>
      </c>
      <c r="O37" s="894">
        <v>0</v>
      </c>
      <c r="P37" s="894">
        <v>0</v>
      </c>
      <c r="Q37" s="377">
        <v>0</v>
      </c>
      <c r="R37" s="343">
        <v>15</v>
      </c>
      <c r="S37" s="609">
        <v>1009</v>
      </c>
      <c r="T37" s="348">
        <v>1083</v>
      </c>
      <c r="U37" s="605">
        <v>524</v>
      </c>
      <c r="V37" s="610">
        <v>30</v>
      </c>
      <c r="W37" s="609">
        <v>153</v>
      </c>
      <c r="X37" s="605">
        <v>64</v>
      </c>
      <c r="Y37" s="354">
        <v>0</v>
      </c>
      <c r="Z37" s="609">
        <v>1</v>
      </c>
      <c r="AA37" s="355">
        <v>0</v>
      </c>
      <c r="AB37" s="356">
        <v>0</v>
      </c>
      <c r="AC37" s="357">
        <v>0</v>
      </c>
      <c r="AD37" s="348">
        <v>0</v>
      </c>
      <c r="AE37" s="353">
        <v>0</v>
      </c>
      <c r="AF37" s="350">
        <f t="shared" si="4"/>
        <v>1643</v>
      </c>
      <c r="AG37" s="351">
        <f t="shared" si="5"/>
        <v>2291</v>
      </c>
      <c r="AH37" s="352">
        <f t="shared" si="14"/>
        <v>27056.145853269536</v>
      </c>
      <c r="AI37" s="146">
        <v>30126.765777164284</v>
      </c>
      <c r="AJ37" s="148">
        <f t="shared" si="6"/>
        <v>3754.145853269536</v>
      </c>
      <c r="AK37" s="149">
        <v>1</v>
      </c>
      <c r="AL37" s="149">
        <v>5.65</v>
      </c>
      <c r="AM37" s="149">
        <v>4.5582137161084528</v>
      </c>
      <c r="AN37" s="149">
        <v>4.0199999999999996</v>
      </c>
      <c r="AO37" s="149">
        <v>4.7293233082706765</v>
      </c>
      <c r="AP37" s="83"/>
      <c r="AQ37" s="143">
        <f t="shared" si="7"/>
        <v>0</v>
      </c>
      <c r="AR37" s="143">
        <f t="shared" si="8"/>
        <v>4.6500000000000004</v>
      </c>
      <c r="AS37" s="143">
        <f t="shared" si="8"/>
        <v>3.5582137161084528</v>
      </c>
      <c r="AT37" s="143">
        <f t="shared" si="8"/>
        <v>3.0199999999999996</v>
      </c>
      <c r="AU37" s="143">
        <f t="shared" si="8"/>
        <v>3.7293233082706765</v>
      </c>
      <c r="AV37" s="144">
        <f t="shared" si="0"/>
        <v>3750.5876395534287</v>
      </c>
      <c r="AW37" s="145" t="s">
        <v>775</v>
      </c>
      <c r="AX37" s="336">
        <f>+'23-İL-EMOD-Öncelikli Yaşam'!F35</f>
        <v>1714.6458258625935</v>
      </c>
      <c r="AY37" s="336" t="e">
        <f>+'23-İL-EMOD-Öncelikli Yaşam'!#REF!</f>
        <v>#REF!</v>
      </c>
      <c r="AZ37" s="336" t="e">
        <f t="shared" si="9"/>
        <v>#REF!</v>
      </c>
      <c r="BA37" s="145" t="e">
        <f>+'23-İL-EMOD-Öncelikli Yaşam'!#REF!</f>
        <v>#REF!</v>
      </c>
      <c r="BB37" s="145"/>
      <c r="BC37" s="83">
        <v>960</v>
      </c>
      <c r="BD37" s="83">
        <v>117</v>
      </c>
      <c r="BE37" s="83">
        <v>933</v>
      </c>
      <c r="BF37" s="83">
        <v>1</v>
      </c>
      <c r="BG37" s="83">
        <v>1988</v>
      </c>
      <c r="BH37" s="150">
        <f t="shared" si="10"/>
        <v>3999</v>
      </c>
      <c r="BI37" s="83"/>
      <c r="BJ37" s="151">
        <v>0</v>
      </c>
      <c r="BK37" s="151">
        <f t="shared" si="11"/>
        <v>0</v>
      </c>
      <c r="BL37" s="83"/>
      <c r="BM37" s="83"/>
      <c r="BN37" s="83">
        <f t="shared" si="1"/>
        <v>0</v>
      </c>
      <c r="BO37" s="83">
        <f t="shared" si="2"/>
        <v>0</v>
      </c>
      <c r="BP37" s="83"/>
      <c r="BQ37" s="149">
        <v>0.01</v>
      </c>
      <c r="BR37" s="309"/>
      <c r="BS37" s="22"/>
      <c r="BT37" s="22"/>
      <c r="BU37" s="22"/>
    </row>
    <row r="38" spans="1:73" ht="18" customHeight="1">
      <c r="A38" s="56">
        <f t="shared" si="15"/>
        <v>31</v>
      </c>
      <c r="B38" s="44" t="s">
        <v>371</v>
      </c>
      <c r="C38" s="375">
        <f t="shared" si="12"/>
        <v>198479</v>
      </c>
      <c r="D38" s="379">
        <f t="shared" si="13"/>
        <v>159265</v>
      </c>
      <c r="E38" s="379">
        <v>159265</v>
      </c>
      <c r="F38" s="379">
        <v>19929</v>
      </c>
      <c r="G38" s="376">
        <v>9156</v>
      </c>
      <c r="H38" s="706">
        <v>171</v>
      </c>
      <c r="I38" s="797">
        <f t="shared" si="3"/>
        <v>9910</v>
      </c>
      <c r="J38" s="893">
        <v>13</v>
      </c>
      <c r="K38" s="894">
        <v>9681</v>
      </c>
      <c r="L38" s="894">
        <v>0</v>
      </c>
      <c r="M38" s="894">
        <v>0</v>
      </c>
      <c r="N38" s="894">
        <v>1</v>
      </c>
      <c r="O38" s="894">
        <v>4</v>
      </c>
      <c r="P38" s="894">
        <v>211</v>
      </c>
      <c r="Q38" s="708">
        <v>48</v>
      </c>
      <c r="R38" s="343">
        <v>944</v>
      </c>
      <c r="S38" s="348">
        <v>65058</v>
      </c>
      <c r="T38" s="348">
        <v>26558</v>
      </c>
      <c r="U38" s="353">
        <v>18329</v>
      </c>
      <c r="V38" s="610">
        <v>1143</v>
      </c>
      <c r="W38" s="348">
        <v>1671</v>
      </c>
      <c r="X38" s="605">
        <v>931</v>
      </c>
      <c r="Y38" s="610">
        <v>7</v>
      </c>
      <c r="Z38" s="609">
        <v>395</v>
      </c>
      <c r="AA38" s="609">
        <v>53</v>
      </c>
      <c r="AB38" s="356">
        <v>39</v>
      </c>
      <c r="AC38" s="357">
        <v>0</v>
      </c>
      <c r="AD38" s="348">
        <v>0</v>
      </c>
      <c r="AE38" s="353">
        <v>0</v>
      </c>
      <c r="AF38" s="350">
        <f t="shared" si="4"/>
        <v>86846</v>
      </c>
      <c r="AG38" s="351">
        <f t="shared" si="5"/>
        <v>95829</v>
      </c>
      <c r="AH38" s="352">
        <f t="shared" si="14"/>
        <v>644300.39777060342</v>
      </c>
      <c r="AI38" s="146">
        <v>96549.505835909396</v>
      </c>
      <c r="AJ38" s="148">
        <f t="shared" si="6"/>
        <v>349992.39777060342</v>
      </c>
      <c r="AK38" s="149">
        <v>2.13</v>
      </c>
      <c r="AL38" s="149">
        <v>3.15</v>
      </c>
      <c r="AM38" s="149">
        <v>3.5</v>
      </c>
      <c r="AN38" s="149">
        <v>4.3054003724394789</v>
      </c>
      <c r="AO38" s="149">
        <v>4.3200300871642847</v>
      </c>
      <c r="AP38" s="83"/>
      <c r="AQ38" s="143">
        <f t="shared" si="7"/>
        <v>1.1299999999999999</v>
      </c>
      <c r="AR38" s="143">
        <f t="shared" si="8"/>
        <v>2.15</v>
      </c>
      <c r="AS38" s="143">
        <f t="shared" si="8"/>
        <v>2.5</v>
      </c>
      <c r="AT38" s="143">
        <f t="shared" si="8"/>
        <v>3.3054003724394789</v>
      </c>
      <c r="AU38" s="143">
        <f t="shared" si="8"/>
        <v>3.3200300871642847</v>
      </c>
      <c r="AV38" s="144">
        <f t="shared" si="0"/>
        <v>348989.84777060343</v>
      </c>
      <c r="AW38" s="145" t="s">
        <v>371</v>
      </c>
      <c r="AX38" s="336">
        <f>+'23-İL-EMOD-Öncelikli Yaşam'!F36</f>
        <v>48949.108237744309</v>
      </c>
      <c r="AY38" s="336" t="e">
        <f>+'23-İL-EMOD-Öncelikli Yaşam'!#REF!</f>
        <v>#REF!</v>
      </c>
      <c r="AZ38" s="336" t="e">
        <f t="shared" si="9"/>
        <v>#REF!</v>
      </c>
      <c r="BA38" s="145" t="e">
        <f>+'23-İL-EMOD-Öncelikli Yaşam'!#REF!</f>
        <v>#REF!</v>
      </c>
      <c r="BB38" s="145"/>
      <c r="BC38" s="83">
        <v>18526</v>
      </c>
      <c r="BD38" s="83">
        <v>1282</v>
      </c>
      <c r="BE38" s="83">
        <v>12750</v>
      </c>
      <c r="BF38" s="83">
        <v>1123</v>
      </c>
      <c r="BG38" s="83">
        <v>6229</v>
      </c>
      <c r="BH38" s="150">
        <f t="shared" si="10"/>
        <v>39910</v>
      </c>
      <c r="BI38" s="83"/>
      <c r="BJ38" s="151">
        <v>1659.9911938966109</v>
      </c>
      <c r="BK38" s="151">
        <f t="shared" si="11"/>
        <v>1668.3749878051797</v>
      </c>
      <c r="BL38" s="83"/>
      <c r="BM38" s="83"/>
      <c r="BN38" s="83">
        <f t="shared" si="1"/>
        <v>5.7577696218727905E-3</v>
      </c>
      <c r="BO38" s="83">
        <f t="shared" si="2"/>
        <v>5.7577696218727903</v>
      </c>
      <c r="BP38" s="83"/>
      <c r="BQ38" s="149">
        <v>0.01</v>
      </c>
      <c r="BR38" s="309"/>
      <c r="BS38" s="22"/>
      <c r="BT38" s="22"/>
      <c r="BU38" s="22"/>
    </row>
    <row r="39" spans="1:73" s="31" customFormat="1" ht="20.100000000000001" customHeight="1">
      <c r="A39" s="56">
        <f t="shared" si="15"/>
        <v>32</v>
      </c>
      <c r="B39" s="46" t="s">
        <v>459</v>
      </c>
      <c r="C39" s="375">
        <f t="shared" si="12"/>
        <v>72857</v>
      </c>
      <c r="D39" s="379">
        <f t="shared" si="13"/>
        <v>58729</v>
      </c>
      <c r="E39" s="379">
        <v>58729</v>
      </c>
      <c r="F39" s="379">
        <v>5556</v>
      </c>
      <c r="G39" s="376">
        <v>2419</v>
      </c>
      <c r="H39" s="379">
        <v>1357</v>
      </c>
      <c r="I39" s="797">
        <f t="shared" si="3"/>
        <v>4796</v>
      </c>
      <c r="J39" s="893">
        <v>4</v>
      </c>
      <c r="K39" s="894">
        <v>4736</v>
      </c>
      <c r="L39" s="894">
        <v>0</v>
      </c>
      <c r="M39" s="894">
        <v>0</v>
      </c>
      <c r="N39" s="894">
        <v>0</v>
      </c>
      <c r="O39" s="894">
        <v>2</v>
      </c>
      <c r="P39" s="894">
        <v>54</v>
      </c>
      <c r="Q39" s="377">
        <v>0</v>
      </c>
      <c r="R39" s="343">
        <v>379</v>
      </c>
      <c r="S39" s="348">
        <v>27151</v>
      </c>
      <c r="T39" s="348">
        <v>9000</v>
      </c>
      <c r="U39" s="353">
        <v>7418</v>
      </c>
      <c r="V39" s="610">
        <v>255</v>
      </c>
      <c r="W39" s="609">
        <v>374</v>
      </c>
      <c r="X39" s="605">
        <v>235</v>
      </c>
      <c r="Y39" s="610">
        <v>37</v>
      </c>
      <c r="Z39" s="348">
        <v>1916</v>
      </c>
      <c r="AA39" s="609">
        <v>349</v>
      </c>
      <c r="AB39" s="356">
        <v>258</v>
      </c>
      <c r="AC39" s="357">
        <v>0</v>
      </c>
      <c r="AD39" s="609">
        <v>5</v>
      </c>
      <c r="AE39" s="353">
        <v>2</v>
      </c>
      <c r="AF39" s="350">
        <f t="shared" si="4"/>
        <v>37651</v>
      </c>
      <c r="AG39" s="351">
        <f t="shared" si="5"/>
        <v>39466</v>
      </c>
      <c r="AH39" s="352">
        <f t="shared" si="14"/>
        <v>199058.27</v>
      </c>
      <c r="AI39" s="146">
        <v>23408.339638043311</v>
      </c>
      <c r="AJ39" s="148">
        <f t="shared" si="6"/>
        <v>86735.26999999999</v>
      </c>
      <c r="AK39" s="149">
        <v>1.75</v>
      </c>
      <c r="AL39" s="149">
        <v>2.2999999999999998</v>
      </c>
      <c r="AM39" s="149">
        <v>2.3199999999999998</v>
      </c>
      <c r="AN39" s="149">
        <v>2.57</v>
      </c>
      <c r="AO39" s="149">
        <v>3.49</v>
      </c>
      <c r="AP39" s="83"/>
      <c r="AQ39" s="143">
        <f t="shared" si="7"/>
        <v>0.75</v>
      </c>
      <c r="AR39" s="143">
        <f t="shared" si="8"/>
        <v>1.2999999999999998</v>
      </c>
      <c r="AS39" s="143">
        <f t="shared" si="8"/>
        <v>1.3199999999999998</v>
      </c>
      <c r="AT39" s="143">
        <f t="shared" si="8"/>
        <v>1.5699999999999998</v>
      </c>
      <c r="AU39" s="143">
        <f t="shared" si="8"/>
        <v>2.4900000000000002</v>
      </c>
      <c r="AV39" s="144">
        <f t="shared" si="0"/>
        <v>84158.049999999988</v>
      </c>
      <c r="AW39" s="145" t="s">
        <v>459</v>
      </c>
      <c r="AX39" s="336">
        <f>+'23-İL-EMOD-Öncelikli Yaşam'!F37</f>
        <v>10351.316215205414</v>
      </c>
      <c r="AY39" s="336" t="e">
        <f>+'23-İL-EMOD-Öncelikli Yaşam'!#REF!</f>
        <v>#REF!</v>
      </c>
      <c r="AZ39" s="336" t="e">
        <f t="shared" si="9"/>
        <v>#REF!</v>
      </c>
      <c r="BA39" s="145" t="e">
        <f>+'23-İL-EMOD-Öncelikli Yaşam'!#REF!</f>
        <v>#REF!</v>
      </c>
      <c r="BB39" s="145"/>
      <c r="BC39" s="83">
        <v>6588</v>
      </c>
      <c r="BD39" s="83">
        <v>306</v>
      </c>
      <c r="BE39" s="83">
        <v>5138</v>
      </c>
      <c r="BF39" s="83">
        <v>374</v>
      </c>
      <c r="BG39" s="83">
        <v>3836</v>
      </c>
      <c r="BH39" s="150">
        <f t="shared" si="10"/>
        <v>16242</v>
      </c>
      <c r="BI39" s="83"/>
      <c r="BJ39" s="151">
        <v>5958.6723287902478</v>
      </c>
      <c r="BK39" s="151">
        <f t="shared" si="11"/>
        <v>5988.7666334811074</v>
      </c>
      <c r="BL39" s="83"/>
      <c r="BM39" s="83"/>
      <c r="BN39" s="83">
        <f t="shared" si="1"/>
        <v>4.5691774133809218E-2</v>
      </c>
      <c r="BO39" s="83">
        <f t="shared" si="2"/>
        <v>45.691774133809218</v>
      </c>
      <c r="BP39" s="83"/>
      <c r="BQ39" s="149">
        <v>0.01</v>
      </c>
      <c r="BR39" s="309"/>
      <c r="BS39" s="22"/>
      <c r="BT39" s="22"/>
      <c r="BU39" s="22"/>
    </row>
    <row r="40" spans="1:73" ht="20.100000000000001" customHeight="1">
      <c r="A40" s="56">
        <f t="shared" si="15"/>
        <v>33</v>
      </c>
      <c r="B40" s="44" t="s">
        <v>33</v>
      </c>
      <c r="C40" s="375">
        <f t="shared" si="12"/>
        <v>289444</v>
      </c>
      <c r="D40" s="379">
        <f t="shared" si="13"/>
        <v>236947</v>
      </c>
      <c r="E40" s="379">
        <v>236947</v>
      </c>
      <c r="F40" s="379">
        <v>22392</v>
      </c>
      <c r="G40" s="376">
        <v>10555</v>
      </c>
      <c r="H40" s="379">
        <v>1279</v>
      </c>
      <c r="I40" s="797">
        <f t="shared" si="3"/>
        <v>18264</v>
      </c>
      <c r="J40" s="893">
        <v>10</v>
      </c>
      <c r="K40" s="894">
        <v>17579</v>
      </c>
      <c r="L40" s="894">
        <v>0</v>
      </c>
      <c r="M40" s="894">
        <v>1</v>
      </c>
      <c r="N40" s="894">
        <v>3</v>
      </c>
      <c r="O40" s="894">
        <v>251</v>
      </c>
      <c r="P40" s="894">
        <v>420</v>
      </c>
      <c r="Q40" s="708">
        <v>7</v>
      </c>
      <c r="R40" s="343">
        <v>1465</v>
      </c>
      <c r="S40" s="348">
        <v>92717</v>
      </c>
      <c r="T40" s="348">
        <v>38044</v>
      </c>
      <c r="U40" s="353">
        <v>28208</v>
      </c>
      <c r="V40" s="610">
        <v>1055</v>
      </c>
      <c r="W40" s="348">
        <v>2058</v>
      </c>
      <c r="X40" s="353">
        <v>1177</v>
      </c>
      <c r="Y40" s="610">
        <v>68</v>
      </c>
      <c r="Z40" s="348">
        <v>3344</v>
      </c>
      <c r="AA40" s="609">
        <v>892</v>
      </c>
      <c r="AB40" s="356">
        <v>676</v>
      </c>
      <c r="AC40" s="357">
        <v>0</v>
      </c>
      <c r="AD40" s="609">
        <v>2</v>
      </c>
      <c r="AE40" s="353">
        <v>2</v>
      </c>
      <c r="AF40" s="350">
        <f t="shared" si="4"/>
        <v>128712</v>
      </c>
      <c r="AG40" s="351">
        <f t="shared" si="5"/>
        <v>139645</v>
      </c>
      <c r="AH40" s="352">
        <f t="shared" si="14"/>
        <v>797346.51</v>
      </c>
      <c r="AI40" s="146">
        <v>109294.2448714471</v>
      </c>
      <c r="AJ40" s="148">
        <f t="shared" si="6"/>
        <v>368257.51</v>
      </c>
      <c r="AK40" s="149">
        <v>1.83</v>
      </c>
      <c r="AL40" s="149">
        <v>2.6</v>
      </c>
      <c r="AM40" s="149">
        <v>2.7</v>
      </c>
      <c r="AN40" s="149">
        <v>3.5</v>
      </c>
      <c r="AO40" s="149">
        <v>3.5</v>
      </c>
      <c r="AP40" s="83"/>
      <c r="AQ40" s="143">
        <f t="shared" si="7"/>
        <v>0.83000000000000007</v>
      </c>
      <c r="AR40" s="143">
        <f t="shared" si="8"/>
        <v>1.6</v>
      </c>
      <c r="AS40" s="143">
        <f t="shared" si="8"/>
        <v>1.7000000000000002</v>
      </c>
      <c r="AT40" s="143">
        <f t="shared" si="8"/>
        <v>2.5</v>
      </c>
      <c r="AU40" s="143">
        <f t="shared" si="8"/>
        <v>2.5</v>
      </c>
      <c r="AV40" s="144">
        <f t="shared" si="0"/>
        <v>362463.91000000003</v>
      </c>
      <c r="AW40" s="145" t="s">
        <v>33</v>
      </c>
      <c r="AX40" s="336">
        <f>+'23-İL-EMOD-Öncelikli Yaşam'!F38</f>
        <v>20140.026500495384</v>
      </c>
      <c r="AY40" s="336" t="e">
        <f>+'23-İL-EMOD-Öncelikli Yaşam'!#REF!</f>
        <v>#REF!</v>
      </c>
      <c r="AZ40" s="336" t="e">
        <f t="shared" si="9"/>
        <v>#REF!</v>
      </c>
      <c r="BA40" s="145" t="e">
        <f>+'23-İL-EMOD-Öncelikli Yaşam'!#REF!</f>
        <v>#REF!</v>
      </c>
      <c r="BB40" s="145"/>
      <c r="BC40" s="83">
        <v>28499</v>
      </c>
      <c r="BD40" s="83">
        <v>1576</v>
      </c>
      <c r="BE40" s="83">
        <v>12064</v>
      </c>
      <c r="BF40" s="83">
        <v>1086</v>
      </c>
      <c r="BG40" s="83">
        <v>10799</v>
      </c>
      <c r="BH40" s="150">
        <f t="shared" si="10"/>
        <v>54024</v>
      </c>
      <c r="BI40" s="83"/>
      <c r="BJ40" s="151">
        <v>6379.1847113845724</v>
      </c>
      <c r="BK40" s="151">
        <f t="shared" si="11"/>
        <v>6411.4028159875252</v>
      </c>
      <c r="BL40" s="83"/>
      <c r="BM40" s="83" t="s">
        <v>729</v>
      </c>
      <c r="BN40" s="83">
        <f t="shared" si="1"/>
        <v>4.3065423078218125E-2</v>
      </c>
      <c r="BO40" s="83">
        <f t="shared" si="2"/>
        <v>43.065423078218124</v>
      </c>
      <c r="BP40" s="83"/>
      <c r="BQ40" s="149">
        <v>0.01</v>
      </c>
      <c r="BR40" s="309"/>
      <c r="BS40" s="22"/>
      <c r="BT40" s="22"/>
      <c r="BU40" s="22"/>
    </row>
    <row r="41" spans="1:73" s="40" customFormat="1" ht="20.100000000000001" customHeight="1">
      <c r="A41" s="56">
        <f t="shared" si="15"/>
        <v>34</v>
      </c>
      <c r="B41" s="46" t="s">
        <v>34</v>
      </c>
      <c r="C41" s="375">
        <f t="shared" si="12"/>
        <v>4372639</v>
      </c>
      <c r="D41" s="379">
        <f t="shared" si="13"/>
        <v>4001430</v>
      </c>
      <c r="E41" s="379">
        <v>4001430</v>
      </c>
      <c r="F41" s="379">
        <v>216078</v>
      </c>
      <c r="G41" s="376">
        <v>104871</v>
      </c>
      <c r="H41" s="706">
        <v>236</v>
      </c>
      <c r="I41" s="797">
        <f t="shared" si="3"/>
        <v>36507</v>
      </c>
      <c r="J41" s="893">
        <v>2</v>
      </c>
      <c r="K41" s="894">
        <v>2634</v>
      </c>
      <c r="L41" s="894">
        <v>17</v>
      </c>
      <c r="M41" s="894">
        <v>995</v>
      </c>
      <c r="N41" s="894">
        <v>506</v>
      </c>
      <c r="O41" s="894">
        <v>10687</v>
      </c>
      <c r="P41" s="894">
        <v>21666</v>
      </c>
      <c r="Q41" s="353">
        <v>13517</v>
      </c>
      <c r="R41" s="343">
        <v>17933</v>
      </c>
      <c r="S41" s="348">
        <v>1353127</v>
      </c>
      <c r="T41" s="348">
        <v>414549</v>
      </c>
      <c r="U41" s="353">
        <v>336643</v>
      </c>
      <c r="V41" s="357">
        <v>12949</v>
      </c>
      <c r="W41" s="348">
        <v>12091</v>
      </c>
      <c r="X41" s="353">
        <v>8201</v>
      </c>
      <c r="Y41" s="354">
        <v>57</v>
      </c>
      <c r="Z41" s="348">
        <v>2172</v>
      </c>
      <c r="AA41" s="348">
        <v>560</v>
      </c>
      <c r="AB41" s="356">
        <v>427</v>
      </c>
      <c r="AC41" s="357">
        <v>0</v>
      </c>
      <c r="AD41" s="348">
        <v>0</v>
      </c>
      <c r="AE41" s="353">
        <v>0</v>
      </c>
      <c r="AF41" s="350">
        <f t="shared" si="4"/>
        <v>1731509</v>
      </c>
      <c r="AG41" s="351">
        <f t="shared" si="5"/>
        <v>1813438</v>
      </c>
      <c r="AH41" s="352">
        <f t="shared" si="14"/>
        <v>9880121.2819999997</v>
      </c>
      <c r="AI41" s="146">
        <v>696752.60939688981</v>
      </c>
      <c r="AJ41" s="148">
        <f t="shared" si="6"/>
        <v>3694044.2819999997</v>
      </c>
      <c r="AK41" s="149">
        <v>1.4954000000000001</v>
      </c>
      <c r="AL41" s="149">
        <v>2.1</v>
      </c>
      <c r="AM41" s="149">
        <v>2.23</v>
      </c>
      <c r="AN41" s="149">
        <v>2.89</v>
      </c>
      <c r="AO41" s="149">
        <v>2.93</v>
      </c>
      <c r="AP41" s="83"/>
      <c r="AQ41" s="143">
        <f t="shared" si="7"/>
        <v>0.49540000000000006</v>
      </c>
      <c r="AR41" s="143">
        <f t="shared" si="8"/>
        <v>1.1000000000000001</v>
      </c>
      <c r="AS41" s="143">
        <f t="shared" si="8"/>
        <v>1.23</v>
      </c>
      <c r="AT41" s="143">
        <f t="shared" si="8"/>
        <v>1.8900000000000001</v>
      </c>
      <c r="AU41" s="143">
        <f t="shared" si="8"/>
        <v>1.9300000000000002</v>
      </c>
      <c r="AV41" s="144">
        <f t="shared" si="0"/>
        <v>3691310.0220000003</v>
      </c>
      <c r="AW41" s="145" t="s">
        <v>34</v>
      </c>
      <c r="AX41" s="336">
        <f>+'23-İL-EMOD-Öncelikli Yaşam'!F39</f>
        <v>122775.08215424977</v>
      </c>
      <c r="AY41" s="336" t="e">
        <f>+'23-İL-EMOD-Öncelikli Yaşam'!#REF!</f>
        <v>#REF!</v>
      </c>
      <c r="AZ41" s="336" t="e">
        <f t="shared" si="9"/>
        <v>#REF!</v>
      </c>
      <c r="BA41" s="145" t="e">
        <f>+'23-İL-EMOD-Öncelikli Yaşam'!#REF!</f>
        <v>#REF!</v>
      </c>
      <c r="BB41" s="145"/>
      <c r="BC41" s="83">
        <v>264520</v>
      </c>
      <c r="BD41" s="83">
        <v>8075</v>
      </c>
      <c r="BE41" s="83">
        <v>78542</v>
      </c>
      <c r="BF41" s="83">
        <v>948</v>
      </c>
      <c r="BG41" s="83">
        <v>109908</v>
      </c>
      <c r="BH41" s="150">
        <f t="shared" si="10"/>
        <v>461993</v>
      </c>
      <c r="BI41" s="83"/>
      <c r="BJ41" s="151">
        <v>1019.8294056531273</v>
      </c>
      <c r="BK41" s="151">
        <f t="shared" si="11"/>
        <v>1024.980059217032</v>
      </c>
      <c r="BL41" s="83"/>
      <c r="BM41" s="83"/>
      <c r="BN41" s="83">
        <f t="shared" si="1"/>
        <v>7.9463955015320383E-3</v>
      </c>
      <c r="BO41" s="83">
        <f t="shared" si="2"/>
        <v>7.946395501532038</v>
      </c>
      <c r="BP41" s="83"/>
      <c r="BQ41" s="149">
        <v>0.01</v>
      </c>
      <c r="BR41" s="309"/>
      <c r="BS41" s="22"/>
      <c r="BT41" s="22"/>
      <c r="BU41" s="22"/>
    </row>
    <row r="42" spans="1:73" s="31" customFormat="1" ht="20.100000000000001" customHeight="1">
      <c r="A42" s="56">
        <f t="shared" si="15"/>
        <v>35</v>
      </c>
      <c r="B42" s="44" t="s">
        <v>35</v>
      </c>
      <c r="C42" s="375">
        <f t="shared" si="12"/>
        <v>971209</v>
      </c>
      <c r="D42" s="379">
        <f t="shared" si="13"/>
        <v>869702</v>
      </c>
      <c r="E42" s="379">
        <v>869702</v>
      </c>
      <c r="F42" s="379">
        <v>56498</v>
      </c>
      <c r="G42" s="376">
        <v>20710</v>
      </c>
      <c r="H42" s="379">
        <v>1638</v>
      </c>
      <c r="I42" s="797">
        <f t="shared" si="3"/>
        <v>22642</v>
      </c>
      <c r="J42" s="893">
        <v>38</v>
      </c>
      <c r="K42" s="894">
        <v>16566</v>
      </c>
      <c r="L42" s="894">
        <v>5</v>
      </c>
      <c r="M42" s="894">
        <v>40</v>
      </c>
      <c r="N42" s="894">
        <v>14</v>
      </c>
      <c r="O42" s="894">
        <v>119</v>
      </c>
      <c r="P42" s="894">
        <v>5860</v>
      </c>
      <c r="Q42" s="708">
        <v>19</v>
      </c>
      <c r="R42" s="343">
        <v>5406</v>
      </c>
      <c r="S42" s="348">
        <v>424653</v>
      </c>
      <c r="T42" s="348">
        <v>129584</v>
      </c>
      <c r="U42" s="353">
        <v>107569</v>
      </c>
      <c r="V42" s="357">
        <v>4601</v>
      </c>
      <c r="W42" s="348">
        <v>3759</v>
      </c>
      <c r="X42" s="353">
        <v>2578</v>
      </c>
      <c r="Y42" s="610">
        <v>49</v>
      </c>
      <c r="Z42" s="348">
        <v>2474</v>
      </c>
      <c r="AA42" s="609">
        <v>481</v>
      </c>
      <c r="AB42" s="356">
        <v>371</v>
      </c>
      <c r="AC42" s="357">
        <v>0</v>
      </c>
      <c r="AD42" s="348">
        <v>0</v>
      </c>
      <c r="AE42" s="353">
        <v>0</v>
      </c>
      <c r="AF42" s="350">
        <f t="shared" si="4"/>
        <v>547701</v>
      </c>
      <c r="AG42" s="351">
        <f t="shared" si="5"/>
        <v>571007</v>
      </c>
      <c r="AH42" s="352">
        <f t="shared" si="14"/>
        <v>2491323.11</v>
      </c>
      <c r="AI42" s="146">
        <v>138378.76431632787</v>
      </c>
      <c r="AJ42" s="148">
        <f t="shared" si="6"/>
        <v>949107.10999999987</v>
      </c>
      <c r="AK42" s="149">
        <v>1.44</v>
      </c>
      <c r="AL42" s="149">
        <v>2.2000000000000002</v>
      </c>
      <c r="AM42" s="149">
        <v>2.29</v>
      </c>
      <c r="AN42" s="149">
        <v>2.4</v>
      </c>
      <c r="AO42" s="149">
        <v>2.5</v>
      </c>
      <c r="AP42" s="83"/>
      <c r="AQ42" s="143">
        <f t="shared" si="7"/>
        <v>0.43999999999999995</v>
      </c>
      <c r="AR42" s="143">
        <f t="shared" si="8"/>
        <v>1.2000000000000002</v>
      </c>
      <c r="AS42" s="143">
        <f t="shared" si="8"/>
        <v>1.29</v>
      </c>
      <c r="AT42" s="143">
        <f t="shared" si="8"/>
        <v>1.4</v>
      </c>
      <c r="AU42" s="143">
        <f t="shared" si="8"/>
        <v>1.5</v>
      </c>
      <c r="AV42" s="144">
        <f t="shared" si="0"/>
        <v>945856.85</v>
      </c>
      <c r="AW42" s="145" t="s">
        <v>35</v>
      </c>
      <c r="AX42" s="336">
        <f>+'23-İL-EMOD-Öncelikli Yaşam'!F40</f>
        <v>11582.917188683525</v>
      </c>
      <c r="AY42" s="336" t="e">
        <f>+'23-İL-EMOD-Öncelikli Yaşam'!#REF!</f>
        <v>#REF!</v>
      </c>
      <c r="AZ42" s="336" t="e">
        <f t="shared" si="9"/>
        <v>#REF!</v>
      </c>
      <c r="BA42" s="145" t="e">
        <f>+'23-İL-EMOD-Öncelikli Yaşam'!#REF!</f>
        <v>#REF!</v>
      </c>
      <c r="BB42" s="145"/>
      <c r="BC42" s="83">
        <v>92425</v>
      </c>
      <c r="BD42" s="83">
        <v>2992</v>
      </c>
      <c r="BE42" s="83">
        <v>30642</v>
      </c>
      <c r="BF42" s="83">
        <v>4027</v>
      </c>
      <c r="BG42" s="83">
        <v>42857</v>
      </c>
      <c r="BH42" s="150">
        <f t="shared" si="10"/>
        <v>172943</v>
      </c>
      <c r="BI42" s="83"/>
      <c r="BJ42" s="151">
        <v>10388.127865236094</v>
      </c>
      <c r="BK42" s="151">
        <f t="shared" si="11"/>
        <v>10440.593157484762</v>
      </c>
      <c r="BL42" s="83"/>
      <c r="BM42" s="83"/>
      <c r="BN42" s="83">
        <f t="shared" si="1"/>
        <v>5.5153372167413041E-2</v>
      </c>
      <c r="BO42" s="83">
        <f t="shared" si="2"/>
        <v>55.153372167413039</v>
      </c>
      <c r="BP42" s="83"/>
      <c r="BQ42" s="149">
        <v>0.01</v>
      </c>
      <c r="BR42" s="309"/>
      <c r="BS42" s="22"/>
      <c r="BT42" s="22"/>
      <c r="BU42" s="22"/>
    </row>
    <row r="43" spans="1:73" ht="18" customHeight="1">
      <c r="A43" s="57">
        <f t="shared" si="15"/>
        <v>36</v>
      </c>
      <c r="B43" s="44" t="s">
        <v>36</v>
      </c>
      <c r="C43" s="375">
        <f t="shared" si="12"/>
        <v>27280</v>
      </c>
      <c r="D43" s="379">
        <f t="shared" si="13"/>
        <v>23668</v>
      </c>
      <c r="E43" s="379">
        <v>23668</v>
      </c>
      <c r="F43" s="379">
        <v>1879</v>
      </c>
      <c r="G43" s="705">
        <v>1245</v>
      </c>
      <c r="H43" s="706">
        <v>1</v>
      </c>
      <c r="I43" s="797">
        <f t="shared" si="3"/>
        <v>487</v>
      </c>
      <c r="J43" s="893">
        <v>2</v>
      </c>
      <c r="K43" s="894">
        <v>480</v>
      </c>
      <c r="L43" s="894">
        <v>0</v>
      </c>
      <c r="M43" s="894">
        <v>0</v>
      </c>
      <c r="N43" s="894">
        <v>1</v>
      </c>
      <c r="O43" s="894">
        <v>2</v>
      </c>
      <c r="P43" s="894">
        <v>2</v>
      </c>
      <c r="Q43" s="377">
        <v>0</v>
      </c>
      <c r="R43" s="343">
        <v>133</v>
      </c>
      <c r="S43" s="348">
        <v>4908</v>
      </c>
      <c r="T43" s="348">
        <v>3924</v>
      </c>
      <c r="U43" s="353">
        <v>2804</v>
      </c>
      <c r="V43" s="610">
        <v>96</v>
      </c>
      <c r="W43" s="609">
        <v>261</v>
      </c>
      <c r="X43" s="605">
        <v>145</v>
      </c>
      <c r="Y43" s="354">
        <v>0</v>
      </c>
      <c r="Z43" s="609">
        <v>7</v>
      </c>
      <c r="AA43" s="609">
        <v>4</v>
      </c>
      <c r="AB43" s="356">
        <v>2</v>
      </c>
      <c r="AC43" s="357">
        <v>0</v>
      </c>
      <c r="AD43" s="348">
        <v>0</v>
      </c>
      <c r="AE43" s="353">
        <v>0</v>
      </c>
      <c r="AF43" s="350">
        <f t="shared" si="4"/>
        <v>8095</v>
      </c>
      <c r="AG43" s="351">
        <f t="shared" si="5"/>
        <v>9333</v>
      </c>
      <c r="AH43" s="352">
        <f t="shared" si="14"/>
        <v>82601.223479115521</v>
      </c>
      <c r="AI43" s="146">
        <v>45072.04779042257</v>
      </c>
      <c r="AJ43" s="148">
        <f t="shared" si="6"/>
        <v>45988.223479115521</v>
      </c>
      <c r="AK43" s="149">
        <v>2.2999999999999998</v>
      </c>
      <c r="AL43" s="149">
        <v>4.0199999999999996</v>
      </c>
      <c r="AM43" s="149">
        <v>3.95</v>
      </c>
      <c r="AN43" s="149">
        <v>4.2876712328767121</v>
      </c>
      <c r="AO43" s="149">
        <v>4.297040759352317</v>
      </c>
      <c r="AP43" s="83"/>
      <c r="AQ43" s="143">
        <f t="shared" si="7"/>
        <v>1.2999999999999998</v>
      </c>
      <c r="AR43" s="143">
        <f t="shared" si="8"/>
        <v>3.0199999999999996</v>
      </c>
      <c r="AS43" s="143">
        <f t="shared" si="8"/>
        <v>2.95</v>
      </c>
      <c r="AT43" s="143">
        <f t="shared" si="8"/>
        <v>3.2876712328767121</v>
      </c>
      <c r="AU43" s="143">
        <f t="shared" si="8"/>
        <v>3.297040759352317</v>
      </c>
      <c r="AV43" s="144">
        <f t="shared" si="0"/>
        <v>45967.573479115512</v>
      </c>
      <c r="AW43" s="145" t="s">
        <v>36</v>
      </c>
      <c r="AX43" s="336">
        <f>+'23-İL-EMOD-Öncelikli Yaşam'!F41</f>
        <v>18275.460524107737</v>
      </c>
      <c r="AY43" s="336" t="e">
        <f>+'23-İL-EMOD-Öncelikli Yaşam'!#REF!</f>
        <v>#REF!</v>
      </c>
      <c r="AZ43" s="336" t="e">
        <f t="shared" si="9"/>
        <v>#REF!</v>
      </c>
      <c r="BA43" s="145" t="e">
        <f>+'23-İL-EMOD-Öncelikli Yaşam'!#REF!</f>
        <v>#REF!</v>
      </c>
      <c r="BB43" s="145"/>
      <c r="BC43" s="83">
        <v>2785</v>
      </c>
      <c r="BD43" s="83">
        <v>241</v>
      </c>
      <c r="BE43" s="83">
        <v>2634</v>
      </c>
      <c r="BF43" s="83">
        <v>180</v>
      </c>
      <c r="BG43" s="83">
        <v>1151</v>
      </c>
      <c r="BH43" s="150">
        <f t="shared" si="10"/>
        <v>6991</v>
      </c>
      <c r="BI43" s="83"/>
      <c r="BJ43" s="151">
        <v>29.529703576305653</v>
      </c>
      <c r="BK43" s="151">
        <f t="shared" si="11"/>
        <v>29.678843493357704</v>
      </c>
      <c r="BL43" s="83"/>
      <c r="BM43" s="83"/>
      <c r="BN43" s="83">
        <f t="shared" si="1"/>
        <v>3.367116737937304E-5</v>
      </c>
      <c r="BO43" s="83">
        <f t="shared" si="2"/>
        <v>3.3671167379373042E-2</v>
      </c>
      <c r="BP43" s="83"/>
      <c r="BQ43" s="149">
        <v>0.01</v>
      </c>
      <c r="BR43" s="309"/>
      <c r="BS43" s="22"/>
      <c r="BT43" s="22"/>
      <c r="BU43" s="22"/>
    </row>
    <row r="44" spans="1:73" ht="20.100000000000001" customHeight="1">
      <c r="A44" s="57">
        <f t="shared" si="15"/>
        <v>37</v>
      </c>
      <c r="B44" s="44" t="s">
        <v>37</v>
      </c>
      <c r="C44" s="375">
        <f t="shared" si="12"/>
        <v>53488</v>
      </c>
      <c r="D44" s="379">
        <f t="shared" si="13"/>
        <v>46503</v>
      </c>
      <c r="E44" s="379">
        <v>46503</v>
      </c>
      <c r="F44" s="379">
        <v>4188</v>
      </c>
      <c r="G44" s="376">
        <v>1673</v>
      </c>
      <c r="H44" s="706">
        <v>14</v>
      </c>
      <c r="I44" s="797">
        <f t="shared" si="3"/>
        <v>1109</v>
      </c>
      <c r="J44" s="893">
        <v>4</v>
      </c>
      <c r="K44" s="894">
        <v>1049</v>
      </c>
      <c r="L44" s="894">
        <v>0</v>
      </c>
      <c r="M44" s="894">
        <v>0</v>
      </c>
      <c r="N44" s="894">
        <v>0</v>
      </c>
      <c r="O44" s="894">
        <v>1</v>
      </c>
      <c r="P44" s="894">
        <v>55</v>
      </c>
      <c r="Q44" s="708">
        <v>1</v>
      </c>
      <c r="R44" s="343">
        <v>373</v>
      </c>
      <c r="S44" s="348">
        <v>26480</v>
      </c>
      <c r="T44" s="348">
        <v>10763</v>
      </c>
      <c r="U44" s="353">
        <v>9120</v>
      </c>
      <c r="V44" s="610">
        <v>305</v>
      </c>
      <c r="W44" s="609">
        <v>429</v>
      </c>
      <c r="X44" s="605">
        <v>296</v>
      </c>
      <c r="Y44" s="354">
        <v>0</v>
      </c>
      <c r="Z44" s="609">
        <v>50</v>
      </c>
      <c r="AA44" s="609">
        <v>13</v>
      </c>
      <c r="AB44" s="356">
        <v>10</v>
      </c>
      <c r="AC44" s="357">
        <v>0</v>
      </c>
      <c r="AD44" s="348">
        <v>0</v>
      </c>
      <c r="AE44" s="353">
        <v>0</v>
      </c>
      <c r="AF44" s="350">
        <f t="shared" si="4"/>
        <v>36634</v>
      </c>
      <c r="AG44" s="351">
        <f t="shared" si="5"/>
        <v>38413</v>
      </c>
      <c r="AH44" s="352">
        <f t="shared" si="14"/>
        <v>159145.95000000001</v>
      </c>
      <c r="AI44" s="146">
        <v>779.86916648945771</v>
      </c>
      <c r="AJ44" s="148">
        <f t="shared" si="6"/>
        <v>67244.950000000012</v>
      </c>
      <c r="AK44" s="149">
        <v>1.8</v>
      </c>
      <c r="AL44" s="149">
        <v>2.25</v>
      </c>
      <c r="AM44" s="149">
        <v>2.1</v>
      </c>
      <c r="AN44" s="149">
        <v>2.2000000000000002</v>
      </c>
      <c r="AO44" s="149">
        <v>2.95</v>
      </c>
      <c r="AP44" s="83"/>
      <c r="AQ44" s="143">
        <f t="shared" si="7"/>
        <v>0.8</v>
      </c>
      <c r="AR44" s="143">
        <f t="shared" si="8"/>
        <v>1.25</v>
      </c>
      <c r="AS44" s="143">
        <f t="shared" si="8"/>
        <v>1.1000000000000001</v>
      </c>
      <c r="AT44" s="143">
        <f t="shared" si="8"/>
        <v>1.2000000000000002</v>
      </c>
      <c r="AU44" s="143">
        <f t="shared" si="8"/>
        <v>1.9500000000000002</v>
      </c>
      <c r="AV44" s="144">
        <f t="shared" si="0"/>
        <v>67189.950000000012</v>
      </c>
      <c r="AW44" s="145" t="s">
        <v>37</v>
      </c>
      <c r="AX44" s="336">
        <f>+'23-İL-EMOD-Öncelikli Yaşam'!F42</f>
        <v>16630.744230704266</v>
      </c>
      <c r="AY44" s="336" t="e">
        <f>+'23-İL-EMOD-Öncelikli Yaşam'!#REF!</f>
        <v>#REF!</v>
      </c>
      <c r="AZ44" s="336" t="e">
        <f t="shared" si="9"/>
        <v>#REF!</v>
      </c>
      <c r="BA44" s="145" t="e">
        <f>+'23-İL-EMOD-Öncelikli Yaşam'!#REF!</f>
        <v>#REF!</v>
      </c>
      <c r="BB44" s="145"/>
      <c r="BC44" s="83">
        <v>8486</v>
      </c>
      <c r="BD44" s="83">
        <v>420</v>
      </c>
      <c r="BE44" s="83">
        <v>5608</v>
      </c>
      <c r="BF44" s="83">
        <v>302</v>
      </c>
      <c r="BG44" s="83">
        <v>4125</v>
      </c>
      <c r="BH44" s="150">
        <f t="shared" si="10"/>
        <v>18941</v>
      </c>
      <c r="BI44" s="83"/>
      <c r="BJ44" s="151">
        <v>94.916904352411038</v>
      </c>
      <c r="BK44" s="151">
        <f t="shared" si="11"/>
        <v>95.396282657221192</v>
      </c>
      <c r="BL44" s="83"/>
      <c r="BM44" s="83"/>
      <c r="BN44" s="83">
        <f t="shared" si="1"/>
        <v>4.7139634331122261E-4</v>
      </c>
      <c r="BO44" s="83">
        <f t="shared" si="2"/>
        <v>0.4713963433112226</v>
      </c>
      <c r="BP44" s="83"/>
      <c r="BQ44" s="149">
        <v>0.01</v>
      </c>
      <c r="BR44" s="309"/>
      <c r="BS44" s="22"/>
      <c r="BT44" s="22"/>
      <c r="BU44" s="22"/>
    </row>
    <row r="45" spans="1:73" s="977" customFormat="1" ht="20.100000000000001" customHeight="1">
      <c r="A45" s="978">
        <f t="shared" si="15"/>
        <v>38</v>
      </c>
      <c r="B45" s="951" t="s">
        <v>38</v>
      </c>
      <c r="C45" s="375">
        <f t="shared" si="12"/>
        <v>243745</v>
      </c>
      <c r="D45" s="952">
        <f t="shared" si="13"/>
        <v>213779</v>
      </c>
      <c r="E45" s="952">
        <v>213779</v>
      </c>
      <c r="F45" s="952">
        <v>19763</v>
      </c>
      <c r="G45" s="797">
        <v>7658</v>
      </c>
      <c r="H45" s="953">
        <v>1</v>
      </c>
      <c r="I45" s="797">
        <f t="shared" si="3"/>
        <v>2544</v>
      </c>
      <c r="J45" s="893">
        <v>2</v>
      </c>
      <c r="K45" s="894">
        <v>2295</v>
      </c>
      <c r="L45" s="894">
        <v>0</v>
      </c>
      <c r="M45" s="894">
        <v>0</v>
      </c>
      <c r="N45" s="894">
        <v>2</v>
      </c>
      <c r="O45" s="894">
        <v>0</v>
      </c>
      <c r="P45" s="894">
        <v>245</v>
      </c>
      <c r="Q45" s="954">
        <v>0</v>
      </c>
      <c r="R45" s="955">
        <v>1476</v>
      </c>
      <c r="S45" s="956">
        <v>88239</v>
      </c>
      <c r="T45" s="956">
        <v>34147</v>
      </c>
      <c r="U45" s="957">
        <v>27200</v>
      </c>
      <c r="V45" s="958">
        <v>1543</v>
      </c>
      <c r="W45" s="956">
        <v>1524</v>
      </c>
      <c r="X45" s="959">
        <v>957</v>
      </c>
      <c r="Y45" s="960">
        <v>2</v>
      </c>
      <c r="Z45" s="961">
        <v>92</v>
      </c>
      <c r="AA45" s="961">
        <v>43</v>
      </c>
      <c r="AB45" s="962">
        <v>27</v>
      </c>
      <c r="AC45" s="958">
        <v>0</v>
      </c>
      <c r="AD45" s="956">
        <v>0</v>
      </c>
      <c r="AE45" s="957">
        <v>0</v>
      </c>
      <c r="AF45" s="963">
        <f t="shared" si="4"/>
        <v>119536</v>
      </c>
      <c r="AG45" s="964">
        <f t="shared" si="5"/>
        <v>127066</v>
      </c>
      <c r="AH45" s="965">
        <f t="shared" si="14"/>
        <v>782838.78805570013</v>
      </c>
      <c r="AI45" s="966">
        <v>88100.545362105826</v>
      </c>
      <c r="AJ45" s="967">
        <f t="shared" si="6"/>
        <v>412027.78805570013</v>
      </c>
      <c r="AK45" s="968">
        <v>2.1</v>
      </c>
      <c r="AL45" s="968">
        <v>2.9</v>
      </c>
      <c r="AM45" s="968">
        <v>2.9187411123091587</v>
      </c>
      <c r="AN45" s="968">
        <v>3.9651810584958218</v>
      </c>
      <c r="AO45" s="968">
        <v>4.0924910607866511</v>
      </c>
      <c r="AP45" s="969"/>
      <c r="AQ45" s="970">
        <f t="shared" si="7"/>
        <v>1.1000000000000001</v>
      </c>
      <c r="AR45" s="970">
        <f t="shared" si="8"/>
        <v>1.9</v>
      </c>
      <c r="AS45" s="970">
        <f t="shared" si="8"/>
        <v>1.9187411123091587</v>
      </c>
      <c r="AT45" s="970">
        <f t="shared" si="8"/>
        <v>2.9651810584958218</v>
      </c>
      <c r="AU45" s="970">
        <f t="shared" si="8"/>
        <v>3.0924910607866511</v>
      </c>
      <c r="AV45" s="971">
        <f t="shared" si="0"/>
        <v>411847.4638733677</v>
      </c>
      <c r="AW45" s="972" t="s">
        <v>38</v>
      </c>
      <c r="AX45" s="972">
        <f>+'23-İL-EMOD-Öncelikli Yaşam'!F43</f>
        <v>6138.5735230706632</v>
      </c>
      <c r="AY45" s="972" t="e">
        <f>+'23-İL-EMOD-Öncelikli Yaşam'!#REF!</f>
        <v>#REF!</v>
      </c>
      <c r="AZ45" s="972" t="e">
        <f t="shared" si="9"/>
        <v>#REF!</v>
      </c>
      <c r="BA45" s="972" t="e">
        <f>+'23-İL-EMOD-Öncelikli Yaşam'!#REF!</f>
        <v>#REF!</v>
      </c>
      <c r="BB45" s="972"/>
      <c r="BC45" s="969">
        <v>25742</v>
      </c>
      <c r="BD45" s="969">
        <v>1308</v>
      </c>
      <c r="BE45" s="969">
        <v>9221</v>
      </c>
      <c r="BF45" s="969">
        <v>2709</v>
      </c>
      <c r="BG45" s="969">
        <v>6502</v>
      </c>
      <c r="BH45" s="973">
        <f t="shared" si="10"/>
        <v>45482</v>
      </c>
      <c r="BI45" s="969"/>
      <c r="BJ45" s="974">
        <v>12.655587246988139</v>
      </c>
      <c r="BK45" s="974">
        <f t="shared" si="11"/>
        <v>12.719504354296159</v>
      </c>
      <c r="BL45" s="969"/>
      <c r="BM45" s="969"/>
      <c r="BN45" s="969">
        <f t="shared" si="1"/>
        <v>3.367116737937304E-5</v>
      </c>
      <c r="BO45" s="969">
        <f t="shared" si="2"/>
        <v>3.3671167379373042E-2</v>
      </c>
      <c r="BP45" s="969"/>
      <c r="BQ45" s="968">
        <v>0.01</v>
      </c>
      <c r="BR45" s="975"/>
      <c r="BS45" s="976"/>
      <c r="BT45" s="976"/>
      <c r="BU45" s="976"/>
    </row>
    <row r="46" spans="1:73" ht="20.100000000000001" customHeight="1">
      <c r="A46" s="57">
        <f t="shared" si="15"/>
        <v>39</v>
      </c>
      <c r="B46" s="44" t="s">
        <v>39</v>
      </c>
      <c r="C46" s="375">
        <f t="shared" si="12"/>
        <v>71959</v>
      </c>
      <c r="D46" s="379">
        <f t="shared" si="13"/>
        <v>66183</v>
      </c>
      <c r="E46" s="379">
        <v>66183</v>
      </c>
      <c r="F46" s="379">
        <v>3214</v>
      </c>
      <c r="G46" s="376">
        <v>1303</v>
      </c>
      <c r="H46" s="706">
        <v>16</v>
      </c>
      <c r="I46" s="797">
        <f t="shared" si="3"/>
        <v>1243</v>
      </c>
      <c r="J46" s="893">
        <v>160</v>
      </c>
      <c r="K46" s="894">
        <v>991</v>
      </c>
      <c r="L46" s="894">
        <v>0</v>
      </c>
      <c r="M46" s="894">
        <v>1</v>
      </c>
      <c r="N46" s="894">
        <v>0</v>
      </c>
      <c r="O46" s="894">
        <v>2</v>
      </c>
      <c r="P46" s="894">
        <v>89</v>
      </c>
      <c r="Q46" s="377">
        <v>0</v>
      </c>
      <c r="R46" s="343">
        <v>404</v>
      </c>
      <c r="S46" s="348">
        <v>30416</v>
      </c>
      <c r="T46" s="348">
        <v>9489</v>
      </c>
      <c r="U46" s="353">
        <v>7973</v>
      </c>
      <c r="V46" s="610">
        <v>358</v>
      </c>
      <c r="W46" s="609">
        <v>320</v>
      </c>
      <c r="X46" s="605">
        <v>214</v>
      </c>
      <c r="Y46" s="610">
        <v>4</v>
      </c>
      <c r="Z46" s="609">
        <v>75</v>
      </c>
      <c r="AA46" s="609">
        <v>34</v>
      </c>
      <c r="AB46" s="356">
        <v>32</v>
      </c>
      <c r="AC46" s="357">
        <v>0</v>
      </c>
      <c r="AD46" s="348">
        <v>0</v>
      </c>
      <c r="AE46" s="353">
        <v>0</v>
      </c>
      <c r="AF46" s="350">
        <f t="shared" si="4"/>
        <v>39476</v>
      </c>
      <c r="AG46" s="351">
        <f t="shared" si="5"/>
        <v>41100</v>
      </c>
      <c r="AH46" s="352">
        <f t="shared" si="14"/>
        <v>180095.81000000003</v>
      </c>
      <c r="AI46" s="146">
        <v>4584.1647401563241</v>
      </c>
      <c r="AJ46" s="148">
        <f t="shared" si="6"/>
        <v>67036.810000000027</v>
      </c>
      <c r="AK46" s="149">
        <v>1.42</v>
      </c>
      <c r="AL46" s="149">
        <v>2.2000000000000002</v>
      </c>
      <c r="AM46" s="149">
        <v>2.25</v>
      </c>
      <c r="AN46" s="149">
        <v>2.7</v>
      </c>
      <c r="AO46" s="149">
        <v>2.75</v>
      </c>
      <c r="AP46" s="83"/>
      <c r="AQ46" s="143">
        <f t="shared" si="7"/>
        <v>0.41999999999999993</v>
      </c>
      <c r="AR46" s="143">
        <f t="shared" si="8"/>
        <v>1.2000000000000002</v>
      </c>
      <c r="AS46" s="143">
        <f t="shared" si="8"/>
        <v>1.25</v>
      </c>
      <c r="AT46" s="143">
        <f t="shared" si="8"/>
        <v>1.7000000000000002</v>
      </c>
      <c r="AU46" s="143">
        <f t="shared" si="8"/>
        <v>1.75</v>
      </c>
      <c r="AV46" s="144">
        <f t="shared" si="0"/>
        <v>66938.260000000009</v>
      </c>
      <c r="AW46" s="145" t="s">
        <v>39</v>
      </c>
      <c r="AX46" s="336">
        <f>+'23-İL-EMOD-Öncelikli Yaşam'!F44</f>
        <v>2415.6324869984528</v>
      </c>
      <c r="AY46" s="336" t="e">
        <f>+'23-İL-EMOD-Öncelikli Yaşam'!#REF!</f>
        <v>#REF!</v>
      </c>
      <c r="AZ46" s="336" t="e">
        <f t="shared" si="9"/>
        <v>#REF!</v>
      </c>
      <c r="BA46" s="145" t="e">
        <f>+'23-İL-EMOD-Öncelikli Yaşam'!#REF!</f>
        <v>#REF!</v>
      </c>
      <c r="BB46" s="145"/>
      <c r="BC46" s="83">
        <v>6660</v>
      </c>
      <c r="BD46" s="83">
        <v>290</v>
      </c>
      <c r="BE46" s="83">
        <v>4799</v>
      </c>
      <c r="BF46" s="83">
        <v>828</v>
      </c>
      <c r="BG46" s="83">
        <v>2942</v>
      </c>
      <c r="BH46" s="150">
        <f t="shared" si="10"/>
        <v>15519</v>
      </c>
      <c r="BI46" s="83"/>
      <c r="BJ46" s="151">
        <v>156.08557604618704</v>
      </c>
      <c r="BK46" s="151">
        <f t="shared" si="11"/>
        <v>156.8738870363193</v>
      </c>
      <c r="BL46" s="83"/>
      <c r="BM46" s="83"/>
      <c r="BN46" s="83">
        <f t="shared" si="1"/>
        <v>5.3873867806996864E-4</v>
      </c>
      <c r="BO46" s="83">
        <f t="shared" si="2"/>
        <v>0.53873867806996867</v>
      </c>
      <c r="BP46" s="83"/>
      <c r="BQ46" s="149">
        <v>0.01</v>
      </c>
      <c r="BR46" s="309"/>
      <c r="BS46" s="22"/>
      <c r="BT46" s="22"/>
      <c r="BU46" s="22"/>
    </row>
    <row r="47" spans="1:73" ht="17.25" customHeight="1" thickBot="1">
      <c r="A47" s="91">
        <f t="shared" si="15"/>
        <v>40</v>
      </c>
      <c r="B47" s="59" t="s">
        <v>40</v>
      </c>
      <c r="C47" s="1353">
        <f>+D47+G47+H47+I47+Q47+F47</f>
        <v>30842</v>
      </c>
      <c r="D47" s="793">
        <f t="shared" si="13"/>
        <v>25567</v>
      </c>
      <c r="E47" s="793">
        <v>25567</v>
      </c>
      <c r="F47" s="793">
        <v>2617</v>
      </c>
      <c r="G47" s="794">
        <v>1568</v>
      </c>
      <c r="H47" s="795">
        <v>149</v>
      </c>
      <c r="I47" s="939">
        <f t="shared" si="3"/>
        <v>941</v>
      </c>
      <c r="J47" s="924">
        <v>2</v>
      </c>
      <c r="K47" s="895">
        <v>929</v>
      </c>
      <c r="L47" s="937">
        <v>0</v>
      </c>
      <c r="M47" s="937">
        <v>0</v>
      </c>
      <c r="N47" s="895">
        <v>1</v>
      </c>
      <c r="O47" s="937">
        <v>0</v>
      </c>
      <c r="P47" s="895">
        <v>9</v>
      </c>
      <c r="Q47" s="796">
        <v>0</v>
      </c>
      <c r="R47" s="359">
        <v>220</v>
      </c>
      <c r="S47" s="360">
        <v>13692</v>
      </c>
      <c r="T47" s="360">
        <v>5447</v>
      </c>
      <c r="U47" s="361">
        <v>4436</v>
      </c>
      <c r="V47" s="611">
        <v>175</v>
      </c>
      <c r="W47" s="612">
        <v>231</v>
      </c>
      <c r="X47" s="606">
        <v>160</v>
      </c>
      <c r="Y47" s="611">
        <v>4</v>
      </c>
      <c r="Z47" s="612">
        <v>171</v>
      </c>
      <c r="AA47" s="612">
        <v>26</v>
      </c>
      <c r="AB47" s="734">
        <v>17</v>
      </c>
      <c r="AC47" s="359">
        <v>0</v>
      </c>
      <c r="AD47" s="360">
        <v>0</v>
      </c>
      <c r="AE47" s="361">
        <v>0</v>
      </c>
      <c r="AF47" s="362">
        <f t="shared" si="4"/>
        <v>18875</v>
      </c>
      <c r="AG47" s="363">
        <f t="shared" si="5"/>
        <v>19966</v>
      </c>
      <c r="AH47" s="840">
        <f t="shared" si="14"/>
        <v>90979.449146352112</v>
      </c>
      <c r="AI47" s="152">
        <v>7351.6879711574875</v>
      </c>
      <c r="AJ47" s="148">
        <f t="shared" si="6"/>
        <v>40171.449146352112</v>
      </c>
      <c r="AK47" s="153">
        <v>1.6</v>
      </c>
      <c r="AL47" s="153">
        <v>2.7113402061855671</v>
      </c>
      <c r="AM47" s="153">
        <v>2.69699716713881</v>
      </c>
      <c r="AN47" s="153">
        <v>3.9393939393939394</v>
      </c>
      <c r="AO47" s="153">
        <v>3.7385454545454544</v>
      </c>
      <c r="AP47" s="154"/>
      <c r="AQ47" s="155">
        <f t="shared" si="7"/>
        <v>0.60000000000000009</v>
      </c>
      <c r="AR47" s="155">
        <f t="shared" si="8"/>
        <v>1.7113402061855671</v>
      </c>
      <c r="AS47" s="155">
        <f t="shared" si="8"/>
        <v>1.69699716713881</v>
      </c>
      <c r="AT47" s="155">
        <f t="shared" si="8"/>
        <v>2.9393939393939394</v>
      </c>
      <c r="AU47" s="155">
        <f t="shared" si="8"/>
        <v>2.7385454545454544</v>
      </c>
      <c r="AV47" s="156">
        <f t="shared" si="0"/>
        <v>39874.417269946622</v>
      </c>
      <c r="AW47" s="157" t="s">
        <v>40</v>
      </c>
      <c r="AX47" s="336">
        <f>+'23-İL-EMOD-Öncelikli Yaşam'!F45</f>
        <v>12580.491012626473</v>
      </c>
      <c r="AY47" s="336" t="e">
        <f>+'23-İL-EMOD-Öncelikli Yaşam'!#REF!</f>
        <v>#REF!</v>
      </c>
      <c r="AZ47" s="336" t="e">
        <f t="shared" si="9"/>
        <v>#REF!</v>
      </c>
      <c r="BA47" s="145" t="e">
        <f>+'23-İL-EMOD-Öncelikli Yaşam'!#REF!</f>
        <v>#REF!</v>
      </c>
      <c r="BB47" s="157"/>
      <c r="BC47" s="154">
        <v>4238</v>
      </c>
      <c r="BD47" s="154">
        <v>214</v>
      </c>
      <c r="BE47" s="154">
        <v>3053</v>
      </c>
      <c r="BF47" s="154">
        <v>1853</v>
      </c>
      <c r="BG47" s="154">
        <v>1702</v>
      </c>
      <c r="BH47" s="158">
        <f t="shared" si="10"/>
        <v>11060</v>
      </c>
      <c r="BI47" s="154"/>
      <c r="BJ47" s="159">
        <v>790.97420293675884</v>
      </c>
      <c r="BK47" s="159">
        <f t="shared" si="11"/>
        <v>794.96902214351019</v>
      </c>
      <c r="BL47" s="154"/>
      <c r="BM47" s="154"/>
      <c r="BN47" s="154">
        <f t="shared" si="1"/>
        <v>5.0170039395265832E-3</v>
      </c>
      <c r="BO47" s="154">
        <f t="shared" si="2"/>
        <v>5.0170039395265835</v>
      </c>
      <c r="BP47" s="154"/>
      <c r="BQ47" s="149">
        <v>0.01</v>
      </c>
      <c r="BR47" s="309"/>
      <c r="BS47" s="22"/>
      <c r="BT47" s="22"/>
      <c r="BU47" s="22"/>
    </row>
    <row r="48" spans="1:73" ht="18" customHeight="1">
      <c r="A48" s="32" t="s">
        <v>292</v>
      </c>
      <c r="B48" s="27"/>
      <c r="C48" s="27"/>
      <c r="D48" s="28"/>
      <c r="E48" s="28"/>
      <c r="F48" s="28"/>
      <c r="G48" s="28"/>
      <c r="H48" s="28"/>
      <c r="Q48" s="225"/>
      <c r="R48" s="85"/>
      <c r="S48" s="85"/>
      <c r="T48" s="85"/>
      <c r="U48" s="85"/>
      <c r="V48" s="85"/>
      <c r="W48" s="85"/>
      <c r="X48" s="85"/>
      <c r="Y48" s="85"/>
      <c r="Z48" s="85"/>
      <c r="AA48" s="85"/>
      <c r="AB48" s="85"/>
      <c r="AC48" s="85"/>
      <c r="AD48" s="85"/>
      <c r="AE48" s="85"/>
      <c r="AF48" s="86"/>
      <c r="AG48" s="86"/>
      <c r="AH48" s="87"/>
      <c r="AI48" s="42"/>
      <c r="AJ48" s="30">
        <v>0</v>
      </c>
      <c r="AK48" s="23"/>
      <c r="AL48" s="23"/>
      <c r="AM48" s="23"/>
      <c r="AN48" s="23"/>
      <c r="AO48" s="23"/>
      <c r="AQ48" s="147"/>
      <c r="AR48" s="147"/>
      <c r="AS48" s="147"/>
      <c r="AT48" s="147"/>
      <c r="AU48" s="147"/>
      <c r="AV48" s="50"/>
      <c r="AW48" s="50"/>
      <c r="AX48" s="337"/>
      <c r="AY48" s="337"/>
      <c r="AZ48" s="337"/>
      <c r="BA48" s="50"/>
      <c r="BB48" s="50"/>
      <c r="BH48" s="22"/>
      <c r="BJ48" s="39"/>
      <c r="BK48" s="39"/>
      <c r="BS48" s="22"/>
      <c r="BT48" s="22"/>
      <c r="BU48" s="22"/>
    </row>
    <row r="49" spans="1:73" ht="14.25" customHeight="1" thickBot="1">
      <c r="A49" s="33" t="s">
        <v>293</v>
      </c>
      <c r="B49" s="21"/>
      <c r="C49" s="21"/>
      <c r="R49" s="85"/>
      <c r="S49" s="85"/>
      <c r="T49" s="85"/>
      <c r="U49" s="85"/>
      <c r="V49" s="85"/>
      <c r="W49" s="85"/>
      <c r="X49" s="85"/>
      <c r="Y49" s="85"/>
      <c r="Z49" s="85"/>
      <c r="AA49" s="85"/>
      <c r="AB49" s="85"/>
      <c r="AC49" s="85"/>
      <c r="AD49" s="85"/>
      <c r="AE49" s="85"/>
      <c r="AF49" s="86"/>
      <c r="AG49" s="1827" t="str">
        <f>+AG2</f>
        <v>2017 Nisan (April)</v>
      </c>
      <c r="AH49" s="1827"/>
      <c r="AI49" s="1827"/>
      <c r="AJ49" s="1827"/>
      <c r="AK49" s="1827"/>
      <c r="AL49" s="1827"/>
      <c r="AM49" s="1827"/>
      <c r="AN49" s="1827"/>
      <c r="AO49" s="1827"/>
      <c r="AP49" s="1827"/>
      <c r="AQ49" s="1827"/>
      <c r="AR49" s="1827"/>
      <c r="AS49" s="1827"/>
      <c r="AT49" s="1827"/>
      <c r="AU49" s="1827"/>
      <c r="AV49" s="1827"/>
      <c r="AW49" s="1827"/>
      <c r="AX49" s="1827"/>
      <c r="AY49" s="1827"/>
      <c r="AZ49" s="1827"/>
      <c r="BA49" s="1827"/>
      <c r="BB49" s="1827"/>
      <c r="BC49" s="1827"/>
      <c r="BD49" s="1827"/>
      <c r="BE49" s="1827"/>
      <c r="BF49" s="1827"/>
      <c r="BG49" s="1827"/>
      <c r="BH49" s="1827"/>
      <c r="BI49" s="1827"/>
      <c r="BJ49" s="1827"/>
      <c r="BK49" s="1827"/>
      <c r="BL49" s="1827"/>
      <c r="BM49" s="1827"/>
      <c r="BN49" s="1827"/>
      <c r="BO49" s="1827"/>
      <c r="BP49" s="1827"/>
      <c r="BQ49" s="1827"/>
      <c r="BS49" s="22"/>
      <c r="BT49" s="22"/>
      <c r="BU49" s="22"/>
    </row>
    <row r="50" spans="1:73" ht="12" customHeight="1" thickBot="1">
      <c r="A50" s="1845" t="s">
        <v>66</v>
      </c>
      <c r="B50" s="1848" t="s">
        <v>67</v>
      </c>
      <c r="C50" s="1837" t="s">
        <v>898</v>
      </c>
      <c r="D50" s="1838"/>
      <c r="E50" s="1838"/>
      <c r="F50" s="1838"/>
      <c r="G50" s="1838"/>
      <c r="H50" s="1838"/>
      <c r="I50" s="1838"/>
      <c r="J50" s="1838"/>
      <c r="K50" s="1838"/>
      <c r="L50" s="1838"/>
      <c r="M50" s="1838"/>
      <c r="N50" s="1838"/>
      <c r="O50" s="1838"/>
      <c r="P50" s="1838"/>
      <c r="Q50" s="1839"/>
      <c r="R50" s="1829" t="s">
        <v>57</v>
      </c>
      <c r="S50" s="1829"/>
      <c r="T50" s="1829"/>
      <c r="U50" s="1829"/>
      <c r="V50" s="1829"/>
      <c r="W50" s="1829"/>
      <c r="X50" s="1830"/>
      <c r="Y50" s="1829" t="s">
        <v>58</v>
      </c>
      <c r="Z50" s="1829"/>
      <c r="AA50" s="1829"/>
      <c r="AB50" s="1829"/>
      <c r="AC50" s="1829"/>
      <c r="AD50" s="1829"/>
      <c r="AE50" s="1830"/>
      <c r="AF50" s="1821" t="s">
        <v>1233</v>
      </c>
      <c r="AG50" s="1811" t="s">
        <v>1234</v>
      </c>
      <c r="AH50" s="1814" t="s">
        <v>1164</v>
      </c>
      <c r="AI50" s="176"/>
      <c r="AJ50" s="177">
        <v>0</v>
      </c>
      <c r="AK50" s="178"/>
      <c r="AL50" s="178"/>
      <c r="AM50" s="178"/>
      <c r="AN50" s="178"/>
      <c r="AO50" s="178"/>
      <c r="AP50" s="179"/>
      <c r="AQ50" s="180"/>
      <c r="AR50" s="180"/>
      <c r="AS50" s="180"/>
      <c r="AT50" s="180"/>
      <c r="AU50" s="180"/>
      <c r="AV50" s="181"/>
      <c r="AW50" s="182"/>
      <c r="AX50" s="337"/>
      <c r="AY50" s="337"/>
      <c r="AZ50" s="337"/>
      <c r="BA50" s="182"/>
      <c r="BB50" s="182"/>
      <c r="BC50" s="179"/>
      <c r="BD50" s="179"/>
      <c r="BE50" s="179"/>
      <c r="BF50" s="179"/>
      <c r="BG50" s="179"/>
      <c r="BH50" s="183"/>
      <c r="BI50" s="179"/>
      <c r="BJ50" s="184"/>
      <c r="BK50" s="184"/>
      <c r="BL50" s="179"/>
      <c r="BM50" s="179"/>
      <c r="BN50" s="179"/>
      <c r="BO50" s="179"/>
      <c r="BP50" s="179"/>
      <c r="BQ50" s="179"/>
      <c r="BS50" s="22"/>
      <c r="BT50" s="22"/>
      <c r="BU50" s="22"/>
    </row>
    <row r="51" spans="1:73" ht="21.75" customHeight="1" thickBot="1">
      <c r="A51" s="1846"/>
      <c r="B51" s="1849"/>
      <c r="C51" s="1840"/>
      <c r="D51" s="1841"/>
      <c r="E51" s="1841"/>
      <c r="F51" s="1841"/>
      <c r="G51" s="1841"/>
      <c r="H51" s="1841"/>
      <c r="I51" s="1841"/>
      <c r="J51" s="1841"/>
      <c r="K51" s="1841"/>
      <c r="L51" s="1841"/>
      <c r="M51" s="1841"/>
      <c r="N51" s="1841"/>
      <c r="O51" s="1841"/>
      <c r="P51" s="1841"/>
      <c r="Q51" s="1842"/>
      <c r="R51" s="1799" t="s">
        <v>694</v>
      </c>
      <c r="S51" s="1799"/>
      <c r="T51" s="1799"/>
      <c r="U51" s="1800"/>
      <c r="V51" s="1810" t="s">
        <v>124</v>
      </c>
      <c r="W51" s="1799"/>
      <c r="X51" s="1800"/>
      <c r="Y51" s="1810" t="s">
        <v>694</v>
      </c>
      <c r="Z51" s="1799"/>
      <c r="AA51" s="1799"/>
      <c r="AB51" s="1800"/>
      <c r="AC51" s="1799" t="s">
        <v>124</v>
      </c>
      <c r="AD51" s="1799"/>
      <c r="AE51" s="1800"/>
      <c r="AF51" s="1822"/>
      <c r="AG51" s="1812"/>
      <c r="AH51" s="1815"/>
      <c r="AI51" s="176"/>
      <c r="AJ51" s="177">
        <v>0</v>
      </c>
      <c r="AK51" s="178"/>
      <c r="AL51" s="178"/>
      <c r="AM51" s="178"/>
      <c r="AN51" s="178"/>
      <c r="AO51" s="178"/>
      <c r="AP51" s="179"/>
      <c r="AQ51" s="180"/>
      <c r="AR51" s="180"/>
      <c r="AS51" s="180"/>
      <c r="AT51" s="180"/>
      <c r="AU51" s="180"/>
      <c r="AV51" s="181"/>
      <c r="AW51" s="182"/>
      <c r="AX51" s="337"/>
      <c r="AY51" s="337"/>
      <c r="AZ51" s="337"/>
      <c r="BA51" s="182"/>
      <c r="BB51" s="182"/>
      <c r="BC51" s="179"/>
      <c r="BD51" s="179"/>
      <c r="BE51" s="179"/>
      <c r="BF51" s="179"/>
      <c r="BG51" s="179"/>
      <c r="BH51" s="183"/>
      <c r="BI51" s="179"/>
      <c r="BJ51" s="184"/>
      <c r="BK51" s="184"/>
      <c r="BL51" s="179"/>
      <c r="BM51" s="179"/>
      <c r="BN51" s="179"/>
      <c r="BO51" s="179"/>
      <c r="BP51" s="179"/>
      <c r="BQ51" s="179"/>
      <c r="BS51" s="22"/>
      <c r="BT51" s="22"/>
      <c r="BU51" s="22"/>
    </row>
    <row r="52" spans="1:73" ht="26.25" customHeight="1" thickBot="1">
      <c r="A52" s="1846"/>
      <c r="B52" s="1849"/>
      <c r="C52" s="1840"/>
      <c r="D52" s="1841"/>
      <c r="E52" s="1841"/>
      <c r="F52" s="1841"/>
      <c r="G52" s="1841"/>
      <c r="H52" s="1841"/>
      <c r="I52" s="1841"/>
      <c r="J52" s="1841"/>
      <c r="K52" s="1841"/>
      <c r="L52" s="1841"/>
      <c r="M52" s="1841"/>
      <c r="N52" s="1841"/>
      <c r="O52" s="1841"/>
      <c r="P52" s="1841"/>
      <c r="Q52" s="1842"/>
      <c r="R52" s="1806" t="s">
        <v>376</v>
      </c>
      <c r="S52" s="1806"/>
      <c r="T52" s="1806"/>
      <c r="U52" s="1807"/>
      <c r="V52" s="1803" t="s">
        <v>41</v>
      </c>
      <c r="W52" s="1804"/>
      <c r="X52" s="1805"/>
      <c r="Y52" s="1831" t="s">
        <v>376</v>
      </c>
      <c r="Z52" s="1832"/>
      <c r="AA52" s="1832"/>
      <c r="AB52" s="1833"/>
      <c r="AC52" s="1832" t="s">
        <v>41</v>
      </c>
      <c r="AD52" s="1832"/>
      <c r="AE52" s="1833"/>
      <c r="AF52" s="1822"/>
      <c r="AG52" s="1812"/>
      <c r="AH52" s="1815"/>
      <c r="AI52" s="176"/>
      <c r="AJ52" s="177">
        <v>0</v>
      </c>
      <c r="AK52" s="178"/>
      <c r="AL52" s="178"/>
      <c r="AM52" s="178"/>
      <c r="AN52" s="178"/>
      <c r="AO52" s="178"/>
      <c r="AP52" s="179"/>
      <c r="AQ52" s="180"/>
      <c r="AR52" s="180"/>
      <c r="AS52" s="180"/>
      <c r="AT52" s="180"/>
      <c r="AU52" s="180"/>
      <c r="AV52" s="181"/>
      <c r="AW52" s="182"/>
      <c r="AX52" s="337"/>
      <c r="AY52" s="337"/>
      <c r="AZ52" s="337"/>
      <c r="BA52" s="182"/>
      <c r="BB52" s="182"/>
      <c r="BC52" s="179"/>
      <c r="BD52" s="179"/>
      <c r="BE52" s="179"/>
      <c r="BF52" s="179"/>
      <c r="BG52" s="179"/>
      <c r="BH52" s="183"/>
      <c r="BI52" s="179"/>
      <c r="BJ52" s="184"/>
      <c r="BK52" s="184"/>
      <c r="BL52" s="179"/>
      <c r="BM52" s="179"/>
      <c r="BN52" s="179"/>
      <c r="BO52" s="179"/>
      <c r="BP52" s="179"/>
      <c r="BQ52" s="179"/>
      <c r="BS52" s="22"/>
      <c r="BT52" s="22"/>
      <c r="BU52" s="22"/>
    </row>
    <row r="53" spans="1:73" ht="60.75" customHeight="1">
      <c r="A53" s="1846"/>
      <c r="B53" s="1849"/>
      <c r="C53" s="1843" t="s">
        <v>1235</v>
      </c>
      <c r="D53" s="1821" t="s">
        <v>968</v>
      </c>
      <c r="E53" s="911"/>
      <c r="F53" s="911"/>
      <c r="G53" s="1801" t="s">
        <v>1214</v>
      </c>
      <c r="H53" s="1801" t="s">
        <v>1215</v>
      </c>
      <c r="I53" s="1821" t="s">
        <v>1270</v>
      </c>
      <c r="J53" s="910"/>
      <c r="K53" s="898" t="s">
        <v>729</v>
      </c>
      <c r="L53" s="900"/>
      <c r="M53" s="900"/>
      <c r="N53" s="900"/>
      <c r="O53" s="900"/>
      <c r="P53" s="899"/>
      <c r="Q53" s="941" t="s">
        <v>1216</v>
      </c>
      <c r="R53" s="1801" t="s">
        <v>1219</v>
      </c>
      <c r="S53" s="1801" t="s">
        <v>1220</v>
      </c>
      <c r="T53" s="1801" t="s">
        <v>1221</v>
      </c>
      <c r="U53" s="1801" t="s">
        <v>1222</v>
      </c>
      <c r="V53" s="1801" t="s">
        <v>1223</v>
      </c>
      <c r="W53" s="1801" t="s">
        <v>1224</v>
      </c>
      <c r="X53" s="1801" t="s">
        <v>1225</v>
      </c>
      <c r="Y53" s="1801" t="s">
        <v>1226</v>
      </c>
      <c r="Z53" s="1801" t="s">
        <v>1227</v>
      </c>
      <c r="AA53" s="1801" t="s">
        <v>1228</v>
      </c>
      <c r="AB53" s="1801" t="s">
        <v>1229</v>
      </c>
      <c r="AC53" s="1801" t="s">
        <v>1230</v>
      </c>
      <c r="AD53" s="1801" t="s">
        <v>1231</v>
      </c>
      <c r="AE53" s="1801" t="s">
        <v>1232</v>
      </c>
      <c r="AF53" s="1822"/>
      <c r="AG53" s="1812"/>
      <c r="AH53" s="1815"/>
      <c r="AI53" s="176"/>
      <c r="AJ53" s="177">
        <v>0</v>
      </c>
      <c r="AK53" s="178"/>
      <c r="AL53" s="178"/>
      <c r="AM53" s="178"/>
      <c r="AN53" s="178"/>
      <c r="AO53" s="178"/>
      <c r="AP53" s="179"/>
      <c r="AQ53" s="180"/>
      <c r="AR53" s="180"/>
      <c r="AS53" s="180"/>
      <c r="AT53" s="180"/>
      <c r="AU53" s="180"/>
      <c r="AV53" s="181"/>
      <c r="AW53" s="182"/>
      <c r="AX53" s="337"/>
      <c r="AY53" s="337"/>
      <c r="AZ53" s="337"/>
      <c r="BA53" s="182"/>
      <c r="BB53" s="182"/>
      <c r="BC53" s="179"/>
      <c r="BD53" s="179"/>
      <c r="BE53" s="179"/>
      <c r="BF53" s="179"/>
      <c r="BG53" s="179"/>
      <c r="BH53" s="183"/>
      <c r="BI53" s="179"/>
      <c r="BJ53" s="184"/>
      <c r="BK53" s="184"/>
      <c r="BL53" s="179"/>
      <c r="BM53" s="179"/>
      <c r="BN53" s="179"/>
      <c r="BO53" s="179"/>
      <c r="BP53" s="179"/>
      <c r="BQ53" s="179"/>
      <c r="BS53" s="22"/>
      <c r="BT53" s="22"/>
      <c r="BU53" s="22"/>
    </row>
    <row r="54" spans="1:73" ht="51" customHeight="1" thickBot="1">
      <c r="A54" s="1847"/>
      <c r="B54" s="1850"/>
      <c r="C54" s="1844"/>
      <c r="D54" s="1823"/>
      <c r="E54" s="912" t="s">
        <v>1161</v>
      </c>
      <c r="F54" s="912" t="s">
        <v>1256</v>
      </c>
      <c r="G54" s="1802"/>
      <c r="H54" s="1802"/>
      <c r="I54" s="1823"/>
      <c r="J54" s="910" t="s">
        <v>1162</v>
      </c>
      <c r="K54" s="898" t="s">
        <v>1155</v>
      </c>
      <c r="L54" s="901" t="s">
        <v>1156</v>
      </c>
      <c r="M54" s="901" t="s">
        <v>1157</v>
      </c>
      <c r="N54" s="901" t="s">
        <v>1158</v>
      </c>
      <c r="O54" s="901" t="s">
        <v>1159</v>
      </c>
      <c r="P54" s="898" t="s">
        <v>1160</v>
      </c>
      <c r="Q54" s="942" t="s">
        <v>531</v>
      </c>
      <c r="R54" s="1802"/>
      <c r="S54" s="1802"/>
      <c r="T54" s="1802"/>
      <c r="U54" s="1802"/>
      <c r="V54" s="1802"/>
      <c r="W54" s="1802"/>
      <c r="X54" s="1802"/>
      <c r="Y54" s="1802"/>
      <c r="Z54" s="1802"/>
      <c r="AA54" s="1802"/>
      <c r="AB54" s="1802"/>
      <c r="AC54" s="1802"/>
      <c r="AD54" s="1802"/>
      <c r="AE54" s="1802"/>
      <c r="AF54" s="1823"/>
      <c r="AG54" s="1813"/>
      <c r="AH54" s="1816"/>
      <c r="AI54" s="176"/>
      <c r="AJ54" s="177">
        <v>0</v>
      </c>
      <c r="AK54" s="178"/>
      <c r="AL54" s="178"/>
      <c r="AM54" s="178"/>
      <c r="AN54" s="178"/>
      <c r="AO54" s="178"/>
      <c r="AP54" s="179"/>
      <c r="AQ54" s="180"/>
      <c r="AR54" s="180"/>
      <c r="AS54" s="180"/>
      <c r="AT54" s="180"/>
      <c r="AU54" s="180"/>
      <c r="AV54" s="181"/>
      <c r="AW54" s="182"/>
      <c r="AX54" s="337"/>
      <c r="AY54" s="337"/>
      <c r="AZ54" s="337"/>
      <c r="BA54" s="182"/>
      <c r="BB54" s="182"/>
      <c r="BC54" s="179"/>
      <c r="BD54" s="179"/>
      <c r="BE54" s="179"/>
      <c r="BF54" s="179"/>
      <c r="BG54" s="179"/>
      <c r="BH54" s="183"/>
      <c r="BI54" s="179"/>
      <c r="BJ54" s="184"/>
      <c r="BK54" s="184"/>
      <c r="BL54" s="179"/>
      <c r="BM54" s="179"/>
      <c r="BN54" s="179"/>
      <c r="BO54" s="179"/>
      <c r="BP54" s="179"/>
      <c r="BQ54" s="179"/>
      <c r="BS54" s="22"/>
      <c r="BT54" s="22"/>
      <c r="BU54" s="22"/>
    </row>
    <row r="55" spans="1:73" s="31" customFormat="1" ht="20.100000000000001" customHeight="1">
      <c r="A55" s="57">
        <f>+A47+1</f>
        <v>41</v>
      </c>
      <c r="B55" s="44" t="s">
        <v>248</v>
      </c>
      <c r="C55" s="387">
        <f>+D55+G55+H55+I55+Q55+F55</f>
        <v>523290</v>
      </c>
      <c r="D55" s="379">
        <f>+E55</f>
        <v>478653</v>
      </c>
      <c r="E55" s="379">
        <v>478653</v>
      </c>
      <c r="F55" s="379">
        <v>27739</v>
      </c>
      <c r="G55" s="376">
        <v>10811</v>
      </c>
      <c r="H55" s="376">
        <v>912</v>
      </c>
      <c r="I55" s="797">
        <f t="shared" ref="I55:I96" si="16">+P55+O55+N55+M55+L55+K55+J55</f>
        <v>5172</v>
      </c>
      <c r="J55" s="896">
        <v>4</v>
      </c>
      <c r="K55" s="896">
        <v>4531</v>
      </c>
      <c r="L55" s="896">
        <v>0</v>
      </c>
      <c r="M55" s="896">
        <v>4</v>
      </c>
      <c r="N55" s="896">
        <v>6</v>
      </c>
      <c r="O55" s="896">
        <v>189</v>
      </c>
      <c r="P55" s="896">
        <v>438</v>
      </c>
      <c r="Q55" s="938">
        <v>3</v>
      </c>
      <c r="R55" s="364">
        <v>2322</v>
      </c>
      <c r="S55" s="348">
        <v>137489</v>
      </c>
      <c r="T55" s="348">
        <v>49344</v>
      </c>
      <c r="U55" s="353">
        <v>39513</v>
      </c>
      <c r="V55" s="357">
        <v>3109</v>
      </c>
      <c r="W55" s="348">
        <v>2299</v>
      </c>
      <c r="X55" s="353">
        <v>1505</v>
      </c>
      <c r="Y55" s="610">
        <v>18</v>
      </c>
      <c r="Z55" s="347">
        <v>1091</v>
      </c>
      <c r="AA55" s="890">
        <v>149</v>
      </c>
      <c r="AB55" s="735">
        <v>99</v>
      </c>
      <c r="AC55" s="610">
        <v>1</v>
      </c>
      <c r="AD55" s="348">
        <v>0</v>
      </c>
      <c r="AE55" s="353">
        <v>0</v>
      </c>
      <c r="AF55" s="350">
        <f>+R55+S55+U55+V55+X55+Y55+Z55+AB55+AE55+AC55</f>
        <v>185147</v>
      </c>
      <c r="AG55" s="351">
        <f>+R55+S55+T55+V55+W55+Y55+Z55+AA55+AC55+AD55</f>
        <v>195822</v>
      </c>
      <c r="AH55" s="352">
        <f>(E55*AK55)+G55+(H55*AO55)+I55+((R55+Y55)*AL55)+((S55+Z55)*AM55)+(AA55+T55)+((V55+AC55)*AN55)+(W55+AD55)+Q55+F55</f>
        <v>1338643.2061487241</v>
      </c>
      <c r="AI55" s="63">
        <v>46408.17501137685</v>
      </c>
      <c r="AJ55" s="30">
        <f>+AH55-D55-G55-H55-I55-AC55-Z55-Y55-V55-S55-R55-AD55-AA55-W55-T55-Q55-F55</f>
        <v>619531.20614872407</v>
      </c>
      <c r="AK55" s="37">
        <v>1.77</v>
      </c>
      <c r="AL55" s="37">
        <v>2.4500000000000002</v>
      </c>
      <c r="AM55" s="37">
        <v>2.7070044897873147</v>
      </c>
      <c r="AN55" s="37">
        <v>3.6955093099671412</v>
      </c>
      <c r="AO55" s="37">
        <v>3.89</v>
      </c>
      <c r="AQ55" s="24">
        <f t="shared" ref="AQ55:AQ61" si="17">+AK55-1</f>
        <v>0.77</v>
      </c>
      <c r="AR55" s="24">
        <f t="shared" ref="AR55:AU61" si="18">AL55-1</f>
        <v>1.4500000000000002</v>
      </c>
      <c r="AS55" s="24">
        <f t="shared" si="18"/>
        <v>1.7070044897873147</v>
      </c>
      <c r="AT55" s="24">
        <f t="shared" si="18"/>
        <v>2.6955093099671412</v>
      </c>
      <c r="AU55" s="24">
        <f t="shared" si="18"/>
        <v>2.89</v>
      </c>
      <c r="AV55" s="25">
        <f t="shared" ref="AV55:AV96" si="19">(D55*AQ55)+(H55*AU55)+(R55*AR55)+(S55*AS55)+(V55*AT55)</f>
        <v>617640.06874105602</v>
      </c>
      <c r="AW55" s="50" t="s">
        <v>248</v>
      </c>
      <c r="AX55" s="337">
        <f>+'23-İL-EMOD-Öncelikli Yaşam'!F46</f>
        <v>24680.278742786031</v>
      </c>
      <c r="AY55" s="337" t="e">
        <f>+'23-İL-EMOD-Öncelikli Yaşam'!#REF!</f>
        <v>#REF!</v>
      </c>
      <c r="AZ55" s="337" t="e">
        <f>+AX55-AY55</f>
        <v>#REF!</v>
      </c>
      <c r="BA55" s="50">
        <v>35870.203793297056</v>
      </c>
      <c r="BB55" s="50"/>
      <c r="BC55" s="31">
        <v>35510</v>
      </c>
      <c r="BD55" s="31">
        <v>1922</v>
      </c>
      <c r="BE55" s="31">
        <v>7481</v>
      </c>
      <c r="BF55" s="31">
        <v>818</v>
      </c>
      <c r="BG55" s="31">
        <v>8851</v>
      </c>
      <c r="BH55" s="22">
        <f t="shared" ref="BH55:BH96" si="20">SUM(BC55:BG55)</f>
        <v>54582</v>
      </c>
      <c r="BJ55" s="39">
        <v>4165.7974688002632</v>
      </c>
      <c r="BK55" s="39">
        <f t="shared" ref="BK55:BK96" si="21">+(BJ55/198000)*199000</f>
        <v>4186.8368499558201</v>
      </c>
      <c r="BN55" s="21">
        <f t="shared" ref="BN55:BN96" si="22">+H55/$H$97</f>
        <v>3.0708104649988216E-2</v>
      </c>
      <c r="BO55" s="21">
        <f t="shared" ref="BO55:BO96" si="23">+BN55*$BP$7</f>
        <v>30.708104649988215</v>
      </c>
      <c r="BQ55" s="149">
        <v>0.01</v>
      </c>
      <c r="BR55" s="309"/>
      <c r="BS55" s="22"/>
      <c r="BT55" s="22"/>
      <c r="BU55" s="22"/>
    </row>
    <row r="56" spans="1:73" ht="20.100000000000001" customHeight="1">
      <c r="A56" s="57">
        <f t="shared" ref="A56:A68" si="24">+A55+1</f>
        <v>42</v>
      </c>
      <c r="B56" s="44" t="s">
        <v>781</v>
      </c>
      <c r="C56" s="375">
        <f>+D56+G56+H56+I56+Q56+F56</f>
        <v>347596</v>
      </c>
      <c r="D56" s="379">
        <f>+E56</f>
        <v>299289</v>
      </c>
      <c r="E56" s="379">
        <v>299289</v>
      </c>
      <c r="F56" s="379">
        <v>27779</v>
      </c>
      <c r="G56" s="376">
        <v>12776</v>
      </c>
      <c r="H56" s="705">
        <v>711</v>
      </c>
      <c r="I56" s="797">
        <f t="shared" si="16"/>
        <v>7041</v>
      </c>
      <c r="J56" s="896">
        <v>6</v>
      </c>
      <c r="K56" s="896">
        <v>6623</v>
      </c>
      <c r="L56" s="896">
        <v>0</v>
      </c>
      <c r="M56" s="896">
        <v>2</v>
      </c>
      <c r="N56" s="896">
        <v>3</v>
      </c>
      <c r="O56" s="896">
        <v>381</v>
      </c>
      <c r="P56" s="896">
        <v>26</v>
      </c>
      <c r="Q56" s="377">
        <v>0</v>
      </c>
      <c r="R56" s="364">
        <v>1326</v>
      </c>
      <c r="S56" s="348">
        <v>97266</v>
      </c>
      <c r="T56" s="348">
        <v>36549</v>
      </c>
      <c r="U56" s="353">
        <v>28352</v>
      </c>
      <c r="V56" s="357">
        <v>1344</v>
      </c>
      <c r="W56" s="348">
        <v>1969</v>
      </c>
      <c r="X56" s="353">
        <v>1226</v>
      </c>
      <c r="Y56" s="610">
        <v>40</v>
      </c>
      <c r="Z56" s="348">
        <v>2767</v>
      </c>
      <c r="AA56" s="609">
        <v>489</v>
      </c>
      <c r="AB56" s="356">
        <v>374</v>
      </c>
      <c r="AC56" s="357">
        <v>0</v>
      </c>
      <c r="AD56" s="609">
        <v>1</v>
      </c>
      <c r="AE56" s="353">
        <v>1</v>
      </c>
      <c r="AF56" s="350">
        <f t="shared" ref="AF56:AF96" si="25">+R56+S56+U56+V56+X56+Y56+Z56+AB56+AE56+AC56</f>
        <v>132696</v>
      </c>
      <c r="AG56" s="351">
        <f t="shared" ref="AG56:AG96" si="26">+R56+S56+T56+V56+W56+Y56+Z56+AA56+AC56+AD56</f>
        <v>141751</v>
      </c>
      <c r="AH56" s="352">
        <f t="shared" ref="AH56:AH96" si="27">(E56*AK56)+G56+(H56*AO56)+I56+((R56+Y56)*AL56)+((S56+Z56)*AM56)+(AA56+T56)+((V56+AC56)*AN56)+(W56+AD56)+Q56+F56</f>
        <v>975930.33</v>
      </c>
      <c r="AI56" s="63">
        <v>92431.439677727409</v>
      </c>
      <c r="AJ56" s="30">
        <f>+AH56-D56-G56-H56-I56-AC56-Z56-Y56-V56-S56-R56-AD56-AA56-W56-T56-Q56-F56</f>
        <v>486583.32999999996</v>
      </c>
      <c r="AK56" s="37">
        <v>1.95</v>
      </c>
      <c r="AL56" s="37">
        <v>2.9</v>
      </c>
      <c r="AM56" s="37">
        <v>2.95</v>
      </c>
      <c r="AN56" s="37">
        <v>3.02</v>
      </c>
      <c r="AO56" s="37">
        <v>3.65</v>
      </c>
      <c r="AQ56" s="24">
        <f t="shared" si="17"/>
        <v>0.95</v>
      </c>
      <c r="AR56" s="24">
        <f t="shared" si="18"/>
        <v>1.9</v>
      </c>
      <c r="AS56" s="24">
        <f t="shared" si="18"/>
        <v>1.9500000000000002</v>
      </c>
      <c r="AT56" s="24">
        <f t="shared" si="18"/>
        <v>2.02</v>
      </c>
      <c r="AU56" s="24">
        <f t="shared" si="18"/>
        <v>2.65</v>
      </c>
      <c r="AV56" s="25">
        <f t="shared" si="19"/>
        <v>481111.68000000005</v>
      </c>
      <c r="AW56" s="50" t="s">
        <v>781</v>
      </c>
      <c r="AX56" s="337">
        <f>+'23-İL-EMOD-Öncelikli Yaşam'!F47</f>
        <v>47448.92665936565</v>
      </c>
      <c r="AY56" s="337" t="e">
        <f>+'23-İL-EMOD-Öncelikli Yaşam'!#REF!</f>
        <v>#REF!</v>
      </c>
      <c r="AZ56" s="337" t="e">
        <f t="shared" ref="AZ56:AZ97" si="28">+AX56-AY56</f>
        <v>#REF!</v>
      </c>
      <c r="BA56" s="50">
        <v>43608.862213421147</v>
      </c>
      <c r="BB56" s="50"/>
      <c r="BC56" s="21">
        <v>26602</v>
      </c>
      <c r="BD56" s="21">
        <v>1750</v>
      </c>
      <c r="BE56" s="21">
        <v>19494</v>
      </c>
      <c r="BF56" s="21">
        <v>6318</v>
      </c>
      <c r="BG56" s="21">
        <v>10898</v>
      </c>
      <c r="BH56" s="22">
        <f t="shared" si="20"/>
        <v>65062</v>
      </c>
      <c r="BJ56" s="39">
        <v>8861.0203374328612</v>
      </c>
      <c r="BK56" s="39">
        <f t="shared" si="21"/>
        <v>8905.7729653996939</v>
      </c>
      <c r="BN56" s="21">
        <f t="shared" si="22"/>
        <v>2.3940200006734233E-2</v>
      </c>
      <c r="BO56" s="21">
        <f t="shared" si="23"/>
        <v>23.940200006734234</v>
      </c>
      <c r="BQ56" s="149">
        <v>0.01</v>
      </c>
      <c r="BR56" s="309"/>
      <c r="BS56" s="22"/>
      <c r="BT56" s="22"/>
      <c r="BU56" s="22"/>
    </row>
    <row r="57" spans="1:73" s="31" customFormat="1" ht="18.75" customHeight="1">
      <c r="A57" s="57">
        <f t="shared" si="24"/>
        <v>43</v>
      </c>
      <c r="B57" s="44" t="s">
        <v>240</v>
      </c>
      <c r="C57" s="375">
        <f t="shared" ref="C57:C96" si="29">+D57+G57+H57+I57+Q57+F57</f>
        <v>96929</v>
      </c>
      <c r="D57" s="379">
        <f t="shared" ref="D57:D96" si="30">+E57</f>
        <v>83010</v>
      </c>
      <c r="E57" s="379">
        <v>83010</v>
      </c>
      <c r="F57" s="379">
        <v>8027</v>
      </c>
      <c r="G57" s="376">
        <v>2631</v>
      </c>
      <c r="H57" s="705">
        <v>17</v>
      </c>
      <c r="I57" s="797">
        <f t="shared" si="16"/>
        <v>3244</v>
      </c>
      <c r="J57" s="896">
        <v>11</v>
      </c>
      <c r="K57" s="896">
        <v>3147</v>
      </c>
      <c r="L57" s="896">
        <v>0</v>
      </c>
      <c r="M57" s="896">
        <v>0</v>
      </c>
      <c r="N57" s="896">
        <v>0</v>
      </c>
      <c r="O57" s="896">
        <v>0</v>
      </c>
      <c r="P57" s="896">
        <v>86</v>
      </c>
      <c r="Q57" s="377">
        <v>0</v>
      </c>
      <c r="R57" s="364">
        <v>691</v>
      </c>
      <c r="S57" s="348">
        <v>57212</v>
      </c>
      <c r="T57" s="348">
        <v>21649</v>
      </c>
      <c r="U57" s="353">
        <v>18958</v>
      </c>
      <c r="V57" s="610">
        <v>807</v>
      </c>
      <c r="W57" s="609">
        <v>950</v>
      </c>
      <c r="X57" s="605">
        <v>689</v>
      </c>
      <c r="Y57" s="610">
        <v>3</v>
      </c>
      <c r="Z57" s="609">
        <v>129</v>
      </c>
      <c r="AA57" s="609">
        <v>33</v>
      </c>
      <c r="AB57" s="356">
        <v>29</v>
      </c>
      <c r="AC57" s="357">
        <v>0</v>
      </c>
      <c r="AD57" s="348">
        <v>0</v>
      </c>
      <c r="AE57" s="353">
        <v>0</v>
      </c>
      <c r="AF57" s="350">
        <f t="shared" si="25"/>
        <v>78518</v>
      </c>
      <c r="AG57" s="351">
        <f t="shared" si="26"/>
        <v>81474</v>
      </c>
      <c r="AH57" s="352">
        <f t="shared" si="27"/>
        <v>333960.8</v>
      </c>
      <c r="AI57" s="63">
        <v>95488.37618024752</v>
      </c>
      <c r="AJ57" s="30">
        <f t="shared" ref="AJ57:AJ96" si="31">+AH57-D57-G57-H57-I57-AC57-Z57-Y57-V57-S57-R57-AD57-AA57-W57-T57-Q57-F57</f>
        <v>155557.79999999999</v>
      </c>
      <c r="AK57" s="37">
        <v>2.13</v>
      </c>
      <c r="AL57" s="37">
        <v>2.02</v>
      </c>
      <c r="AM57" s="37">
        <v>2.0499999999999998</v>
      </c>
      <c r="AN57" s="37">
        <v>2.0099999999999998</v>
      </c>
      <c r="AO57" s="37">
        <v>2.5</v>
      </c>
      <c r="AQ57" s="41">
        <f t="shared" si="17"/>
        <v>1.1299999999999999</v>
      </c>
      <c r="AR57" s="41">
        <f t="shared" si="18"/>
        <v>1.02</v>
      </c>
      <c r="AS57" s="41">
        <f t="shared" si="18"/>
        <v>1.0499999999999998</v>
      </c>
      <c r="AT57" s="41">
        <f t="shared" si="18"/>
        <v>1.0099999999999998</v>
      </c>
      <c r="AU57" s="41">
        <f t="shared" si="18"/>
        <v>1.5</v>
      </c>
      <c r="AV57" s="25">
        <f t="shared" si="19"/>
        <v>155419.28999999998</v>
      </c>
      <c r="AW57" s="51" t="s">
        <v>240</v>
      </c>
      <c r="AX57" s="337">
        <f>+'23-İL-EMOD-Öncelikli Yaşam'!F48</f>
        <v>16394.671293914318</v>
      </c>
      <c r="AY57" s="337" t="e">
        <f>+'23-İL-EMOD-Öncelikli Yaşam'!#REF!</f>
        <v>#REF!</v>
      </c>
      <c r="AZ57" s="337" t="e">
        <f t="shared" si="28"/>
        <v>#REF!</v>
      </c>
      <c r="BA57" s="51">
        <v>19838.845403235289</v>
      </c>
      <c r="BB57" s="51"/>
      <c r="BC57" s="31">
        <v>17674</v>
      </c>
      <c r="BD57" s="31">
        <v>923</v>
      </c>
      <c r="BE57" s="31">
        <v>4384</v>
      </c>
      <c r="BF57" s="31">
        <v>1393</v>
      </c>
      <c r="BG57" s="31">
        <v>3433</v>
      </c>
      <c r="BH57" s="22">
        <f t="shared" si="20"/>
        <v>27807</v>
      </c>
      <c r="BJ57" s="39">
        <v>126.55587246988138</v>
      </c>
      <c r="BK57" s="39">
        <f t="shared" si="21"/>
        <v>127.19504354296159</v>
      </c>
      <c r="BN57" s="21">
        <f t="shared" si="22"/>
        <v>5.7240984544934168E-4</v>
      </c>
      <c r="BO57" s="21">
        <f t="shared" si="23"/>
        <v>0.5724098454493417</v>
      </c>
      <c r="BQ57" s="149">
        <v>0.01</v>
      </c>
      <c r="BR57" s="309"/>
      <c r="BS57" s="22"/>
      <c r="BT57" s="22"/>
      <c r="BU57" s="22"/>
    </row>
    <row r="58" spans="1:73" ht="20.100000000000001" customHeight="1">
      <c r="A58" s="57">
        <f t="shared" si="24"/>
        <v>44</v>
      </c>
      <c r="B58" s="45" t="s">
        <v>241</v>
      </c>
      <c r="C58" s="375">
        <f t="shared" si="29"/>
        <v>118523</v>
      </c>
      <c r="D58" s="379">
        <f t="shared" si="30"/>
        <v>93272</v>
      </c>
      <c r="E58" s="379">
        <v>93272</v>
      </c>
      <c r="F58" s="379">
        <v>12580</v>
      </c>
      <c r="G58" s="376">
        <v>4785</v>
      </c>
      <c r="H58" s="376">
        <v>1724</v>
      </c>
      <c r="I58" s="797">
        <f t="shared" si="16"/>
        <v>6162</v>
      </c>
      <c r="J58" s="896">
        <v>2</v>
      </c>
      <c r="K58" s="896">
        <v>6122</v>
      </c>
      <c r="L58" s="896">
        <v>0</v>
      </c>
      <c r="M58" s="896">
        <v>1</v>
      </c>
      <c r="N58" s="896">
        <v>0</v>
      </c>
      <c r="O58" s="896">
        <v>35</v>
      </c>
      <c r="P58" s="896">
        <v>2</v>
      </c>
      <c r="Q58" s="377">
        <v>0</v>
      </c>
      <c r="R58" s="364">
        <v>740</v>
      </c>
      <c r="S58" s="348">
        <v>36364</v>
      </c>
      <c r="T58" s="348">
        <v>17285</v>
      </c>
      <c r="U58" s="353">
        <v>13304</v>
      </c>
      <c r="V58" s="610">
        <v>434</v>
      </c>
      <c r="W58" s="609">
        <v>722</v>
      </c>
      <c r="X58" s="605">
        <v>431</v>
      </c>
      <c r="Y58" s="610">
        <v>37</v>
      </c>
      <c r="Z58" s="348">
        <v>2680</v>
      </c>
      <c r="AA58" s="609">
        <v>492</v>
      </c>
      <c r="AB58" s="356">
        <v>314</v>
      </c>
      <c r="AC58" s="357">
        <v>0</v>
      </c>
      <c r="AD58" s="348">
        <v>0</v>
      </c>
      <c r="AE58" s="353">
        <v>0</v>
      </c>
      <c r="AF58" s="350">
        <f t="shared" si="25"/>
        <v>54304</v>
      </c>
      <c r="AG58" s="351">
        <f t="shared" si="26"/>
        <v>58754</v>
      </c>
      <c r="AH58" s="352">
        <f t="shared" si="27"/>
        <v>355963.72856722196</v>
      </c>
      <c r="AI58" s="63">
        <v>43745.555241757189</v>
      </c>
      <c r="AJ58" s="30">
        <f t="shared" si="31"/>
        <v>178686.72856722196</v>
      </c>
      <c r="AK58" s="37">
        <v>2.1</v>
      </c>
      <c r="AL58" s="37">
        <v>2.38</v>
      </c>
      <c r="AM58" s="37">
        <v>2.75</v>
      </c>
      <c r="AN58" s="37">
        <v>3.7004405286343611</v>
      </c>
      <c r="AO58" s="37">
        <v>4.199696854869269</v>
      </c>
      <c r="AQ58" s="24">
        <f t="shared" si="17"/>
        <v>1.1000000000000001</v>
      </c>
      <c r="AR58" s="24">
        <f t="shared" si="18"/>
        <v>1.38</v>
      </c>
      <c r="AS58" s="24">
        <f t="shared" si="18"/>
        <v>1.75</v>
      </c>
      <c r="AT58" s="24">
        <f t="shared" si="18"/>
        <v>2.7004405286343611</v>
      </c>
      <c r="AU58" s="24">
        <f t="shared" si="18"/>
        <v>3.199696854869269</v>
      </c>
      <c r="AV58" s="25">
        <f t="shared" si="19"/>
        <v>173945.66856722196</v>
      </c>
      <c r="AW58" s="50" t="s">
        <v>241</v>
      </c>
      <c r="AX58" s="337">
        <f>+'23-İL-EMOD-Öncelikli Yaşam'!F49</f>
        <v>37312.323609703453</v>
      </c>
      <c r="AY58" s="337" t="e">
        <f>+'23-İL-EMOD-Öncelikli Yaşam'!#REF!</f>
        <v>#REF!</v>
      </c>
      <c r="AZ58" s="337" t="e">
        <f t="shared" si="28"/>
        <v>#REF!</v>
      </c>
      <c r="BA58" s="50">
        <v>34249.384162169299</v>
      </c>
      <c r="BB58" s="50"/>
      <c r="BC58" s="21">
        <v>13574</v>
      </c>
      <c r="BD58" s="21">
        <v>603</v>
      </c>
      <c r="BE58" s="21">
        <v>5855</v>
      </c>
      <c r="BF58" s="21">
        <v>466</v>
      </c>
      <c r="BG58" s="21">
        <v>4901</v>
      </c>
      <c r="BH58" s="22">
        <f t="shared" si="20"/>
        <v>25399</v>
      </c>
      <c r="BJ58" s="39">
        <v>12971.976928162838</v>
      </c>
      <c r="BK58" s="39">
        <f t="shared" si="21"/>
        <v>13037.491963153559</v>
      </c>
      <c r="BN58" s="21">
        <f t="shared" si="22"/>
        <v>5.8049092562039127E-2</v>
      </c>
      <c r="BO58" s="21">
        <f t="shared" si="23"/>
        <v>58.049092562039128</v>
      </c>
      <c r="BQ58" s="149">
        <v>0.01</v>
      </c>
      <c r="BR58" s="309"/>
      <c r="BS58" s="22"/>
      <c r="BT58" s="22"/>
      <c r="BU58" s="22"/>
    </row>
    <row r="59" spans="1:73" ht="20.100000000000001" customHeight="1">
      <c r="A59" s="57">
        <f t="shared" si="24"/>
        <v>45</v>
      </c>
      <c r="B59" s="45" t="s">
        <v>242</v>
      </c>
      <c r="C59" s="375">
        <f t="shared" si="29"/>
        <v>273270</v>
      </c>
      <c r="D59" s="379">
        <f t="shared" si="30"/>
        <v>234835</v>
      </c>
      <c r="E59" s="379">
        <v>234835</v>
      </c>
      <c r="F59" s="379">
        <v>19167</v>
      </c>
      <c r="G59" s="376">
        <v>8028</v>
      </c>
      <c r="H59" s="376">
        <v>1318</v>
      </c>
      <c r="I59" s="797">
        <f t="shared" si="16"/>
        <v>9922</v>
      </c>
      <c r="J59" s="896">
        <v>9</v>
      </c>
      <c r="K59" s="896">
        <v>9725</v>
      </c>
      <c r="L59" s="896">
        <v>0</v>
      </c>
      <c r="M59" s="896">
        <v>1</v>
      </c>
      <c r="N59" s="896">
        <v>0</v>
      </c>
      <c r="O59" s="896">
        <v>3</v>
      </c>
      <c r="P59" s="896">
        <v>184</v>
      </c>
      <c r="Q59" s="377">
        <v>0</v>
      </c>
      <c r="R59" s="364">
        <v>1206</v>
      </c>
      <c r="S59" s="348">
        <v>82525</v>
      </c>
      <c r="T59" s="348">
        <v>27951</v>
      </c>
      <c r="U59" s="353">
        <v>22674</v>
      </c>
      <c r="V59" s="357">
        <v>1193</v>
      </c>
      <c r="W59" s="348">
        <v>1700</v>
      </c>
      <c r="X59" s="605">
        <v>991</v>
      </c>
      <c r="Y59" s="610">
        <v>34</v>
      </c>
      <c r="Z59" s="348">
        <v>1343</v>
      </c>
      <c r="AA59" s="609">
        <v>315</v>
      </c>
      <c r="AB59" s="356">
        <v>258</v>
      </c>
      <c r="AC59" s="357">
        <v>0</v>
      </c>
      <c r="AD59" s="348">
        <v>0</v>
      </c>
      <c r="AE59" s="353">
        <v>0</v>
      </c>
      <c r="AF59" s="350">
        <f t="shared" si="25"/>
        <v>110224</v>
      </c>
      <c r="AG59" s="351">
        <f t="shared" si="26"/>
        <v>116267</v>
      </c>
      <c r="AH59" s="352">
        <f t="shared" si="27"/>
        <v>702632.44678509026</v>
      </c>
      <c r="AI59" s="63">
        <v>56682.889567245264</v>
      </c>
      <c r="AJ59" s="30">
        <f t="shared" si="31"/>
        <v>313095.44678509026</v>
      </c>
      <c r="AK59" s="37">
        <v>1.78</v>
      </c>
      <c r="AL59" s="37">
        <v>2.15</v>
      </c>
      <c r="AM59" s="37">
        <v>2.4583095005258593</v>
      </c>
      <c r="AN59" s="37">
        <v>3.4736842105263159</v>
      </c>
      <c r="AO59" s="37">
        <v>3.4594387950149095</v>
      </c>
      <c r="AQ59" s="24">
        <f t="shared" si="17"/>
        <v>0.78</v>
      </c>
      <c r="AR59" s="24">
        <f t="shared" si="18"/>
        <v>1.1499999999999999</v>
      </c>
      <c r="AS59" s="24">
        <f t="shared" si="18"/>
        <v>1.4583095005258593</v>
      </c>
      <c r="AT59" s="24">
        <f t="shared" si="18"/>
        <v>2.4736842105263159</v>
      </c>
      <c r="AU59" s="24">
        <f t="shared" si="18"/>
        <v>2.4594387950149095</v>
      </c>
      <c r="AV59" s="25">
        <f t="shared" si="19"/>
        <v>311097.83712588414</v>
      </c>
      <c r="AW59" s="50" t="s">
        <v>242</v>
      </c>
      <c r="AX59" s="337">
        <f>+'23-İL-EMOD-Öncelikli Yaşam'!F50</f>
        <v>25823.56054051267</v>
      </c>
      <c r="AY59" s="337" t="e">
        <f>+'23-İL-EMOD-Öncelikli Yaşam'!#REF!</f>
        <v>#REF!</v>
      </c>
      <c r="AZ59" s="337" t="e">
        <f t="shared" si="28"/>
        <v>#REF!</v>
      </c>
      <c r="BA59" s="50">
        <v>34000.732745486079</v>
      </c>
      <c r="BB59" s="50"/>
      <c r="BC59" s="21">
        <v>19133</v>
      </c>
      <c r="BD59" s="21">
        <v>1010</v>
      </c>
      <c r="BE59" s="21">
        <v>12736</v>
      </c>
      <c r="BF59" s="21">
        <v>4141</v>
      </c>
      <c r="BG59" s="21">
        <v>6822</v>
      </c>
      <c r="BH59" s="22">
        <f t="shared" si="20"/>
        <v>43842</v>
      </c>
      <c r="BJ59" s="39">
        <v>6225.4942932475815</v>
      </c>
      <c r="BK59" s="39">
        <f t="shared" si="21"/>
        <v>6256.9361836175194</v>
      </c>
      <c r="BN59" s="21">
        <f t="shared" si="22"/>
        <v>4.4378598606013668E-2</v>
      </c>
      <c r="BO59" s="21">
        <f t="shared" si="23"/>
        <v>44.378598606013668</v>
      </c>
      <c r="BQ59" s="149">
        <v>0.01</v>
      </c>
      <c r="BR59" s="309"/>
      <c r="BS59" s="22"/>
      <c r="BT59" s="22"/>
      <c r="BU59" s="22"/>
    </row>
    <row r="60" spans="1:73" ht="20.100000000000001" customHeight="1">
      <c r="A60" s="57">
        <f t="shared" si="24"/>
        <v>46</v>
      </c>
      <c r="B60" s="45" t="s">
        <v>243</v>
      </c>
      <c r="C60" s="375">
        <f t="shared" si="29"/>
        <v>163996</v>
      </c>
      <c r="D60" s="379">
        <f t="shared" si="30"/>
        <v>140012</v>
      </c>
      <c r="E60" s="379">
        <v>140012</v>
      </c>
      <c r="F60" s="379">
        <v>13383</v>
      </c>
      <c r="G60" s="376">
        <v>7244</v>
      </c>
      <c r="H60" s="705">
        <v>6</v>
      </c>
      <c r="I60" s="797">
        <f t="shared" si="16"/>
        <v>3351</v>
      </c>
      <c r="J60" s="896">
        <v>3</v>
      </c>
      <c r="K60" s="896">
        <v>3254</v>
      </c>
      <c r="L60" s="896">
        <v>0</v>
      </c>
      <c r="M60" s="896">
        <v>0</v>
      </c>
      <c r="N60" s="896">
        <v>3</v>
      </c>
      <c r="O60" s="896">
        <v>0</v>
      </c>
      <c r="P60" s="896">
        <v>91</v>
      </c>
      <c r="Q60" s="377">
        <v>0</v>
      </c>
      <c r="R60" s="364">
        <v>602</v>
      </c>
      <c r="S60" s="348">
        <v>36591</v>
      </c>
      <c r="T60" s="348">
        <v>13997</v>
      </c>
      <c r="U60" s="353">
        <v>9782</v>
      </c>
      <c r="V60" s="610">
        <v>769</v>
      </c>
      <c r="W60" s="348">
        <v>1376</v>
      </c>
      <c r="X60" s="605">
        <v>740</v>
      </c>
      <c r="Y60" s="610">
        <v>1</v>
      </c>
      <c r="Z60" s="609">
        <v>69</v>
      </c>
      <c r="AA60" s="609">
        <v>43</v>
      </c>
      <c r="AB60" s="356">
        <v>32</v>
      </c>
      <c r="AC60" s="357">
        <v>0</v>
      </c>
      <c r="AD60" s="348">
        <v>0</v>
      </c>
      <c r="AE60" s="353">
        <v>0</v>
      </c>
      <c r="AF60" s="350">
        <f t="shared" si="25"/>
        <v>48586</v>
      </c>
      <c r="AG60" s="351">
        <f t="shared" si="26"/>
        <v>53448</v>
      </c>
      <c r="AH60" s="352">
        <f t="shared" si="27"/>
        <v>564614.69361555309</v>
      </c>
      <c r="AI60" s="63">
        <v>57298.900820851792</v>
      </c>
      <c r="AJ60" s="30">
        <f t="shared" si="31"/>
        <v>347170.69361555309</v>
      </c>
      <c r="AK60" s="37">
        <v>2.69</v>
      </c>
      <c r="AL60" s="37">
        <v>3.6</v>
      </c>
      <c r="AM60" s="37">
        <v>3.9</v>
      </c>
      <c r="AN60" s="37">
        <v>4.4447592067988673</v>
      </c>
      <c r="AO60" s="37">
        <v>4.2656309208033347</v>
      </c>
      <c r="AQ60" s="24">
        <f t="shared" si="17"/>
        <v>1.69</v>
      </c>
      <c r="AR60" s="24">
        <f t="shared" si="18"/>
        <v>2.6</v>
      </c>
      <c r="AS60" s="24">
        <f t="shared" si="18"/>
        <v>2.9</v>
      </c>
      <c r="AT60" s="24">
        <f t="shared" si="18"/>
        <v>3.4447592067988673</v>
      </c>
      <c r="AU60" s="24">
        <f t="shared" si="18"/>
        <v>3.2656309208033347</v>
      </c>
      <c r="AV60" s="25">
        <f t="shared" si="19"/>
        <v>346967.99361555319</v>
      </c>
      <c r="AW60" s="50" t="s">
        <v>243</v>
      </c>
      <c r="AX60" s="337">
        <f>+'23-İL-EMOD-Öncelikli Yaşam'!F51</f>
        <v>36670.781318660825</v>
      </c>
      <c r="AY60" s="337" t="e">
        <f>+'23-İL-EMOD-Öncelikli Yaşam'!#REF!</f>
        <v>#REF!</v>
      </c>
      <c r="AZ60" s="337" t="e">
        <f t="shared" si="28"/>
        <v>#REF!</v>
      </c>
      <c r="BA60" s="50">
        <v>48011.85384508851</v>
      </c>
      <c r="BB60" s="50"/>
      <c r="BC60" s="21">
        <v>9055</v>
      </c>
      <c r="BD60" s="21">
        <v>1046</v>
      </c>
      <c r="BE60" s="21">
        <v>5966</v>
      </c>
      <c r="BF60" s="21">
        <v>278</v>
      </c>
      <c r="BG60" s="21">
        <v>3848</v>
      </c>
      <c r="BH60" s="22">
        <f t="shared" si="20"/>
        <v>20193</v>
      </c>
      <c r="BJ60" s="39">
        <v>98.080801164158061</v>
      </c>
      <c r="BK60" s="39">
        <f t="shared" si="21"/>
        <v>98.576158745795226</v>
      </c>
      <c r="BN60" s="21">
        <f t="shared" si="22"/>
        <v>2.0202700427623827E-4</v>
      </c>
      <c r="BO60" s="21">
        <f t="shared" si="23"/>
        <v>0.20202700427623826</v>
      </c>
      <c r="BQ60" s="149">
        <v>0.01</v>
      </c>
      <c r="BR60" s="309"/>
      <c r="BS60" s="22"/>
      <c r="BT60" s="22"/>
      <c r="BU60" s="22"/>
    </row>
    <row r="61" spans="1:73" ht="20.100000000000001" customHeight="1">
      <c r="A61" s="57">
        <f t="shared" si="24"/>
        <v>47</v>
      </c>
      <c r="B61" s="45" t="s">
        <v>244</v>
      </c>
      <c r="C61" s="375">
        <f t="shared" si="29"/>
        <v>78412</v>
      </c>
      <c r="D61" s="379">
        <f t="shared" si="30"/>
        <v>67264</v>
      </c>
      <c r="E61" s="379">
        <v>67264</v>
      </c>
      <c r="F61" s="379">
        <v>7333</v>
      </c>
      <c r="G61" s="376">
        <v>3515</v>
      </c>
      <c r="H61" s="705">
        <v>14</v>
      </c>
      <c r="I61" s="797">
        <f t="shared" si="16"/>
        <v>286</v>
      </c>
      <c r="J61" s="896">
        <v>0</v>
      </c>
      <c r="K61" s="896">
        <v>284</v>
      </c>
      <c r="L61" s="896">
        <v>0</v>
      </c>
      <c r="M61" s="896">
        <v>0</v>
      </c>
      <c r="N61" s="896">
        <v>0</v>
      </c>
      <c r="O61" s="896">
        <v>0</v>
      </c>
      <c r="P61" s="896">
        <v>2</v>
      </c>
      <c r="Q61" s="377">
        <v>0</v>
      </c>
      <c r="R61" s="364">
        <v>136</v>
      </c>
      <c r="S61" s="348">
        <v>7821</v>
      </c>
      <c r="T61" s="348">
        <v>7376</v>
      </c>
      <c r="U61" s="353">
        <v>3914</v>
      </c>
      <c r="V61" s="610">
        <v>171</v>
      </c>
      <c r="W61" s="609">
        <v>716</v>
      </c>
      <c r="X61" s="605">
        <v>308</v>
      </c>
      <c r="Y61" s="354">
        <v>0</v>
      </c>
      <c r="Z61" s="609">
        <v>35</v>
      </c>
      <c r="AA61" s="609">
        <v>31</v>
      </c>
      <c r="AB61" s="356">
        <v>11</v>
      </c>
      <c r="AC61" s="357">
        <v>0</v>
      </c>
      <c r="AD61" s="348">
        <v>0</v>
      </c>
      <c r="AE61" s="353">
        <v>0</v>
      </c>
      <c r="AF61" s="350">
        <f t="shared" si="25"/>
        <v>12396</v>
      </c>
      <c r="AG61" s="351">
        <f t="shared" si="26"/>
        <v>16286</v>
      </c>
      <c r="AH61" s="352">
        <f t="shared" si="27"/>
        <v>251855.29999999996</v>
      </c>
      <c r="AI61" s="63">
        <v>83458.147953071399</v>
      </c>
      <c r="AJ61" s="30">
        <f t="shared" si="31"/>
        <v>157157.29999999996</v>
      </c>
      <c r="AK61" s="37">
        <v>2.8</v>
      </c>
      <c r="AL61" s="37">
        <v>5.6</v>
      </c>
      <c r="AM61" s="37">
        <v>5.4</v>
      </c>
      <c r="AN61" s="37">
        <v>5.8</v>
      </c>
      <c r="AO61" s="37">
        <v>5.95</v>
      </c>
      <c r="AQ61" s="24">
        <f t="shared" si="17"/>
        <v>1.7999999999999998</v>
      </c>
      <c r="AR61" s="24">
        <f t="shared" si="18"/>
        <v>4.5999999999999996</v>
      </c>
      <c r="AS61" s="24">
        <f t="shared" si="18"/>
        <v>4.4000000000000004</v>
      </c>
      <c r="AT61" s="24">
        <f t="shared" si="18"/>
        <v>4.8</v>
      </c>
      <c r="AU61" s="24">
        <f t="shared" si="18"/>
        <v>4.95</v>
      </c>
      <c r="AV61" s="25">
        <f t="shared" si="19"/>
        <v>157003.29999999999</v>
      </c>
      <c r="AW61" s="50" t="s">
        <v>244</v>
      </c>
      <c r="AX61" s="337">
        <f>+'23-İL-EMOD-Öncelikli Yaşam'!F52</f>
        <v>20365.158303246018</v>
      </c>
      <c r="AY61" s="337" t="e">
        <f>+'23-İL-EMOD-Öncelikli Yaşam'!#REF!</f>
        <v>#REF!</v>
      </c>
      <c r="AZ61" s="337" t="e">
        <f t="shared" si="28"/>
        <v>#REF!</v>
      </c>
      <c r="BA61" s="50">
        <v>23205.40528991539</v>
      </c>
      <c r="BB61" s="50"/>
      <c r="BC61" s="21">
        <v>4954</v>
      </c>
      <c r="BD61" s="21">
        <v>524</v>
      </c>
      <c r="BE61" s="21">
        <v>5219</v>
      </c>
      <c r="BF61" s="21">
        <v>261</v>
      </c>
      <c r="BG61" s="21">
        <v>2527</v>
      </c>
      <c r="BH61" s="22">
        <f t="shared" si="20"/>
        <v>13485</v>
      </c>
      <c r="BJ61" s="39">
        <v>92.807639811246318</v>
      </c>
      <c r="BK61" s="39">
        <f t="shared" si="21"/>
        <v>93.276365264838475</v>
      </c>
      <c r="BN61" s="21">
        <f t="shared" si="22"/>
        <v>4.7139634331122261E-4</v>
      </c>
      <c r="BO61" s="21">
        <f t="shared" si="23"/>
        <v>0.4713963433112226</v>
      </c>
      <c r="BQ61" s="149">
        <v>0.01</v>
      </c>
      <c r="BR61" s="309"/>
      <c r="BS61" s="22"/>
      <c r="BT61" s="22"/>
      <c r="BU61" s="22"/>
    </row>
    <row r="62" spans="1:73" ht="20.100000000000001" customHeight="1">
      <c r="A62" s="57">
        <f t="shared" si="24"/>
        <v>48</v>
      </c>
      <c r="B62" s="45" t="s">
        <v>491</v>
      </c>
      <c r="C62" s="375">
        <f t="shared" si="29"/>
        <v>211402</v>
      </c>
      <c r="D62" s="379">
        <f t="shared" si="30"/>
        <v>188080</v>
      </c>
      <c r="E62" s="379">
        <v>188080</v>
      </c>
      <c r="F62" s="379">
        <v>8504</v>
      </c>
      <c r="G62" s="376">
        <v>4543</v>
      </c>
      <c r="H62" s="376">
        <v>1097</v>
      </c>
      <c r="I62" s="797">
        <f t="shared" si="16"/>
        <v>9171</v>
      </c>
      <c r="J62" s="896">
        <v>2</v>
      </c>
      <c r="K62" s="896">
        <v>8519</v>
      </c>
      <c r="L62" s="896">
        <v>0</v>
      </c>
      <c r="M62" s="896">
        <v>1</v>
      </c>
      <c r="N62" s="896">
        <v>5</v>
      </c>
      <c r="O62" s="896">
        <v>9</v>
      </c>
      <c r="P62" s="896">
        <v>635</v>
      </c>
      <c r="Q62" s="377">
        <v>7</v>
      </c>
      <c r="R62" s="364">
        <v>843</v>
      </c>
      <c r="S62" s="348">
        <v>69353</v>
      </c>
      <c r="T62" s="348">
        <v>17933</v>
      </c>
      <c r="U62" s="353">
        <v>14704</v>
      </c>
      <c r="V62" s="610">
        <v>531</v>
      </c>
      <c r="W62" s="609">
        <v>669</v>
      </c>
      <c r="X62" s="605">
        <v>456</v>
      </c>
      <c r="Y62" s="610">
        <v>18</v>
      </c>
      <c r="Z62" s="348">
        <v>1094</v>
      </c>
      <c r="AA62" s="609">
        <v>155</v>
      </c>
      <c r="AB62" s="356">
        <v>117</v>
      </c>
      <c r="AC62" s="357">
        <v>0</v>
      </c>
      <c r="AD62" s="348">
        <v>0</v>
      </c>
      <c r="AE62" s="353">
        <v>0</v>
      </c>
      <c r="AF62" s="350">
        <f t="shared" si="25"/>
        <v>87116</v>
      </c>
      <c r="AG62" s="351">
        <f t="shared" si="26"/>
        <v>90596</v>
      </c>
      <c r="AH62" s="352">
        <f t="shared" si="27"/>
        <v>501353.72</v>
      </c>
      <c r="AI62" s="63">
        <v>12950.441860318417</v>
      </c>
      <c r="AJ62" s="30">
        <f t="shared" si="31"/>
        <v>199355.71999999997</v>
      </c>
      <c r="AK62" s="37">
        <v>1.65</v>
      </c>
      <c r="AL62" s="37">
        <v>2.02</v>
      </c>
      <c r="AM62" s="37">
        <v>2.0499999999999998</v>
      </c>
      <c r="AN62" s="37">
        <v>2.15</v>
      </c>
      <c r="AO62" s="37">
        <v>2.5</v>
      </c>
      <c r="AQ62" s="24">
        <v>0.9</v>
      </c>
      <c r="AR62" s="24">
        <v>1.2</v>
      </c>
      <c r="AS62" s="24">
        <v>1.1499999999999999</v>
      </c>
      <c r="AT62" s="24">
        <v>1.55</v>
      </c>
      <c r="AU62" s="24">
        <v>2.3199999999999998</v>
      </c>
      <c r="AV62" s="25">
        <f t="shared" si="19"/>
        <v>253407.64</v>
      </c>
      <c r="AW62" s="50" t="s">
        <v>491</v>
      </c>
      <c r="AX62" s="337">
        <f>+'23-İL-EMOD-Öncelikli Yaşam'!F53</f>
        <v>15619.891053068568</v>
      </c>
      <c r="AY62" s="337" t="e">
        <f>+'23-İL-EMOD-Öncelikli Yaşam'!#REF!</f>
        <v>#REF!</v>
      </c>
      <c r="AZ62" s="337" t="e">
        <f t="shared" si="28"/>
        <v>#REF!</v>
      </c>
      <c r="BA62" s="50">
        <v>12921.42673604493</v>
      </c>
      <c r="BB62" s="50"/>
      <c r="BC62" s="21">
        <v>10982</v>
      </c>
      <c r="BD62" s="21">
        <v>521</v>
      </c>
      <c r="BE62" s="21">
        <v>5834</v>
      </c>
      <c r="BF62" s="21">
        <v>2537</v>
      </c>
      <c r="BG62" s="21">
        <v>5563</v>
      </c>
      <c r="BH62" s="22">
        <f t="shared" si="20"/>
        <v>25437</v>
      </c>
      <c r="BJ62" s="39">
        <v>3294.6712132992457</v>
      </c>
      <c r="BK62" s="39">
        <f t="shared" si="21"/>
        <v>3311.3109669017672</v>
      </c>
      <c r="BN62" s="21">
        <f t="shared" si="22"/>
        <v>3.6937270615172227E-2</v>
      </c>
      <c r="BO62" s="21">
        <f t="shared" si="23"/>
        <v>36.937270615172224</v>
      </c>
      <c r="BQ62" s="149">
        <v>0.01</v>
      </c>
      <c r="BR62" s="309"/>
      <c r="BS62" s="22"/>
      <c r="BT62" s="22"/>
      <c r="BU62" s="22"/>
    </row>
    <row r="63" spans="1:73" ht="20.100000000000001" customHeight="1">
      <c r="A63" s="57">
        <f t="shared" si="24"/>
        <v>49</v>
      </c>
      <c r="B63" s="45" t="s">
        <v>492</v>
      </c>
      <c r="C63" s="375">
        <f t="shared" si="29"/>
        <v>29958</v>
      </c>
      <c r="D63" s="379">
        <f t="shared" si="30"/>
        <v>23993</v>
      </c>
      <c r="E63" s="379">
        <v>23993</v>
      </c>
      <c r="F63" s="379">
        <v>3580</v>
      </c>
      <c r="G63" s="376">
        <v>2314</v>
      </c>
      <c r="H63" s="376">
        <v>0</v>
      </c>
      <c r="I63" s="797">
        <f t="shared" si="16"/>
        <v>71</v>
      </c>
      <c r="J63" s="896">
        <v>0</v>
      </c>
      <c r="K63" s="896">
        <v>71</v>
      </c>
      <c r="L63" s="896">
        <v>0</v>
      </c>
      <c r="M63" s="896">
        <v>0</v>
      </c>
      <c r="N63" s="896">
        <v>0</v>
      </c>
      <c r="O63" s="896">
        <v>0</v>
      </c>
      <c r="P63" s="896">
        <v>0</v>
      </c>
      <c r="Q63" s="377">
        <v>0</v>
      </c>
      <c r="R63" s="364">
        <v>62</v>
      </c>
      <c r="S63" s="348">
        <v>2998</v>
      </c>
      <c r="T63" s="348">
        <v>2338</v>
      </c>
      <c r="U63" s="353">
        <v>1235</v>
      </c>
      <c r="V63" s="610">
        <v>113</v>
      </c>
      <c r="W63" s="609">
        <v>230</v>
      </c>
      <c r="X63" s="605">
        <v>102</v>
      </c>
      <c r="Y63" s="610">
        <v>1</v>
      </c>
      <c r="Z63" s="609">
        <v>2</v>
      </c>
      <c r="AA63" s="355">
        <v>0</v>
      </c>
      <c r="AB63" s="356">
        <v>0</v>
      </c>
      <c r="AC63" s="357">
        <v>0</v>
      </c>
      <c r="AD63" s="348">
        <v>0</v>
      </c>
      <c r="AE63" s="353">
        <v>0</v>
      </c>
      <c r="AF63" s="350">
        <f t="shared" si="25"/>
        <v>4513</v>
      </c>
      <c r="AG63" s="351">
        <f t="shared" si="26"/>
        <v>5744</v>
      </c>
      <c r="AH63" s="352">
        <f t="shared" si="27"/>
        <v>103216.65674116799</v>
      </c>
      <c r="AI63" s="63">
        <v>75008.501741657557</v>
      </c>
      <c r="AJ63" s="30">
        <f t="shared" si="31"/>
        <v>67514.656741167986</v>
      </c>
      <c r="AK63" s="37">
        <v>3.35</v>
      </c>
      <c r="AL63" s="37">
        <v>5.3</v>
      </c>
      <c r="AM63" s="37">
        <v>4.4599855803893291</v>
      </c>
      <c r="AN63" s="37">
        <v>5.25</v>
      </c>
      <c r="AO63" s="37">
        <v>5.226173541963016</v>
      </c>
      <c r="AQ63" s="24">
        <f>+AK63-1</f>
        <v>2.35</v>
      </c>
      <c r="AR63" s="24">
        <f t="shared" ref="AR63:AU78" si="32">AL63-1</f>
        <v>4.3</v>
      </c>
      <c r="AS63" s="24">
        <f t="shared" si="32"/>
        <v>3.4599855803893291</v>
      </c>
      <c r="AT63" s="24">
        <f t="shared" si="32"/>
        <v>4.25</v>
      </c>
      <c r="AU63" s="24">
        <f t="shared" si="32"/>
        <v>4.226173541963016</v>
      </c>
      <c r="AV63" s="25">
        <f t="shared" si="19"/>
        <v>67503.436770007218</v>
      </c>
      <c r="AW63" s="50" t="s">
        <v>492</v>
      </c>
      <c r="AX63" s="337">
        <f>+'23-İL-EMOD-Öncelikli Yaşam'!F54</f>
        <v>20192.359815712203</v>
      </c>
      <c r="AY63" s="337" t="e">
        <f>+'23-İL-EMOD-Öncelikli Yaşam'!#REF!</f>
        <v>#REF!</v>
      </c>
      <c r="AZ63" s="337" t="e">
        <f t="shared" si="28"/>
        <v>#REF!</v>
      </c>
      <c r="BA63" s="50">
        <v>29021.794134053052</v>
      </c>
      <c r="BB63" s="50"/>
      <c r="BC63" s="21">
        <v>1541</v>
      </c>
      <c r="BD63" s="21">
        <v>127</v>
      </c>
      <c r="BE63" s="21">
        <v>1994</v>
      </c>
      <c r="BF63" s="21">
        <v>271</v>
      </c>
      <c r="BG63" s="21">
        <v>1072</v>
      </c>
      <c r="BH63" s="22">
        <f t="shared" si="20"/>
        <v>5005</v>
      </c>
      <c r="BJ63" s="39">
        <v>0</v>
      </c>
      <c r="BK63" s="39">
        <f t="shared" si="21"/>
        <v>0</v>
      </c>
      <c r="BN63" s="21">
        <f t="shared" si="22"/>
        <v>0</v>
      </c>
      <c r="BO63" s="21">
        <f t="shared" si="23"/>
        <v>0</v>
      </c>
      <c r="BQ63" s="149">
        <v>0.01</v>
      </c>
      <c r="BR63" s="309"/>
      <c r="BS63" s="22"/>
      <c r="BT63" s="22"/>
      <c r="BU63" s="22"/>
    </row>
    <row r="64" spans="1:73" ht="20.100000000000001" customHeight="1">
      <c r="A64" s="57">
        <f t="shared" si="24"/>
        <v>50</v>
      </c>
      <c r="B64" s="45" t="s">
        <v>493</v>
      </c>
      <c r="C64" s="375">
        <f t="shared" si="29"/>
        <v>45060</v>
      </c>
      <c r="D64" s="379">
        <f t="shared" si="30"/>
        <v>37105</v>
      </c>
      <c r="E64" s="379">
        <v>37105</v>
      </c>
      <c r="F64" s="379">
        <v>3638</v>
      </c>
      <c r="G64" s="378">
        <v>1564</v>
      </c>
      <c r="H64" s="378">
        <v>965</v>
      </c>
      <c r="I64" s="797">
        <f t="shared" si="16"/>
        <v>1788</v>
      </c>
      <c r="J64" s="896">
        <v>0</v>
      </c>
      <c r="K64" s="896">
        <v>1764</v>
      </c>
      <c r="L64" s="896">
        <v>0</v>
      </c>
      <c r="M64" s="896">
        <v>0</v>
      </c>
      <c r="N64" s="896">
        <v>0</v>
      </c>
      <c r="O64" s="896">
        <v>0</v>
      </c>
      <c r="P64" s="896">
        <v>24</v>
      </c>
      <c r="Q64" s="377">
        <v>0</v>
      </c>
      <c r="R64" s="364">
        <v>280</v>
      </c>
      <c r="S64" s="348">
        <v>15237</v>
      </c>
      <c r="T64" s="348">
        <v>5778</v>
      </c>
      <c r="U64" s="353">
        <v>4630</v>
      </c>
      <c r="V64" s="610">
        <v>135</v>
      </c>
      <c r="W64" s="609">
        <v>283</v>
      </c>
      <c r="X64" s="605">
        <v>174</v>
      </c>
      <c r="Y64" s="610">
        <v>10</v>
      </c>
      <c r="Z64" s="609">
        <v>858</v>
      </c>
      <c r="AA64" s="609">
        <v>117</v>
      </c>
      <c r="AB64" s="356">
        <v>78</v>
      </c>
      <c r="AC64" s="357">
        <v>0</v>
      </c>
      <c r="AD64" s="348">
        <v>0</v>
      </c>
      <c r="AE64" s="353">
        <v>0</v>
      </c>
      <c r="AF64" s="350">
        <f t="shared" si="25"/>
        <v>21402</v>
      </c>
      <c r="AG64" s="351">
        <f t="shared" si="26"/>
        <v>22698</v>
      </c>
      <c r="AH64" s="352">
        <f t="shared" si="27"/>
        <v>114249.66134484956</v>
      </c>
      <c r="AI64" s="63">
        <v>10642.249164871173</v>
      </c>
      <c r="AJ64" s="30">
        <f t="shared" si="31"/>
        <v>46491.661344849563</v>
      </c>
      <c r="AK64" s="37">
        <v>1.55</v>
      </c>
      <c r="AL64" s="37">
        <v>2.4357366771159876</v>
      </c>
      <c r="AM64" s="37">
        <v>2.4601862509155592</v>
      </c>
      <c r="AN64" s="37">
        <v>2.89</v>
      </c>
      <c r="AO64" s="37">
        <v>2.98</v>
      </c>
      <c r="AQ64" s="24">
        <f>+AK64-1</f>
        <v>0.55000000000000004</v>
      </c>
      <c r="AR64" s="24">
        <f t="shared" si="32"/>
        <v>1.4357366771159876</v>
      </c>
      <c r="AS64" s="24">
        <f t="shared" si="32"/>
        <v>1.4601862509155592</v>
      </c>
      <c r="AT64" s="24">
        <f t="shared" si="32"/>
        <v>1.8900000000000001</v>
      </c>
      <c r="AU64" s="24">
        <f t="shared" si="32"/>
        <v>1.98</v>
      </c>
      <c r="AV64" s="25">
        <f t="shared" si="19"/>
        <v>45224.464174792854</v>
      </c>
      <c r="AW64" s="50" t="s">
        <v>493</v>
      </c>
      <c r="AX64" s="337">
        <f>+'23-İL-EMOD-Öncelikli Yaşam'!F55</f>
        <v>10766.805140055483</v>
      </c>
      <c r="AY64" s="337" t="e">
        <f>+'23-İL-EMOD-Öncelikli Yaşam'!#REF!</f>
        <v>#REF!</v>
      </c>
      <c r="AZ64" s="337" t="e">
        <f t="shared" si="28"/>
        <v>#REF!</v>
      </c>
      <c r="BA64" s="50">
        <v>14957.984246674692</v>
      </c>
      <c r="BB64" s="50"/>
      <c r="BC64" s="21">
        <v>4217</v>
      </c>
      <c r="BD64" s="21">
        <v>246</v>
      </c>
      <c r="BE64" s="21">
        <v>3891</v>
      </c>
      <c r="BF64" s="21">
        <v>1481</v>
      </c>
      <c r="BG64" s="21">
        <v>2056</v>
      </c>
      <c r="BH64" s="22">
        <f t="shared" si="20"/>
        <v>11891</v>
      </c>
      <c r="BJ64" s="39">
        <v>5669.7030866506848</v>
      </c>
      <c r="BK64" s="39">
        <f t="shared" si="21"/>
        <v>5698.3379507246782</v>
      </c>
      <c r="BN64" s="21">
        <f t="shared" si="22"/>
        <v>3.2492676521094985E-2</v>
      </c>
      <c r="BO64" s="21">
        <f t="shared" si="23"/>
        <v>32.492676521094985</v>
      </c>
      <c r="BQ64" s="149">
        <v>0.01</v>
      </c>
      <c r="BR64" s="309"/>
      <c r="BS64" s="22"/>
      <c r="BT64" s="22"/>
      <c r="BU64" s="22"/>
    </row>
    <row r="65" spans="1:73" ht="20.100000000000001" customHeight="1">
      <c r="A65" s="57">
        <f t="shared" si="24"/>
        <v>51</v>
      </c>
      <c r="B65" s="45" t="s">
        <v>494</v>
      </c>
      <c r="C65" s="375">
        <f t="shared" si="29"/>
        <v>44822</v>
      </c>
      <c r="D65" s="379">
        <f t="shared" si="30"/>
        <v>37744</v>
      </c>
      <c r="E65" s="379">
        <v>37744</v>
      </c>
      <c r="F65" s="379">
        <v>5016</v>
      </c>
      <c r="G65" s="705">
        <v>692</v>
      </c>
      <c r="H65" s="705">
        <v>118</v>
      </c>
      <c r="I65" s="797">
        <f t="shared" si="16"/>
        <v>1252</v>
      </c>
      <c r="J65" s="896">
        <v>2</v>
      </c>
      <c r="K65" s="896">
        <v>1224</v>
      </c>
      <c r="L65" s="896">
        <v>0</v>
      </c>
      <c r="M65" s="896">
        <v>0</v>
      </c>
      <c r="N65" s="896">
        <v>0</v>
      </c>
      <c r="O65" s="896">
        <v>0</v>
      </c>
      <c r="P65" s="896">
        <v>26</v>
      </c>
      <c r="Q65" s="377">
        <v>0</v>
      </c>
      <c r="R65" s="364">
        <v>233</v>
      </c>
      <c r="S65" s="348">
        <v>13253</v>
      </c>
      <c r="T65" s="348">
        <v>5707</v>
      </c>
      <c r="U65" s="353">
        <v>4468</v>
      </c>
      <c r="V65" s="610">
        <v>190</v>
      </c>
      <c r="W65" s="609">
        <v>264</v>
      </c>
      <c r="X65" s="605">
        <v>173</v>
      </c>
      <c r="Y65" s="610">
        <v>7</v>
      </c>
      <c r="Z65" s="609">
        <v>290</v>
      </c>
      <c r="AA65" s="609">
        <v>49</v>
      </c>
      <c r="AB65" s="356">
        <v>44</v>
      </c>
      <c r="AC65" s="357">
        <v>0</v>
      </c>
      <c r="AD65" s="348">
        <v>0</v>
      </c>
      <c r="AE65" s="353">
        <v>0</v>
      </c>
      <c r="AF65" s="350">
        <f t="shared" si="25"/>
        <v>18658</v>
      </c>
      <c r="AG65" s="351">
        <f t="shared" si="26"/>
        <v>19993</v>
      </c>
      <c r="AH65" s="352">
        <f t="shared" si="27"/>
        <v>127580.80904408685</v>
      </c>
      <c r="AI65" s="63">
        <v>24001.521495023626</v>
      </c>
      <c r="AJ65" s="30">
        <f t="shared" si="31"/>
        <v>62765.809044086855</v>
      </c>
      <c r="AK65" s="37">
        <v>2</v>
      </c>
      <c r="AL65" s="37">
        <v>2.4</v>
      </c>
      <c r="AM65" s="37">
        <v>2.7546091644204851</v>
      </c>
      <c r="AN65" s="37">
        <v>3.926605504587156</v>
      </c>
      <c r="AO65" s="37">
        <v>4.1108651226158042</v>
      </c>
      <c r="AQ65" s="24">
        <f>+AK65-1</f>
        <v>1</v>
      </c>
      <c r="AR65" s="24">
        <f t="shared" si="32"/>
        <v>1.4</v>
      </c>
      <c r="AS65" s="24">
        <f t="shared" si="32"/>
        <v>1.7546091644204851</v>
      </c>
      <c r="AT65" s="24">
        <f t="shared" si="32"/>
        <v>2.926605504587156</v>
      </c>
      <c r="AU65" s="24">
        <f t="shared" si="32"/>
        <v>3.1108651226158042</v>
      </c>
      <c r="AV65" s="25">
        <f t="shared" si="19"/>
        <v>62247.172386404913</v>
      </c>
      <c r="AW65" s="50" t="s">
        <v>494</v>
      </c>
      <c r="AX65" s="337">
        <f>+'23-İL-EMOD-Öncelikli Yaşam'!F56</f>
        <v>14183.841139253404</v>
      </c>
      <c r="AY65" s="337" t="e">
        <f>+'23-İL-EMOD-Öncelikli Yaşam'!#REF!</f>
        <v>#REF!</v>
      </c>
      <c r="AZ65" s="337" t="e">
        <f t="shared" si="28"/>
        <v>#REF!</v>
      </c>
      <c r="BA65" s="50">
        <v>21730.584032794519</v>
      </c>
      <c r="BB65" s="50"/>
      <c r="BC65" s="21">
        <v>4152</v>
      </c>
      <c r="BD65" s="21">
        <v>251</v>
      </c>
      <c r="BE65" s="21">
        <v>3793</v>
      </c>
      <c r="BF65" s="21">
        <v>1314</v>
      </c>
      <c r="BG65" s="21">
        <v>2334</v>
      </c>
      <c r="BH65" s="22">
        <f t="shared" si="20"/>
        <v>11844</v>
      </c>
      <c r="BJ65" s="39">
        <v>518.87907712651372</v>
      </c>
      <c r="BK65" s="39">
        <f t="shared" si="21"/>
        <v>521.49967852614259</v>
      </c>
      <c r="BN65" s="21">
        <f t="shared" si="22"/>
        <v>3.9731977507660192E-3</v>
      </c>
      <c r="BO65" s="21">
        <f t="shared" si="23"/>
        <v>3.973197750766019</v>
      </c>
      <c r="BQ65" s="149">
        <v>0.01</v>
      </c>
      <c r="BR65" s="309"/>
      <c r="BS65" s="22"/>
      <c r="BT65" s="22"/>
      <c r="BU65" s="22"/>
    </row>
    <row r="66" spans="1:73" ht="20.100000000000001" customHeight="1">
      <c r="A66" s="57">
        <f t="shared" si="24"/>
        <v>52</v>
      </c>
      <c r="B66" s="45" t="s">
        <v>495</v>
      </c>
      <c r="C66" s="375">
        <f t="shared" si="29"/>
        <v>102934</v>
      </c>
      <c r="D66" s="379">
        <f t="shared" si="30"/>
        <v>81236</v>
      </c>
      <c r="E66" s="379">
        <v>81236</v>
      </c>
      <c r="F66" s="379">
        <v>9056</v>
      </c>
      <c r="G66" s="379">
        <v>3447</v>
      </c>
      <c r="H66" s="706">
        <v>754</v>
      </c>
      <c r="I66" s="797">
        <f t="shared" si="16"/>
        <v>8420</v>
      </c>
      <c r="J66" s="896">
        <v>3</v>
      </c>
      <c r="K66" s="894">
        <v>8110</v>
      </c>
      <c r="L66" s="894">
        <v>0</v>
      </c>
      <c r="M66" s="894">
        <v>5</v>
      </c>
      <c r="N66" s="894">
        <v>1</v>
      </c>
      <c r="O66" s="894">
        <v>145</v>
      </c>
      <c r="P66" s="894">
        <v>156</v>
      </c>
      <c r="Q66" s="605">
        <v>21</v>
      </c>
      <c r="R66" s="364">
        <v>709</v>
      </c>
      <c r="S66" s="348">
        <v>43001</v>
      </c>
      <c r="T66" s="348">
        <v>15575</v>
      </c>
      <c r="U66" s="353">
        <v>12631</v>
      </c>
      <c r="V66" s="610">
        <v>888</v>
      </c>
      <c r="W66" s="348">
        <v>1263</v>
      </c>
      <c r="X66" s="605">
        <v>782</v>
      </c>
      <c r="Y66" s="610">
        <v>27</v>
      </c>
      <c r="Z66" s="348">
        <v>2239</v>
      </c>
      <c r="AA66" s="609">
        <v>237</v>
      </c>
      <c r="AB66" s="356">
        <v>185</v>
      </c>
      <c r="AC66" s="357">
        <v>0</v>
      </c>
      <c r="AD66" s="348">
        <v>0</v>
      </c>
      <c r="AE66" s="353">
        <v>0</v>
      </c>
      <c r="AF66" s="365">
        <f t="shared" si="25"/>
        <v>60462</v>
      </c>
      <c r="AG66" s="366">
        <f t="shared" si="26"/>
        <v>63939</v>
      </c>
      <c r="AH66" s="352">
        <f t="shared" si="27"/>
        <v>355829.97233653325</v>
      </c>
      <c r="AI66" s="63">
        <v>52498.798709121533</v>
      </c>
      <c r="AJ66" s="30">
        <f t="shared" si="31"/>
        <v>188956.97233653325</v>
      </c>
      <c r="AK66" s="37">
        <v>2.4500000000000002</v>
      </c>
      <c r="AL66" s="37">
        <v>2.5052878965922445</v>
      </c>
      <c r="AM66" s="37">
        <v>2.4400322903052203</v>
      </c>
      <c r="AN66" s="37">
        <v>4.0523465703971118</v>
      </c>
      <c r="AO66" s="37">
        <v>3.9168910831837223</v>
      </c>
      <c r="AQ66" s="24">
        <f>+AK66-1</f>
        <v>1.4500000000000002</v>
      </c>
      <c r="AR66" s="24">
        <f t="shared" si="32"/>
        <v>1.5052878965922445</v>
      </c>
      <c r="AS66" s="24">
        <f t="shared" si="32"/>
        <v>1.4400322903052203</v>
      </c>
      <c r="AT66" s="24">
        <f t="shared" si="32"/>
        <v>3.0523465703971118</v>
      </c>
      <c r="AU66" s="24">
        <f t="shared" si="32"/>
        <v>2.9168910831837223</v>
      </c>
      <c r="AV66" s="25">
        <f t="shared" si="19"/>
        <v>185692.09726533183</v>
      </c>
      <c r="AW66" s="50" t="s">
        <v>495</v>
      </c>
      <c r="AX66" s="337">
        <f>+'23-İL-EMOD-Öncelikli Yaşam'!F57</f>
        <v>44203.865379926166</v>
      </c>
      <c r="AY66" s="337" t="e">
        <f>+'23-İL-EMOD-Öncelikli Yaşam'!#REF!</f>
        <v>#REF!</v>
      </c>
      <c r="AZ66" s="337" t="e">
        <f t="shared" si="28"/>
        <v>#REF!</v>
      </c>
      <c r="BA66" s="50">
        <v>24563.357552367263</v>
      </c>
      <c r="BB66" s="50"/>
      <c r="BC66" s="21">
        <v>11858</v>
      </c>
      <c r="BD66" s="21">
        <v>1131</v>
      </c>
      <c r="BE66" s="21">
        <v>6461</v>
      </c>
      <c r="BF66" s="21">
        <v>1627</v>
      </c>
      <c r="BG66" s="21">
        <v>3893</v>
      </c>
      <c r="BH66" s="22">
        <f t="shared" si="20"/>
        <v>24970</v>
      </c>
      <c r="BJ66" s="39">
        <v>4793.3036697967573</v>
      </c>
      <c r="BK66" s="39">
        <f t="shared" si="21"/>
        <v>4817.5122741896703</v>
      </c>
      <c r="BN66" s="21">
        <f t="shared" si="22"/>
        <v>2.5388060204047273E-2</v>
      </c>
      <c r="BO66" s="21">
        <f t="shared" si="23"/>
        <v>25.388060204047271</v>
      </c>
      <c r="BQ66" s="149">
        <v>0.01</v>
      </c>
      <c r="BR66" s="309"/>
      <c r="BS66" s="22"/>
      <c r="BT66" s="22"/>
      <c r="BU66" s="22"/>
    </row>
    <row r="67" spans="1:73" ht="20.100000000000001" customHeight="1" thickBot="1">
      <c r="A67" s="56">
        <f t="shared" si="24"/>
        <v>53</v>
      </c>
      <c r="B67" s="44" t="s">
        <v>496</v>
      </c>
      <c r="C67" s="375">
        <f t="shared" si="29"/>
        <v>62872</v>
      </c>
      <c r="D67" s="379">
        <f t="shared" si="30"/>
        <v>52617</v>
      </c>
      <c r="E67" s="379">
        <v>52617</v>
      </c>
      <c r="F67" s="379">
        <v>6299</v>
      </c>
      <c r="G67" s="379">
        <v>770</v>
      </c>
      <c r="H67" s="706">
        <v>13</v>
      </c>
      <c r="I67" s="797">
        <f t="shared" si="16"/>
        <v>3173</v>
      </c>
      <c r="J67" s="896">
        <v>0</v>
      </c>
      <c r="K67" s="894">
        <v>2992</v>
      </c>
      <c r="L67" s="894">
        <v>0</v>
      </c>
      <c r="M67" s="894">
        <v>12</v>
      </c>
      <c r="N67" s="894">
        <v>0</v>
      </c>
      <c r="O67" s="894">
        <v>89</v>
      </c>
      <c r="P67" s="894">
        <v>80</v>
      </c>
      <c r="Q67" s="356">
        <v>0</v>
      </c>
      <c r="R67" s="364">
        <v>456</v>
      </c>
      <c r="S67" s="348">
        <v>29980</v>
      </c>
      <c r="T67" s="348">
        <v>15963</v>
      </c>
      <c r="U67" s="353">
        <v>12764</v>
      </c>
      <c r="V67" s="610">
        <v>157</v>
      </c>
      <c r="W67" s="609">
        <v>268</v>
      </c>
      <c r="X67" s="605">
        <v>172</v>
      </c>
      <c r="Y67" s="610">
        <v>2</v>
      </c>
      <c r="Z67" s="609">
        <v>110</v>
      </c>
      <c r="AA67" s="609">
        <v>34</v>
      </c>
      <c r="AB67" s="356">
        <v>26</v>
      </c>
      <c r="AC67" s="357">
        <v>0</v>
      </c>
      <c r="AD67" s="348">
        <v>0</v>
      </c>
      <c r="AE67" s="353">
        <v>0</v>
      </c>
      <c r="AF67" s="365">
        <f t="shared" si="25"/>
        <v>43667</v>
      </c>
      <c r="AG67" s="366">
        <f t="shared" si="26"/>
        <v>46970</v>
      </c>
      <c r="AH67" s="352">
        <f t="shared" si="27"/>
        <v>187222.82498495054</v>
      </c>
      <c r="AI67" s="64">
        <v>17562.77356842818</v>
      </c>
      <c r="AJ67" s="30">
        <f t="shared" si="31"/>
        <v>77380.824984950537</v>
      </c>
      <c r="AK67" s="37">
        <v>1.48</v>
      </c>
      <c r="AL67" s="37">
        <v>2.2999999999999998</v>
      </c>
      <c r="AM67" s="37">
        <v>2.7</v>
      </c>
      <c r="AN67" s="37">
        <v>3.2</v>
      </c>
      <c r="AO67" s="37">
        <v>3.3742296115809087</v>
      </c>
      <c r="AQ67" s="24">
        <f>+AK67-1</f>
        <v>0.48</v>
      </c>
      <c r="AR67" s="24">
        <f t="shared" si="32"/>
        <v>1.2999999999999998</v>
      </c>
      <c r="AS67" s="24">
        <f t="shared" si="32"/>
        <v>1.7000000000000002</v>
      </c>
      <c r="AT67" s="24">
        <f t="shared" si="32"/>
        <v>2.2000000000000002</v>
      </c>
      <c r="AU67" s="24">
        <f t="shared" si="32"/>
        <v>2.3742296115809087</v>
      </c>
      <c r="AV67" s="25">
        <f t="shared" si="19"/>
        <v>77191.224984950561</v>
      </c>
      <c r="AW67" s="50" t="s">
        <v>496</v>
      </c>
      <c r="AX67" s="337">
        <f>+'23-İL-EMOD-Öncelikli Yaşam'!F58</f>
        <v>4635.2000630797702</v>
      </c>
      <c r="AY67" s="337" t="e">
        <f>+'23-İL-EMOD-Öncelikli Yaşam'!#REF!</f>
        <v>#REF!</v>
      </c>
      <c r="AZ67" s="337" t="e">
        <f t="shared" si="28"/>
        <v>#REF!</v>
      </c>
      <c r="BA67" s="50">
        <v>11574.436207014136</v>
      </c>
      <c r="BB67" s="50"/>
      <c r="BC67" s="21">
        <v>15088</v>
      </c>
      <c r="BD67" s="21">
        <v>296</v>
      </c>
      <c r="BE67" s="21">
        <v>3500</v>
      </c>
      <c r="BF67" s="21">
        <v>562</v>
      </c>
      <c r="BG67" s="21">
        <v>2237</v>
      </c>
      <c r="BH67" s="22">
        <f t="shared" si="20"/>
        <v>21683</v>
      </c>
      <c r="BJ67" s="39">
        <v>129.71976928162843</v>
      </c>
      <c r="BK67" s="39">
        <f t="shared" si="21"/>
        <v>130.37491963153565</v>
      </c>
      <c r="BN67" s="21">
        <f t="shared" si="22"/>
        <v>4.3772517593184957E-4</v>
      </c>
      <c r="BO67" s="21">
        <f t="shared" si="23"/>
        <v>0.43772517593184956</v>
      </c>
      <c r="BQ67" s="149">
        <v>0.01</v>
      </c>
      <c r="BR67" s="309"/>
      <c r="BS67" s="22"/>
      <c r="BT67" s="22"/>
      <c r="BU67" s="22"/>
    </row>
    <row r="68" spans="1:73" ht="20.100000000000001" customHeight="1">
      <c r="A68" s="89">
        <f t="shared" si="24"/>
        <v>54</v>
      </c>
      <c r="B68" s="90" t="s">
        <v>901</v>
      </c>
      <c r="C68" s="375">
        <f t="shared" si="29"/>
        <v>208132</v>
      </c>
      <c r="D68" s="379">
        <f t="shared" si="30"/>
        <v>178585</v>
      </c>
      <c r="E68" s="379">
        <v>178585</v>
      </c>
      <c r="F68" s="379">
        <v>13656</v>
      </c>
      <c r="G68" s="379">
        <v>8094</v>
      </c>
      <c r="H68" s="379">
        <v>918</v>
      </c>
      <c r="I68" s="797">
        <f t="shared" si="16"/>
        <v>6879</v>
      </c>
      <c r="J68" s="896">
        <v>5</v>
      </c>
      <c r="K68" s="894">
        <v>6381</v>
      </c>
      <c r="L68" s="894">
        <v>0</v>
      </c>
      <c r="M68" s="894">
        <v>28</v>
      </c>
      <c r="N68" s="894">
        <v>2</v>
      </c>
      <c r="O68" s="894">
        <v>272</v>
      </c>
      <c r="P68" s="894">
        <v>191</v>
      </c>
      <c r="Q68" s="377">
        <v>0</v>
      </c>
      <c r="R68" s="364">
        <v>1187</v>
      </c>
      <c r="S68" s="348">
        <v>63500</v>
      </c>
      <c r="T68" s="348">
        <v>24941</v>
      </c>
      <c r="U68" s="353">
        <v>19837</v>
      </c>
      <c r="V68" s="610">
        <v>900</v>
      </c>
      <c r="W68" s="609">
        <v>952</v>
      </c>
      <c r="X68" s="605">
        <v>626</v>
      </c>
      <c r="Y68" s="610">
        <v>23</v>
      </c>
      <c r="Z68" s="348">
        <v>1515</v>
      </c>
      <c r="AA68" s="609">
        <v>285</v>
      </c>
      <c r="AB68" s="356">
        <v>205</v>
      </c>
      <c r="AC68" s="357">
        <v>0</v>
      </c>
      <c r="AD68" s="609">
        <v>1</v>
      </c>
      <c r="AE68" s="353">
        <v>1</v>
      </c>
      <c r="AF68" s="350">
        <f t="shared" si="25"/>
        <v>87794</v>
      </c>
      <c r="AG68" s="351">
        <f t="shared" si="26"/>
        <v>93304</v>
      </c>
      <c r="AH68" s="352">
        <f t="shared" si="27"/>
        <v>582464.80200955819</v>
      </c>
      <c r="AI68" s="42">
        <v>40433.259142072871</v>
      </c>
      <c r="AJ68" s="30">
        <f t="shared" si="31"/>
        <v>281028.80200955819</v>
      </c>
      <c r="AK68" s="37">
        <v>1.99</v>
      </c>
      <c r="AL68" s="37">
        <v>2.42</v>
      </c>
      <c r="AM68" s="37">
        <v>2.5</v>
      </c>
      <c r="AN68" s="37">
        <v>3.6751918158567776</v>
      </c>
      <c r="AO68" s="37">
        <v>3.811851171336702</v>
      </c>
      <c r="AQ68" s="24">
        <f t="shared" ref="AQ68:AQ95" si="33">+AK68-1</f>
        <v>0.99</v>
      </c>
      <c r="AR68" s="24">
        <f t="shared" si="32"/>
        <v>1.42</v>
      </c>
      <c r="AS68" s="24">
        <f t="shared" si="32"/>
        <v>1.5</v>
      </c>
      <c r="AT68" s="24">
        <f t="shared" si="32"/>
        <v>2.6751918158567776</v>
      </c>
      <c r="AU68" s="24">
        <f t="shared" si="32"/>
        <v>2.811851171336702</v>
      </c>
      <c r="AV68" s="25">
        <f t="shared" si="19"/>
        <v>278723.64200955816</v>
      </c>
      <c r="AW68" s="50" t="s">
        <v>901</v>
      </c>
      <c r="AX68" s="337">
        <f>+'23-İL-EMOD-Öncelikli Yaşam'!F59</f>
        <v>10837.11471836688</v>
      </c>
      <c r="AY68" s="337" t="e">
        <f>+'23-İL-EMOD-Öncelikli Yaşam'!#REF!</f>
        <v>#REF!</v>
      </c>
      <c r="AZ68" s="337" t="e">
        <f t="shared" si="28"/>
        <v>#REF!</v>
      </c>
      <c r="BA68" s="50">
        <v>26353.822380723665</v>
      </c>
      <c r="BB68" s="50"/>
      <c r="BC68" s="21">
        <v>17926</v>
      </c>
      <c r="BD68" s="21">
        <v>822</v>
      </c>
      <c r="BE68" s="21">
        <v>10068</v>
      </c>
      <c r="BF68" s="21">
        <v>2179</v>
      </c>
      <c r="BG68" s="21">
        <v>4831</v>
      </c>
      <c r="BH68" s="22">
        <f t="shared" si="20"/>
        <v>35826</v>
      </c>
      <c r="BJ68" s="39">
        <v>7386.2885482218717</v>
      </c>
      <c r="BK68" s="39">
        <f t="shared" si="21"/>
        <v>7423.5930358391543</v>
      </c>
      <c r="BN68" s="21">
        <f t="shared" si="22"/>
        <v>3.0910131654264452E-2</v>
      </c>
      <c r="BO68" s="21">
        <f t="shared" si="23"/>
        <v>30.91013165426445</v>
      </c>
      <c r="BQ68" s="149">
        <v>0.01</v>
      </c>
      <c r="BR68" s="309"/>
      <c r="BS68" s="22"/>
      <c r="BT68" s="22"/>
      <c r="BU68" s="22"/>
    </row>
    <row r="69" spans="1:73" ht="20.100000000000001" customHeight="1">
      <c r="A69" s="56">
        <f t="shared" si="15"/>
        <v>55</v>
      </c>
      <c r="B69" s="44" t="s">
        <v>902</v>
      </c>
      <c r="C69" s="375">
        <f t="shared" si="29"/>
        <v>194173</v>
      </c>
      <c r="D69" s="379">
        <f t="shared" si="30"/>
        <v>160953</v>
      </c>
      <c r="E69" s="379">
        <v>160953</v>
      </c>
      <c r="F69" s="379">
        <v>15567</v>
      </c>
      <c r="G69" s="379">
        <v>7094</v>
      </c>
      <c r="H69" s="706">
        <v>238</v>
      </c>
      <c r="I69" s="797">
        <f t="shared" si="16"/>
        <v>10321</v>
      </c>
      <c r="J69" s="896">
        <v>16</v>
      </c>
      <c r="K69" s="894">
        <v>9401</v>
      </c>
      <c r="L69" s="894">
        <v>0</v>
      </c>
      <c r="M69" s="894">
        <v>0</v>
      </c>
      <c r="N69" s="894">
        <v>5</v>
      </c>
      <c r="O69" s="894">
        <v>359</v>
      </c>
      <c r="P69" s="894">
        <v>540</v>
      </c>
      <c r="Q69" s="377">
        <v>0</v>
      </c>
      <c r="R69" s="364">
        <v>1510</v>
      </c>
      <c r="S69" s="348">
        <v>96071</v>
      </c>
      <c r="T69" s="348">
        <v>34668</v>
      </c>
      <c r="U69" s="353">
        <v>27496</v>
      </c>
      <c r="V69" s="357">
        <v>1234</v>
      </c>
      <c r="W69" s="348">
        <v>1797</v>
      </c>
      <c r="X69" s="353">
        <v>1174</v>
      </c>
      <c r="Y69" s="610">
        <v>4</v>
      </c>
      <c r="Z69" s="609">
        <v>339</v>
      </c>
      <c r="AA69" s="609">
        <v>50</v>
      </c>
      <c r="AB69" s="356">
        <v>34</v>
      </c>
      <c r="AC69" s="357">
        <v>0</v>
      </c>
      <c r="AD69" s="348">
        <v>0</v>
      </c>
      <c r="AE69" s="353">
        <v>0</v>
      </c>
      <c r="AF69" s="350">
        <f t="shared" si="25"/>
        <v>127862</v>
      </c>
      <c r="AG69" s="351">
        <f t="shared" si="26"/>
        <v>135673</v>
      </c>
      <c r="AH69" s="352">
        <f t="shared" si="27"/>
        <v>624211.62999999989</v>
      </c>
      <c r="AI69" s="42">
        <v>60166.715716677019</v>
      </c>
      <c r="AJ69" s="30">
        <f t="shared" si="31"/>
        <v>294365.62999999989</v>
      </c>
      <c r="AK69" s="37">
        <v>2.0499999999999998</v>
      </c>
      <c r="AL69" s="37">
        <v>2.2799999999999998</v>
      </c>
      <c r="AM69" s="37">
        <v>2.25</v>
      </c>
      <c r="AN69" s="37">
        <v>2.98</v>
      </c>
      <c r="AO69" s="37">
        <v>2.98</v>
      </c>
      <c r="AQ69" s="24">
        <f t="shared" si="33"/>
        <v>1.0499999999999998</v>
      </c>
      <c r="AR69" s="24">
        <f t="shared" si="32"/>
        <v>1.2799999999999998</v>
      </c>
      <c r="AS69" s="24">
        <f t="shared" si="32"/>
        <v>1.25</v>
      </c>
      <c r="AT69" s="24">
        <f t="shared" si="32"/>
        <v>1.98</v>
      </c>
      <c r="AU69" s="24">
        <f t="shared" si="32"/>
        <v>1.98</v>
      </c>
      <c r="AV69" s="25">
        <f t="shared" si="19"/>
        <v>293936.75999999995</v>
      </c>
      <c r="AW69" s="50" t="s">
        <v>902</v>
      </c>
      <c r="AX69" s="337">
        <f>+'23-İL-EMOD-Öncelikli Yaşam'!F60</f>
        <v>45314.095779000781</v>
      </c>
      <c r="AY69" s="337" t="e">
        <f>+'23-İL-EMOD-Öncelikli Yaşam'!#REF!</f>
        <v>#REF!</v>
      </c>
      <c r="AZ69" s="337" t="e">
        <f t="shared" si="28"/>
        <v>#REF!</v>
      </c>
      <c r="BA69" s="50">
        <v>39348.729115246329</v>
      </c>
      <c r="BB69" s="50"/>
      <c r="BC69" s="21">
        <v>25854</v>
      </c>
      <c r="BD69" s="21">
        <v>1679</v>
      </c>
      <c r="BE69" s="21">
        <v>11482</v>
      </c>
      <c r="BF69" s="21">
        <v>4538</v>
      </c>
      <c r="BG69" s="21">
        <v>8303</v>
      </c>
      <c r="BH69" s="22">
        <f t="shared" si="20"/>
        <v>51856</v>
      </c>
      <c r="BJ69" s="39">
        <v>1214.9330622857833</v>
      </c>
      <c r="BK69" s="39">
        <f t="shared" si="21"/>
        <v>1221.0690878528833</v>
      </c>
      <c r="BN69" s="21">
        <f t="shared" si="22"/>
        <v>8.0137378362907848E-3</v>
      </c>
      <c r="BO69" s="21">
        <f t="shared" si="23"/>
        <v>8.013737836290785</v>
      </c>
      <c r="BQ69" s="149">
        <v>0.01</v>
      </c>
      <c r="BR69" s="309"/>
      <c r="BS69" s="22"/>
      <c r="BT69" s="22"/>
      <c r="BU69" s="22"/>
    </row>
    <row r="70" spans="1:73" ht="20.100000000000001" customHeight="1">
      <c r="A70" s="56">
        <f t="shared" si="15"/>
        <v>56</v>
      </c>
      <c r="B70" s="44" t="s">
        <v>642</v>
      </c>
      <c r="C70" s="375">
        <f t="shared" si="29"/>
        <v>28654</v>
      </c>
      <c r="D70" s="379">
        <f t="shared" si="30"/>
        <v>23550</v>
      </c>
      <c r="E70" s="379">
        <v>23550</v>
      </c>
      <c r="F70" s="379">
        <v>2236</v>
      </c>
      <c r="G70" s="706">
        <v>1717</v>
      </c>
      <c r="H70" s="706">
        <v>91</v>
      </c>
      <c r="I70" s="797">
        <f t="shared" si="16"/>
        <v>1060</v>
      </c>
      <c r="J70" s="896">
        <v>2</v>
      </c>
      <c r="K70" s="894">
        <v>1057</v>
      </c>
      <c r="L70" s="894">
        <v>0</v>
      </c>
      <c r="M70" s="894">
        <v>0</v>
      </c>
      <c r="N70" s="894">
        <v>0</v>
      </c>
      <c r="O70" s="894">
        <v>0</v>
      </c>
      <c r="P70" s="894">
        <v>1</v>
      </c>
      <c r="Q70" s="377">
        <v>0</v>
      </c>
      <c r="R70" s="364">
        <v>68</v>
      </c>
      <c r="S70" s="348">
        <v>4146</v>
      </c>
      <c r="T70" s="348">
        <v>3520</v>
      </c>
      <c r="U70" s="353">
        <v>1985</v>
      </c>
      <c r="V70" s="610">
        <v>90</v>
      </c>
      <c r="W70" s="609">
        <v>364</v>
      </c>
      <c r="X70" s="605">
        <v>146</v>
      </c>
      <c r="Y70" s="354">
        <v>0</v>
      </c>
      <c r="Z70" s="609">
        <v>20</v>
      </c>
      <c r="AA70" s="609">
        <v>10</v>
      </c>
      <c r="AB70" s="356">
        <v>5</v>
      </c>
      <c r="AC70" s="357">
        <v>0</v>
      </c>
      <c r="AD70" s="348">
        <v>0</v>
      </c>
      <c r="AE70" s="353">
        <v>0</v>
      </c>
      <c r="AF70" s="350">
        <f t="shared" si="25"/>
        <v>6460</v>
      </c>
      <c r="AG70" s="351">
        <f t="shared" si="26"/>
        <v>8218</v>
      </c>
      <c r="AH70" s="352">
        <f t="shared" si="27"/>
        <v>98819.1</v>
      </c>
      <c r="AI70" s="42">
        <v>14339.194293849519</v>
      </c>
      <c r="AJ70" s="30">
        <f t="shared" si="31"/>
        <v>61947.100000000006</v>
      </c>
      <c r="AK70" s="37">
        <v>3.05</v>
      </c>
      <c r="AL70" s="37">
        <v>4.25</v>
      </c>
      <c r="AM70" s="37">
        <v>4.05</v>
      </c>
      <c r="AN70" s="37">
        <v>4.9000000000000004</v>
      </c>
      <c r="AO70" s="37">
        <v>5.3</v>
      </c>
      <c r="AQ70" s="24">
        <f t="shared" si="33"/>
        <v>2.0499999999999998</v>
      </c>
      <c r="AR70" s="24">
        <f t="shared" si="32"/>
        <v>3.25</v>
      </c>
      <c r="AS70" s="24">
        <f t="shared" si="32"/>
        <v>3.05</v>
      </c>
      <c r="AT70" s="24">
        <f t="shared" si="32"/>
        <v>3.9000000000000004</v>
      </c>
      <c r="AU70" s="24">
        <f t="shared" si="32"/>
        <v>4.3</v>
      </c>
      <c r="AV70" s="25">
        <f t="shared" si="19"/>
        <v>61886.099999999991</v>
      </c>
      <c r="AW70" s="50" t="s">
        <v>642</v>
      </c>
      <c r="AX70" s="337">
        <f>+'23-İL-EMOD-Öncelikli Yaşam'!F61</f>
        <v>16510.454833200667</v>
      </c>
      <c r="AY70" s="337" t="e">
        <f>+'23-İL-EMOD-Öncelikli Yaşam'!#REF!</f>
        <v>#REF!</v>
      </c>
      <c r="AZ70" s="337" t="e">
        <f t="shared" si="28"/>
        <v>#REF!</v>
      </c>
      <c r="BA70" s="50">
        <v>19428.37520495028</v>
      </c>
      <c r="BB70" s="50"/>
      <c r="BC70" s="21">
        <v>2734</v>
      </c>
      <c r="BD70" s="21">
        <v>266</v>
      </c>
      <c r="BE70" s="21">
        <v>1693</v>
      </c>
      <c r="BF70" s="21">
        <v>55</v>
      </c>
      <c r="BG70" s="21">
        <v>1711</v>
      </c>
      <c r="BH70" s="22">
        <f t="shared" si="20"/>
        <v>6459</v>
      </c>
      <c r="BJ70" s="39">
        <v>236.47053547949935</v>
      </c>
      <c r="BK70" s="39">
        <f t="shared" si="21"/>
        <v>237.66483111323419</v>
      </c>
      <c r="BN70" s="21">
        <f t="shared" si="22"/>
        <v>3.0640762315229469E-3</v>
      </c>
      <c r="BO70" s="21">
        <f t="shared" si="23"/>
        <v>3.0640762315229471</v>
      </c>
      <c r="BQ70" s="149">
        <v>0.01</v>
      </c>
      <c r="BR70" s="309"/>
      <c r="BS70" s="22"/>
      <c r="BT70" s="22"/>
      <c r="BU70" s="22"/>
    </row>
    <row r="71" spans="1:73" ht="20.100000000000001" customHeight="1">
      <c r="A71" s="56">
        <f t="shared" si="15"/>
        <v>57</v>
      </c>
      <c r="B71" s="44" t="s">
        <v>109</v>
      </c>
      <c r="C71" s="375">
        <f t="shared" si="29"/>
        <v>28393</v>
      </c>
      <c r="D71" s="379">
        <f t="shared" si="30"/>
        <v>24026</v>
      </c>
      <c r="E71" s="379">
        <v>24026</v>
      </c>
      <c r="F71" s="379">
        <v>2228</v>
      </c>
      <c r="G71" s="706">
        <v>862</v>
      </c>
      <c r="H71" s="706">
        <v>29</v>
      </c>
      <c r="I71" s="797">
        <f t="shared" si="16"/>
        <v>1248</v>
      </c>
      <c r="J71" s="896">
        <v>37</v>
      </c>
      <c r="K71" s="894">
        <v>1194</v>
      </c>
      <c r="L71" s="894">
        <v>0</v>
      </c>
      <c r="M71" s="894">
        <v>0</v>
      </c>
      <c r="N71" s="894">
        <v>0</v>
      </c>
      <c r="O71" s="894">
        <v>0</v>
      </c>
      <c r="P71" s="894">
        <v>17</v>
      </c>
      <c r="Q71" s="377">
        <v>0</v>
      </c>
      <c r="R71" s="364">
        <v>302</v>
      </c>
      <c r="S71" s="348">
        <v>20699</v>
      </c>
      <c r="T71" s="348">
        <v>7195</v>
      </c>
      <c r="U71" s="353">
        <v>6121</v>
      </c>
      <c r="V71" s="610">
        <v>239</v>
      </c>
      <c r="W71" s="609">
        <v>350</v>
      </c>
      <c r="X71" s="605">
        <v>241</v>
      </c>
      <c r="Y71" s="354">
        <v>0</v>
      </c>
      <c r="Z71" s="609">
        <v>92</v>
      </c>
      <c r="AA71" s="609">
        <v>12</v>
      </c>
      <c r="AB71" s="356">
        <v>9</v>
      </c>
      <c r="AC71" s="357">
        <v>0</v>
      </c>
      <c r="AD71" s="348">
        <v>0</v>
      </c>
      <c r="AE71" s="353">
        <v>0</v>
      </c>
      <c r="AF71" s="350">
        <f t="shared" si="25"/>
        <v>27703</v>
      </c>
      <c r="AG71" s="351">
        <f t="shared" si="26"/>
        <v>28889</v>
      </c>
      <c r="AH71" s="352">
        <f t="shared" si="27"/>
        <v>99217.04</v>
      </c>
      <c r="AI71" s="42">
        <v>5644.0818234271137</v>
      </c>
      <c r="AJ71" s="30">
        <f t="shared" si="31"/>
        <v>41935.039999999994</v>
      </c>
      <c r="AK71" s="37">
        <v>1.9</v>
      </c>
      <c r="AL71" s="37">
        <v>1.95</v>
      </c>
      <c r="AM71" s="37">
        <v>1.95</v>
      </c>
      <c r="AN71" s="37">
        <v>2.0099999999999998</v>
      </c>
      <c r="AO71" s="37">
        <v>2.1</v>
      </c>
      <c r="AP71" s="74"/>
      <c r="AQ71" s="24">
        <f t="shared" si="33"/>
        <v>0.89999999999999991</v>
      </c>
      <c r="AR71" s="24">
        <f t="shared" si="32"/>
        <v>0.95</v>
      </c>
      <c r="AS71" s="24">
        <f t="shared" si="32"/>
        <v>0.95</v>
      </c>
      <c r="AT71" s="24">
        <f t="shared" si="32"/>
        <v>1.0099999999999998</v>
      </c>
      <c r="AU71" s="24">
        <f t="shared" si="32"/>
        <v>1.1000000000000001</v>
      </c>
      <c r="AV71" s="25">
        <f t="shared" si="19"/>
        <v>41847.64</v>
      </c>
      <c r="AW71" s="50" t="s">
        <v>109</v>
      </c>
      <c r="AX71" s="337">
        <f>+'23-İL-EMOD-Öncelikli Yaşam'!F62</f>
        <v>7414.1519406815642</v>
      </c>
      <c r="AY71" s="337" t="e">
        <f>+'23-İL-EMOD-Öncelikli Yaşam'!#REF!</f>
        <v>#REF!</v>
      </c>
      <c r="AZ71" s="337" t="e">
        <f t="shared" si="28"/>
        <v>#REF!</v>
      </c>
      <c r="BA71" s="50">
        <v>17331.322664886771</v>
      </c>
      <c r="BB71" s="50"/>
      <c r="BC71" s="21">
        <v>5602</v>
      </c>
      <c r="BD71" s="21">
        <v>339</v>
      </c>
      <c r="BE71" s="21">
        <v>2419</v>
      </c>
      <c r="BF71" s="21">
        <v>1078</v>
      </c>
      <c r="BG71" s="21">
        <v>2176</v>
      </c>
      <c r="BH71" s="22">
        <f t="shared" si="20"/>
        <v>11614</v>
      </c>
      <c r="BJ71" s="39">
        <v>162.90192444143284</v>
      </c>
      <c r="BK71" s="39">
        <f t="shared" si="21"/>
        <v>163.72466143356127</v>
      </c>
      <c r="BN71" s="21">
        <f t="shared" si="22"/>
        <v>9.7646385400181827E-4</v>
      </c>
      <c r="BO71" s="21">
        <f t="shared" si="23"/>
        <v>0.97646385400181823</v>
      </c>
      <c r="BQ71" s="149">
        <v>0.01</v>
      </c>
      <c r="BR71" s="309"/>
      <c r="BS71" s="22"/>
      <c r="BT71" s="22"/>
      <c r="BU71" s="22"/>
    </row>
    <row r="72" spans="1:73" ht="20.100000000000001" customHeight="1">
      <c r="A72" s="56">
        <f>+A71+1</f>
        <v>58</v>
      </c>
      <c r="B72" s="44" t="s">
        <v>110</v>
      </c>
      <c r="C72" s="375">
        <f t="shared" si="29"/>
        <v>88769</v>
      </c>
      <c r="D72" s="379">
        <f t="shared" si="30"/>
        <v>76676</v>
      </c>
      <c r="E72" s="379">
        <v>76676</v>
      </c>
      <c r="F72" s="379">
        <v>8003</v>
      </c>
      <c r="G72" s="379">
        <v>3155</v>
      </c>
      <c r="H72" s="706">
        <v>39</v>
      </c>
      <c r="I72" s="797">
        <f t="shared" si="16"/>
        <v>896</v>
      </c>
      <c r="J72" s="896">
        <v>4</v>
      </c>
      <c r="K72" s="894">
        <v>866</v>
      </c>
      <c r="L72" s="894">
        <v>0</v>
      </c>
      <c r="M72" s="894">
        <v>0</v>
      </c>
      <c r="N72" s="894">
        <v>0</v>
      </c>
      <c r="O72" s="894">
        <v>1</v>
      </c>
      <c r="P72" s="894">
        <v>25</v>
      </c>
      <c r="Q72" s="377">
        <v>0</v>
      </c>
      <c r="R72" s="364">
        <v>622</v>
      </c>
      <c r="S72" s="348">
        <v>36303</v>
      </c>
      <c r="T72" s="348">
        <v>17347</v>
      </c>
      <c r="U72" s="353">
        <v>13824</v>
      </c>
      <c r="V72" s="610">
        <v>525</v>
      </c>
      <c r="W72" s="609">
        <v>836</v>
      </c>
      <c r="X72" s="605">
        <v>525</v>
      </c>
      <c r="Y72" s="610">
        <v>2</v>
      </c>
      <c r="Z72" s="609">
        <v>143</v>
      </c>
      <c r="AA72" s="609">
        <v>37</v>
      </c>
      <c r="AB72" s="356">
        <v>31</v>
      </c>
      <c r="AC72" s="357">
        <v>0</v>
      </c>
      <c r="AD72" s="348">
        <v>0</v>
      </c>
      <c r="AE72" s="353">
        <v>0</v>
      </c>
      <c r="AF72" s="350">
        <f t="shared" si="25"/>
        <v>51975</v>
      </c>
      <c r="AG72" s="351">
        <f t="shared" si="26"/>
        <v>55815</v>
      </c>
      <c r="AH72" s="352">
        <f t="shared" si="27"/>
        <v>285305.29867649847</v>
      </c>
      <c r="AI72" s="42">
        <v>14588.620449472917</v>
      </c>
      <c r="AJ72" s="30">
        <f t="shared" si="31"/>
        <v>140721.29867649847</v>
      </c>
      <c r="AK72" s="37">
        <v>1.95</v>
      </c>
      <c r="AL72" s="37">
        <v>2.65</v>
      </c>
      <c r="AM72" s="37">
        <v>2.7942764179545958</v>
      </c>
      <c r="AN72" s="37">
        <v>3.5477941176470589</v>
      </c>
      <c r="AO72" s="37">
        <v>4.0181650246305418</v>
      </c>
      <c r="AQ72" s="24">
        <f t="shared" si="33"/>
        <v>0.95</v>
      </c>
      <c r="AR72" s="24">
        <f t="shared" si="32"/>
        <v>1.65</v>
      </c>
      <c r="AS72" s="24">
        <f t="shared" si="32"/>
        <v>1.7942764179545958</v>
      </c>
      <c r="AT72" s="24">
        <f t="shared" si="32"/>
        <v>2.5477941176470589</v>
      </c>
      <c r="AU72" s="24">
        <f t="shared" si="32"/>
        <v>3.0181650246305418</v>
      </c>
      <c r="AV72" s="25">
        <f t="shared" si="19"/>
        <v>140461.41714873098</v>
      </c>
      <c r="AW72" s="50" t="s">
        <v>110</v>
      </c>
      <c r="AX72" s="337">
        <f>+'23-İL-EMOD-Öncelikli Yaşam'!F63</f>
        <v>14090.630280786194</v>
      </c>
      <c r="AY72" s="337" t="e">
        <f>+'23-İL-EMOD-Öncelikli Yaşam'!#REF!</f>
        <v>#REF!</v>
      </c>
      <c r="AZ72" s="337" t="e">
        <f t="shared" si="28"/>
        <v>#REF!</v>
      </c>
      <c r="BA72" s="50">
        <v>25256.189922251855</v>
      </c>
      <c r="BB72" s="50"/>
      <c r="BC72" s="21">
        <v>14096</v>
      </c>
      <c r="BD72" s="21">
        <v>730</v>
      </c>
      <c r="BE72" s="21">
        <v>6318</v>
      </c>
      <c r="BF72" s="21">
        <v>4053</v>
      </c>
      <c r="BG72" s="21">
        <v>4557</v>
      </c>
      <c r="BH72" s="22">
        <f t="shared" si="20"/>
        <v>29754</v>
      </c>
      <c r="BJ72" s="39">
        <v>279.56072194465247</v>
      </c>
      <c r="BK72" s="39">
        <f t="shared" si="21"/>
        <v>280.97264478275679</v>
      </c>
      <c r="BN72" s="21">
        <f t="shared" si="22"/>
        <v>1.3131755277955488E-3</v>
      </c>
      <c r="BO72" s="21">
        <f t="shared" si="23"/>
        <v>1.3131755277955488</v>
      </c>
      <c r="BQ72" s="149">
        <v>0.01</v>
      </c>
      <c r="BR72" s="309"/>
      <c r="BS72" s="22"/>
      <c r="BT72" s="22"/>
      <c r="BU72" s="22"/>
    </row>
    <row r="73" spans="1:73" ht="20.100000000000001" customHeight="1">
      <c r="A73" s="56">
        <f>+A72+1</f>
        <v>59</v>
      </c>
      <c r="B73" s="44" t="s">
        <v>111</v>
      </c>
      <c r="C73" s="375">
        <f t="shared" si="29"/>
        <v>276301</v>
      </c>
      <c r="D73" s="379">
        <f t="shared" si="30"/>
        <v>257863</v>
      </c>
      <c r="E73" s="379">
        <v>257863</v>
      </c>
      <c r="F73" s="379">
        <v>8358</v>
      </c>
      <c r="G73" s="379">
        <v>6814</v>
      </c>
      <c r="H73" s="706">
        <v>609</v>
      </c>
      <c r="I73" s="797">
        <f t="shared" si="16"/>
        <v>2657</v>
      </c>
      <c r="J73" s="896">
        <v>10</v>
      </c>
      <c r="K73" s="894">
        <v>2239</v>
      </c>
      <c r="L73" s="894">
        <v>0</v>
      </c>
      <c r="M73" s="894">
        <v>6</v>
      </c>
      <c r="N73" s="894">
        <v>5</v>
      </c>
      <c r="O73" s="894">
        <v>107</v>
      </c>
      <c r="P73" s="894">
        <v>290</v>
      </c>
      <c r="Q73" s="353">
        <v>0</v>
      </c>
      <c r="R73" s="364">
        <v>924</v>
      </c>
      <c r="S73" s="348">
        <v>72888</v>
      </c>
      <c r="T73" s="348">
        <v>18324</v>
      </c>
      <c r="U73" s="353">
        <v>15086</v>
      </c>
      <c r="V73" s="610">
        <v>1080</v>
      </c>
      <c r="W73" s="609">
        <v>731</v>
      </c>
      <c r="X73" s="605">
        <v>524</v>
      </c>
      <c r="Y73" s="610">
        <v>6</v>
      </c>
      <c r="Z73" s="609">
        <v>855</v>
      </c>
      <c r="AA73" s="609">
        <v>167</v>
      </c>
      <c r="AB73" s="356">
        <v>143</v>
      </c>
      <c r="AC73" s="357">
        <v>0</v>
      </c>
      <c r="AD73" s="348">
        <v>0</v>
      </c>
      <c r="AE73" s="353">
        <v>0</v>
      </c>
      <c r="AF73" s="350">
        <f t="shared" si="25"/>
        <v>91506</v>
      </c>
      <c r="AG73" s="351">
        <f t="shared" si="26"/>
        <v>94975</v>
      </c>
      <c r="AH73" s="352">
        <f t="shared" si="27"/>
        <v>656859.56000000006</v>
      </c>
      <c r="AI73" s="42">
        <v>7229.0189887050074</v>
      </c>
      <c r="AJ73" s="30">
        <f t="shared" si="31"/>
        <v>285583.56000000006</v>
      </c>
      <c r="AK73" s="37">
        <v>1.72</v>
      </c>
      <c r="AL73" s="37">
        <v>2.5</v>
      </c>
      <c r="AM73" s="37">
        <v>2.2999999999999998</v>
      </c>
      <c r="AN73" s="37">
        <v>2.2799999999999998</v>
      </c>
      <c r="AO73" s="37">
        <v>3.1</v>
      </c>
      <c r="AQ73" s="24">
        <f t="shared" si="33"/>
        <v>0.72</v>
      </c>
      <c r="AR73" s="24">
        <f t="shared" si="32"/>
        <v>1.5</v>
      </c>
      <c r="AS73" s="24">
        <f t="shared" si="32"/>
        <v>1.2999999999999998</v>
      </c>
      <c r="AT73" s="24">
        <f t="shared" si="32"/>
        <v>1.2799999999999998</v>
      </c>
      <c r="AU73" s="24">
        <f t="shared" si="32"/>
        <v>2.1</v>
      </c>
      <c r="AV73" s="25">
        <f t="shared" si="19"/>
        <v>284463.06</v>
      </c>
      <c r="AW73" s="50" t="s">
        <v>111</v>
      </c>
      <c r="AX73" s="337">
        <f>+'23-İL-EMOD-Öncelikli Yaşam'!F64</f>
        <v>10435.086838920601</v>
      </c>
      <c r="AY73" s="337" t="e">
        <f>+'23-İL-EMOD-Öncelikli Yaşam'!#REF!</f>
        <v>#REF!</v>
      </c>
      <c r="AZ73" s="337" t="e">
        <f t="shared" si="28"/>
        <v>#REF!</v>
      </c>
      <c r="BA73" s="50">
        <v>20172.144973828224</v>
      </c>
      <c r="BB73" s="50"/>
      <c r="BC73" s="21">
        <v>10318</v>
      </c>
      <c r="BD73" s="21">
        <v>565</v>
      </c>
      <c r="BE73" s="21">
        <v>6072</v>
      </c>
      <c r="BF73" s="21">
        <v>1285</v>
      </c>
      <c r="BG73" s="21">
        <v>4036</v>
      </c>
      <c r="BH73" s="22">
        <f t="shared" si="20"/>
        <v>22276</v>
      </c>
      <c r="BJ73" s="39">
        <v>2857.6150487500395</v>
      </c>
      <c r="BK73" s="39">
        <f t="shared" si="21"/>
        <v>2872.0474479861509</v>
      </c>
      <c r="BN73" s="21">
        <f t="shared" si="22"/>
        <v>2.0505740934038182E-2</v>
      </c>
      <c r="BO73" s="21">
        <f t="shared" si="23"/>
        <v>20.505740934038183</v>
      </c>
      <c r="BQ73" s="149">
        <v>0.01</v>
      </c>
      <c r="BR73" s="309"/>
      <c r="BS73" s="22"/>
      <c r="BT73" s="22"/>
      <c r="BU73" s="22"/>
    </row>
    <row r="74" spans="1:73" ht="20.100000000000001" customHeight="1">
      <c r="A74" s="56">
        <f t="shared" ref="A74:A95" si="34">+A73+1</f>
        <v>60</v>
      </c>
      <c r="B74" s="44" t="s">
        <v>528</v>
      </c>
      <c r="C74" s="375">
        <f t="shared" si="29"/>
        <v>69758</v>
      </c>
      <c r="D74" s="379">
        <f t="shared" si="30"/>
        <v>55658</v>
      </c>
      <c r="E74" s="379">
        <v>55658</v>
      </c>
      <c r="F74" s="379">
        <v>7892</v>
      </c>
      <c r="G74" s="379">
        <v>3198</v>
      </c>
      <c r="H74" s="706">
        <v>283</v>
      </c>
      <c r="I74" s="797">
        <f t="shared" si="16"/>
        <v>2727</v>
      </c>
      <c r="J74" s="896">
        <v>1</v>
      </c>
      <c r="K74" s="894">
        <v>2670</v>
      </c>
      <c r="L74" s="894">
        <v>0</v>
      </c>
      <c r="M74" s="894">
        <v>0</v>
      </c>
      <c r="N74" s="894">
        <v>0</v>
      </c>
      <c r="O74" s="894">
        <v>1</v>
      </c>
      <c r="P74" s="894">
        <v>55</v>
      </c>
      <c r="Q74" s="377">
        <v>0</v>
      </c>
      <c r="R74" s="364">
        <v>527</v>
      </c>
      <c r="S74" s="348">
        <v>29075</v>
      </c>
      <c r="T74" s="348">
        <v>13116</v>
      </c>
      <c r="U74" s="353">
        <v>10580</v>
      </c>
      <c r="V74" s="610">
        <v>443</v>
      </c>
      <c r="W74" s="609">
        <v>781</v>
      </c>
      <c r="X74" s="605">
        <v>481</v>
      </c>
      <c r="Y74" s="610">
        <v>10</v>
      </c>
      <c r="Z74" s="609">
        <v>859</v>
      </c>
      <c r="AA74" s="609">
        <v>199</v>
      </c>
      <c r="AB74" s="356">
        <v>157</v>
      </c>
      <c r="AC74" s="357">
        <v>0</v>
      </c>
      <c r="AD74" s="348">
        <v>0</v>
      </c>
      <c r="AE74" s="353">
        <v>0</v>
      </c>
      <c r="AF74" s="350">
        <f t="shared" si="25"/>
        <v>42132</v>
      </c>
      <c r="AG74" s="351">
        <f t="shared" si="26"/>
        <v>45010</v>
      </c>
      <c r="AH74" s="352">
        <f t="shared" si="27"/>
        <v>249859.92543857722</v>
      </c>
      <c r="AI74" s="42">
        <v>10390.204640263924</v>
      </c>
      <c r="AJ74" s="30">
        <f t="shared" si="31"/>
        <v>135091.92543857722</v>
      </c>
      <c r="AK74" s="37">
        <v>2.5</v>
      </c>
      <c r="AL74" s="37">
        <v>2.6012558869701725</v>
      </c>
      <c r="AM74" s="37">
        <v>2.6256208507499386</v>
      </c>
      <c r="AN74" s="37">
        <v>3.8039999999999998</v>
      </c>
      <c r="AO74" s="37">
        <v>3.9736554096310193</v>
      </c>
      <c r="AQ74" s="24">
        <f t="shared" si="33"/>
        <v>1.5</v>
      </c>
      <c r="AR74" s="24">
        <f t="shared" si="32"/>
        <v>1.6012558869701725</v>
      </c>
      <c r="AS74" s="24">
        <f t="shared" si="32"/>
        <v>1.6256208507499386</v>
      </c>
      <c r="AT74" s="24">
        <f t="shared" si="32"/>
        <v>2.8039999999999998</v>
      </c>
      <c r="AU74" s="24">
        <f t="shared" si="32"/>
        <v>2.9736554096310193</v>
      </c>
      <c r="AV74" s="25">
        <f t="shared" si="19"/>
        <v>133679.50456891331</v>
      </c>
      <c r="AW74" s="50" t="s">
        <v>528</v>
      </c>
      <c r="AX74" s="337">
        <f>+'23-İL-EMOD-Öncelikli Yaşam'!F65</f>
        <v>18607.433464496047</v>
      </c>
      <c r="AY74" s="337" t="e">
        <f>+'23-İL-EMOD-Öncelikli Yaşam'!#REF!</f>
        <v>#REF!</v>
      </c>
      <c r="AZ74" s="337" t="e">
        <f t="shared" si="28"/>
        <v>#REF!</v>
      </c>
      <c r="BA74" s="50">
        <v>33599.20312666439</v>
      </c>
      <c r="BB74" s="50"/>
      <c r="BC74" s="21">
        <v>10911</v>
      </c>
      <c r="BD74" s="21">
        <v>748</v>
      </c>
      <c r="BE74" s="21">
        <v>5987</v>
      </c>
      <c r="BF74" s="21">
        <v>1176</v>
      </c>
      <c r="BG74" s="21">
        <v>4028</v>
      </c>
      <c r="BH74" s="22">
        <f t="shared" si="20"/>
        <v>22850</v>
      </c>
      <c r="BJ74" s="39">
        <v>2017.8819027583945</v>
      </c>
      <c r="BK74" s="39">
        <f t="shared" si="21"/>
        <v>2028.0732254995985</v>
      </c>
      <c r="BN74" s="21">
        <f t="shared" si="22"/>
        <v>9.528940368362571E-3</v>
      </c>
      <c r="BO74" s="21">
        <f t="shared" si="23"/>
        <v>9.5289403683625711</v>
      </c>
      <c r="BQ74" s="149">
        <v>0.01</v>
      </c>
      <c r="BR74" s="309"/>
      <c r="BS74" s="22"/>
      <c r="BT74" s="22"/>
      <c r="BU74" s="22"/>
    </row>
    <row r="75" spans="1:73" ht="20.100000000000001" customHeight="1">
      <c r="A75" s="56">
        <f t="shared" si="34"/>
        <v>61</v>
      </c>
      <c r="B75" s="44" t="s">
        <v>529</v>
      </c>
      <c r="C75" s="375">
        <f t="shared" si="29"/>
        <v>142381</v>
      </c>
      <c r="D75" s="379">
        <f t="shared" si="30"/>
        <v>120735</v>
      </c>
      <c r="E75" s="379">
        <v>120735</v>
      </c>
      <c r="F75" s="379">
        <v>9505</v>
      </c>
      <c r="G75" s="379">
        <v>4626</v>
      </c>
      <c r="H75" s="706">
        <v>501</v>
      </c>
      <c r="I75" s="797">
        <f t="shared" si="16"/>
        <v>7014</v>
      </c>
      <c r="J75" s="896">
        <v>9</v>
      </c>
      <c r="K75" s="894">
        <v>6325</v>
      </c>
      <c r="L75" s="894">
        <v>0</v>
      </c>
      <c r="M75" s="894">
        <v>376</v>
      </c>
      <c r="N75" s="894">
        <v>0</v>
      </c>
      <c r="O75" s="894">
        <v>23</v>
      </c>
      <c r="P75" s="894">
        <v>281</v>
      </c>
      <c r="Q75" s="377">
        <v>0</v>
      </c>
      <c r="R75" s="364">
        <v>1067</v>
      </c>
      <c r="S75" s="348">
        <v>60193</v>
      </c>
      <c r="T75" s="348">
        <v>26974</v>
      </c>
      <c r="U75" s="353">
        <v>21481</v>
      </c>
      <c r="V75" s="610">
        <v>635</v>
      </c>
      <c r="W75" s="348">
        <v>1832</v>
      </c>
      <c r="X75" s="353">
        <v>1278</v>
      </c>
      <c r="Y75" s="610">
        <v>14</v>
      </c>
      <c r="Z75" s="609">
        <v>653</v>
      </c>
      <c r="AA75" s="609">
        <v>80</v>
      </c>
      <c r="AB75" s="356">
        <v>45</v>
      </c>
      <c r="AC75" s="357">
        <v>0</v>
      </c>
      <c r="AD75" s="348">
        <v>0</v>
      </c>
      <c r="AE75" s="353">
        <v>0</v>
      </c>
      <c r="AF75" s="350">
        <f t="shared" si="25"/>
        <v>85366</v>
      </c>
      <c r="AG75" s="351">
        <f t="shared" si="26"/>
        <v>91448</v>
      </c>
      <c r="AH75" s="352">
        <f t="shared" si="27"/>
        <v>418306.36999999994</v>
      </c>
      <c r="AI75" s="42">
        <v>24019.962002407527</v>
      </c>
      <c r="AJ75" s="30">
        <f t="shared" si="31"/>
        <v>184477.36999999994</v>
      </c>
      <c r="AK75" s="37">
        <v>1.8</v>
      </c>
      <c r="AL75" s="37">
        <v>2.4700000000000002</v>
      </c>
      <c r="AM75" s="37">
        <v>2.38</v>
      </c>
      <c r="AN75" s="37">
        <v>3.08</v>
      </c>
      <c r="AO75" s="37">
        <v>3.02</v>
      </c>
      <c r="AQ75" s="24">
        <f t="shared" si="33"/>
        <v>0.8</v>
      </c>
      <c r="AR75" s="24">
        <f t="shared" si="32"/>
        <v>1.4700000000000002</v>
      </c>
      <c r="AS75" s="24">
        <f t="shared" si="32"/>
        <v>1.38</v>
      </c>
      <c r="AT75" s="24">
        <f t="shared" si="32"/>
        <v>2.08</v>
      </c>
      <c r="AU75" s="24">
        <f t="shared" si="32"/>
        <v>2.02</v>
      </c>
      <c r="AV75" s="25">
        <f t="shared" si="19"/>
        <v>183555.65</v>
      </c>
      <c r="AW75" s="50" t="s">
        <v>529</v>
      </c>
      <c r="AX75" s="337">
        <f>+'23-İL-EMOD-Öncelikli Yaşam'!F66</f>
        <v>18523.452698960435</v>
      </c>
      <c r="AY75" s="337" t="e">
        <f>+'23-İL-EMOD-Öncelikli Yaşam'!#REF!</f>
        <v>#REF!</v>
      </c>
      <c r="AZ75" s="337" t="e">
        <f t="shared" si="28"/>
        <v>#REF!</v>
      </c>
      <c r="BA75" s="50">
        <v>25236.258026769618</v>
      </c>
      <c r="BB75" s="50"/>
      <c r="BC75" s="21">
        <v>22035</v>
      </c>
      <c r="BD75" s="21">
        <v>2039</v>
      </c>
      <c r="BE75" s="21">
        <v>7575</v>
      </c>
      <c r="BF75" s="21">
        <v>1051</v>
      </c>
      <c r="BG75" s="21">
        <v>5654</v>
      </c>
      <c r="BH75" s="22">
        <f t="shared" si="20"/>
        <v>38354</v>
      </c>
      <c r="BJ75" s="39">
        <v>2578.0543268053852</v>
      </c>
      <c r="BK75" s="39">
        <f t="shared" si="21"/>
        <v>2591.0748032033925</v>
      </c>
      <c r="BN75" s="21">
        <f t="shared" si="22"/>
        <v>1.6869254857065894E-2</v>
      </c>
      <c r="BO75" s="21">
        <f t="shared" si="23"/>
        <v>16.869254857065894</v>
      </c>
      <c r="BQ75" s="149">
        <v>0.01</v>
      </c>
      <c r="BR75" s="309"/>
      <c r="BS75" s="22"/>
      <c r="BT75" s="22"/>
      <c r="BU75" s="22"/>
    </row>
    <row r="76" spans="1:73" ht="20.100000000000001" customHeight="1">
      <c r="A76" s="56">
        <f t="shared" si="34"/>
        <v>62</v>
      </c>
      <c r="B76" s="44" t="s">
        <v>530</v>
      </c>
      <c r="C76" s="375">
        <f t="shared" si="29"/>
        <v>8662</v>
      </c>
      <c r="D76" s="379">
        <f t="shared" si="30"/>
        <v>8040</v>
      </c>
      <c r="E76" s="379">
        <v>8040</v>
      </c>
      <c r="F76" s="379">
        <v>473</v>
      </c>
      <c r="G76" s="706">
        <v>58</v>
      </c>
      <c r="H76" s="379">
        <v>0</v>
      </c>
      <c r="I76" s="797">
        <f t="shared" si="16"/>
        <v>91</v>
      </c>
      <c r="J76" s="896">
        <v>0</v>
      </c>
      <c r="K76" s="894">
        <v>91</v>
      </c>
      <c r="L76" s="894">
        <v>0</v>
      </c>
      <c r="M76" s="894">
        <v>0</v>
      </c>
      <c r="N76" s="894">
        <v>0</v>
      </c>
      <c r="O76" s="894">
        <v>0</v>
      </c>
      <c r="P76" s="894">
        <v>0</v>
      </c>
      <c r="Q76" s="377">
        <v>0</v>
      </c>
      <c r="R76" s="364">
        <v>70</v>
      </c>
      <c r="S76" s="348">
        <v>3289</v>
      </c>
      <c r="T76" s="348">
        <v>1727</v>
      </c>
      <c r="U76" s="353">
        <v>1397</v>
      </c>
      <c r="V76" s="610">
        <v>66</v>
      </c>
      <c r="W76" s="609">
        <v>83</v>
      </c>
      <c r="X76" s="605">
        <v>55</v>
      </c>
      <c r="Y76" s="354">
        <v>0</v>
      </c>
      <c r="Z76" s="609">
        <v>5</v>
      </c>
      <c r="AA76" s="609">
        <v>1</v>
      </c>
      <c r="AB76" s="356">
        <v>0</v>
      </c>
      <c r="AC76" s="357">
        <v>0</v>
      </c>
      <c r="AD76" s="348">
        <v>0</v>
      </c>
      <c r="AE76" s="353">
        <v>0</v>
      </c>
      <c r="AF76" s="350">
        <f t="shared" si="25"/>
        <v>4882</v>
      </c>
      <c r="AG76" s="351">
        <f t="shared" si="26"/>
        <v>5241</v>
      </c>
      <c r="AH76" s="352">
        <f t="shared" si="27"/>
        <v>18896.759999999998</v>
      </c>
      <c r="AI76" s="42">
        <v>964.73744969800464</v>
      </c>
      <c r="AJ76" s="30">
        <f t="shared" si="31"/>
        <v>4993.7599999999984</v>
      </c>
      <c r="AK76" s="37">
        <v>1.2</v>
      </c>
      <c r="AL76" s="37">
        <v>1.98</v>
      </c>
      <c r="AM76" s="37">
        <v>1.99</v>
      </c>
      <c r="AN76" s="37">
        <v>1.85</v>
      </c>
      <c r="AO76" s="37">
        <v>1.99</v>
      </c>
      <c r="AQ76" s="24">
        <f t="shared" si="33"/>
        <v>0.19999999999999996</v>
      </c>
      <c r="AR76" s="24">
        <f t="shared" si="32"/>
        <v>0.98</v>
      </c>
      <c r="AS76" s="24">
        <f t="shared" si="32"/>
        <v>0.99</v>
      </c>
      <c r="AT76" s="24">
        <f t="shared" si="32"/>
        <v>0.85000000000000009</v>
      </c>
      <c r="AU76" s="24">
        <f t="shared" si="32"/>
        <v>0.99</v>
      </c>
      <c r="AV76" s="25">
        <f t="shared" si="19"/>
        <v>4988.8099999999995</v>
      </c>
      <c r="AW76" s="50" t="s">
        <v>530</v>
      </c>
      <c r="AX76" s="337">
        <f>+'23-İL-EMOD-Öncelikli Yaşam'!F67</f>
        <v>2008.8442142597487</v>
      </c>
      <c r="AY76" s="337" t="e">
        <f>+'23-İL-EMOD-Öncelikli Yaşam'!#REF!</f>
        <v>#REF!</v>
      </c>
      <c r="AZ76" s="337" t="e">
        <f t="shared" si="28"/>
        <v>#REF!</v>
      </c>
      <c r="BA76" s="50">
        <v>13150.340046655154</v>
      </c>
      <c r="BB76" s="50"/>
      <c r="BC76" s="21">
        <v>1200</v>
      </c>
      <c r="BD76" s="21">
        <v>68</v>
      </c>
      <c r="BE76" s="21">
        <v>728</v>
      </c>
      <c r="BF76" s="21">
        <v>8</v>
      </c>
      <c r="BG76" s="21">
        <v>598</v>
      </c>
      <c r="BH76" s="22">
        <f t="shared" si="20"/>
        <v>2602</v>
      </c>
      <c r="BJ76" s="39">
        <v>2.1019603153733262</v>
      </c>
      <c r="BK76" s="39">
        <f t="shared" si="21"/>
        <v>2.1125762765620801</v>
      </c>
      <c r="BN76" s="21">
        <f t="shared" si="22"/>
        <v>0</v>
      </c>
      <c r="BO76" s="21">
        <f t="shared" si="23"/>
        <v>0</v>
      </c>
      <c r="BQ76" s="149">
        <v>0.01</v>
      </c>
      <c r="BR76" s="309"/>
      <c r="BS76" s="22"/>
      <c r="BT76" s="22"/>
      <c r="BU76" s="22"/>
    </row>
    <row r="77" spans="1:73" ht="20.100000000000001" customHeight="1">
      <c r="A77" s="56">
        <f t="shared" si="34"/>
        <v>63</v>
      </c>
      <c r="B77" s="44" t="s">
        <v>510</v>
      </c>
      <c r="C77" s="375">
        <f t="shared" si="29"/>
        <v>146958</v>
      </c>
      <c r="D77" s="379">
        <f t="shared" si="30"/>
        <v>119823</v>
      </c>
      <c r="E77" s="379">
        <v>119823</v>
      </c>
      <c r="F77" s="379">
        <v>16435</v>
      </c>
      <c r="G77" s="379">
        <v>6350</v>
      </c>
      <c r="H77" s="706">
        <v>372</v>
      </c>
      <c r="I77" s="797">
        <f t="shared" si="16"/>
        <v>3978</v>
      </c>
      <c r="J77" s="896">
        <v>3</v>
      </c>
      <c r="K77" s="894">
        <v>3968</v>
      </c>
      <c r="L77" s="894">
        <v>0</v>
      </c>
      <c r="M77" s="894">
        <v>0</v>
      </c>
      <c r="N77" s="894">
        <v>1</v>
      </c>
      <c r="O77" s="894">
        <v>0</v>
      </c>
      <c r="P77" s="894">
        <v>6</v>
      </c>
      <c r="Q77" s="605">
        <v>0</v>
      </c>
      <c r="R77" s="364">
        <v>321</v>
      </c>
      <c r="S77" s="348">
        <v>16527</v>
      </c>
      <c r="T77" s="348">
        <v>12674</v>
      </c>
      <c r="U77" s="353">
        <v>6742</v>
      </c>
      <c r="V77" s="610">
        <v>409</v>
      </c>
      <c r="W77" s="609">
        <v>1099</v>
      </c>
      <c r="X77" s="605">
        <v>482</v>
      </c>
      <c r="Y77" s="610">
        <v>9</v>
      </c>
      <c r="Z77" s="609">
        <v>706</v>
      </c>
      <c r="AA77" s="348">
        <v>1104</v>
      </c>
      <c r="AB77" s="356">
        <v>472</v>
      </c>
      <c r="AC77" s="357">
        <v>0</v>
      </c>
      <c r="AD77" s="348">
        <v>0</v>
      </c>
      <c r="AE77" s="353">
        <v>0</v>
      </c>
      <c r="AF77" s="350">
        <f t="shared" si="25"/>
        <v>25668</v>
      </c>
      <c r="AG77" s="351">
        <f t="shared" si="26"/>
        <v>32849</v>
      </c>
      <c r="AH77" s="352">
        <f t="shared" si="27"/>
        <v>659692.96000000008</v>
      </c>
      <c r="AI77" s="42">
        <v>164931.49578828365</v>
      </c>
      <c r="AJ77" s="30">
        <f t="shared" si="31"/>
        <v>479885.96000000008</v>
      </c>
      <c r="AK77" s="37">
        <v>4.12</v>
      </c>
      <c r="AL77" s="37">
        <v>6.8</v>
      </c>
      <c r="AM77" s="37">
        <v>6.8</v>
      </c>
      <c r="AN77" s="37">
        <v>6.2</v>
      </c>
      <c r="AO77" s="37">
        <v>6.5</v>
      </c>
      <c r="AQ77" s="24">
        <f t="shared" si="33"/>
        <v>3.12</v>
      </c>
      <c r="AR77" s="24">
        <f t="shared" si="32"/>
        <v>5.8</v>
      </c>
      <c r="AS77" s="24">
        <f t="shared" si="32"/>
        <v>5.8</v>
      </c>
      <c r="AT77" s="24">
        <f t="shared" si="32"/>
        <v>5.2</v>
      </c>
      <c r="AU77" s="24">
        <f t="shared" si="32"/>
        <v>5.5</v>
      </c>
      <c r="AV77" s="25">
        <f t="shared" si="19"/>
        <v>475738.95999999996</v>
      </c>
      <c r="AW77" s="50" t="s">
        <v>510</v>
      </c>
      <c r="AX77" s="337">
        <f>+'23-İL-EMOD-Öncelikli Yaşam'!F68</f>
        <v>36956.329194450518</v>
      </c>
      <c r="AY77" s="337" t="e">
        <f>+'23-İL-EMOD-Öncelikli Yaşam'!#REF!</f>
        <v>#REF!</v>
      </c>
      <c r="AZ77" s="337" t="e">
        <f t="shared" si="28"/>
        <v>#REF!</v>
      </c>
      <c r="BA77" s="50">
        <v>36041.694573496468</v>
      </c>
      <c r="BB77" s="50"/>
      <c r="BC77" s="21">
        <v>9514</v>
      </c>
      <c r="BD77" s="21">
        <v>818</v>
      </c>
      <c r="BE77" s="21">
        <v>9023</v>
      </c>
      <c r="BF77" s="21">
        <v>110</v>
      </c>
      <c r="BG77" s="21">
        <v>3729</v>
      </c>
      <c r="BH77" s="22">
        <f t="shared" si="20"/>
        <v>23194</v>
      </c>
      <c r="BJ77" s="39">
        <v>1489.2388834420026</v>
      </c>
      <c r="BK77" s="39">
        <f t="shared" si="21"/>
        <v>1496.760291944235</v>
      </c>
      <c r="BN77" s="21">
        <f t="shared" si="22"/>
        <v>1.2525674265126772E-2</v>
      </c>
      <c r="BO77" s="21">
        <f t="shared" si="23"/>
        <v>12.525674265126773</v>
      </c>
      <c r="BQ77" s="149">
        <v>0.01</v>
      </c>
      <c r="BR77" s="309"/>
      <c r="BS77" s="22"/>
      <c r="BT77" s="22"/>
      <c r="BU77" s="22"/>
    </row>
    <row r="78" spans="1:73" ht="20.100000000000001" customHeight="1">
      <c r="A78" s="56">
        <f t="shared" si="34"/>
        <v>64</v>
      </c>
      <c r="B78" s="44" t="s">
        <v>511</v>
      </c>
      <c r="C78" s="375">
        <f t="shared" si="29"/>
        <v>71891</v>
      </c>
      <c r="D78" s="379">
        <f t="shared" si="30"/>
        <v>60824</v>
      </c>
      <c r="E78" s="379">
        <v>60824</v>
      </c>
      <c r="F78" s="379">
        <v>3652</v>
      </c>
      <c r="G78" s="379">
        <v>2610</v>
      </c>
      <c r="H78" s="706">
        <v>150</v>
      </c>
      <c r="I78" s="797">
        <f t="shared" si="16"/>
        <v>4655</v>
      </c>
      <c r="J78" s="896">
        <v>9</v>
      </c>
      <c r="K78" s="894">
        <v>4389</v>
      </c>
      <c r="L78" s="894">
        <v>0</v>
      </c>
      <c r="M78" s="894">
        <v>0</v>
      </c>
      <c r="N78" s="894">
        <v>0</v>
      </c>
      <c r="O78" s="894">
        <v>0</v>
      </c>
      <c r="P78" s="894">
        <v>257</v>
      </c>
      <c r="Q78" s="353">
        <v>0</v>
      </c>
      <c r="R78" s="364">
        <v>393</v>
      </c>
      <c r="S78" s="348">
        <v>29840</v>
      </c>
      <c r="T78" s="348">
        <v>8660</v>
      </c>
      <c r="U78" s="353">
        <v>7363</v>
      </c>
      <c r="V78" s="610">
        <v>530</v>
      </c>
      <c r="W78" s="609">
        <v>388</v>
      </c>
      <c r="X78" s="605">
        <v>263</v>
      </c>
      <c r="Y78" s="610">
        <v>5</v>
      </c>
      <c r="Z78" s="609">
        <v>398</v>
      </c>
      <c r="AA78" s="609">
        <v>68</v>
      </c>
      <c r="AB78" s="356">
        <v>58</v>
      </c>
      <c r="AC78" s="357">
        <v>0</v>
      </c>
      <c r="AD78" s="348">
        <v>0</v>
      </c>
      <c r="AE78" s="353">
        <v>0</v>
      </c>
      <c r="AF78" s="350">
        <f t="shared" si="25"/>
        <v>38850</v>
      </c>
      <c r="AG78" s="351">
        <f t="shared" si="26"/>
        <v>40282</v>
      </c>
      <c r="AH78" s="352">
        <f t="shared" si="27"/>
        <v>186079.06</v>
      </c>
      <c r="AI78" s="42">
        <v>5031.2385599976988</v>
      </c>
      <c r="AJ78" s="30">
        <f t="shared" si="31"/>
        <v>73906.06</v>
      </c>
      <c r="AK78" s="37">
        <v>1.57</v>
      </c>
      <c r="AL78" s="37">
        <v>2.12</v>
      </c>
      <c r="AM78" s="37">
        <v>2.2400000000000002</v>
      </c>
      <c r="AN78" s="37">
        <v>2.85</v>
      </c>
      <c r="AO78" s="37">
        <v>3.1</v>
      </c>
      <c r="AQ78" s="24">
        <f t="shared" si="33"/>
        <v>0.57000000000000006</v>
      </c>
      <c r="AR78" s="24">
        <f t="shared" si="32"/>
        <v>1.1200000000000001</v>
      </c>
      <c r="AS78" s="24">
        <f t="shared" si="32"/>
        <v>1.2400000000000002</v>
      </c>
      <c r="AT78" s="24">
        <f t="shared" si="32"/>
        <v>1.85</v>
      </c>
      <c r="AU78" s="24">
        <f t="shared" si="32"/>
        <v>2.1</v>
      </c>
      <c r="AV78" s="25">
        <f t="shared" si="19"/>
        <v>73406.94</v>
      </c>
      <c r="AW78" s="50" t="s">
        <v>511</v>
      </c>
      <c r="AX78" s="337">
        <f>+'23-İL-EMOD-Öncelikli Yaşam'!F69</f>
        <v>5586.4686415602337</v>
      </c>
      <c r="AY78" s="337" t="e">
        <f>+'23-İL-EMOD-Öncelikli Yaşam'!#REF!</f>
        <v>#REF!</v>
      </c>
      <c r="AZ78" s="337" t="e">
        <f t="shared" si="28"/>
        <v>#REF!</v>
      </c>
      <c r="BA78" s="50">
        <v>11266.862198702351</v>
      </c>
      <c r="BB78" s="50"/>
      <c r="BC78" s="21">
        <v>6109</v>
      </c>
      <c r="BD78" s="21">
        <v>310</v>
      </c>
      <c r="BE78" s="21">
        <v>3777</v>
      </c>
      <c r="BF78" s="21">
        <v>1559</v>
      </c>
      <c r="BG78" s="21">
        <v>2005</v>
      </c>
      <c r="BH78" s="22">
        <f t="shared" si="20"/>
        <v>13760</v>
      </c>
      <c r="BJ78" s="39">
        <v>3013.1601120876649</v>
      </c>
      <c r="BK78" s="39">
        <f t="shared" si="21"/>
        <v>3028.3780924517437</v>
      </c>
      <c r="BN78" s="21">
        <f t="shared" si="22"/>
        <v>5.0506751069059564E-3</v>
      </c>
      <c r="BO78" s="21">
        <f t="shared" si="23"/>
        <v>5.0506751069059561</v>
      </c>
      <c r="BQ78" s="149">
        <v>0.01</v>
      </c>
      <c r="BR78" s="309"/>
      <c r="BS78" s="22"/>
      <c r="BT78" s="22"/>
      <c r="BU78" s="22"/>
    </row>
    <row r="79" spans="1:73" ht="20.100000000000001" customHeight="1">
      <c r="A79" s="56">
        <f t="shared" si="34"/>
        <v>65</v>
      </c>
      <c r="B79" s="44" t="s">
        <v>512</v>
      </c>
      <c r="C79" s="375">
        <f t="shared" si="29"/>
        <v>91901</v>
      </c>
      <c r="D79" s="379">
        <f t="shared" si="30"/>
        <v>75858</v>
      </c>
      <c r="E79" s="379">
        <v>75858</v>
      </c>
      <c r="F79" s="379">
        <v>12689</v>
      </c>
      <c r="G79" s="379">
        <v>3093</v>
      </c>
      <c r="H79" s="706">
        <v>0</v>
      </c>
      <c r="I79" s="797">
        <f t="shared" si="16"/>
        <v>261</v>
      </c>
      <c r="J79" s="896">
        <v>0</v>
      </c>
      <c r="K79" s="894">
        <v>257</v>
      </c>
      <c r="L79" s="894">
        <v>0</v>
      </c>
      <c r="M79" s="894">
        <v>0</v>
      </c>
      <c r="N79" s="894">
        <v>0</v>
      </c>
      <c r="O79" s="894">
        <v>0</v>
      </c>
      <c r="P79" s="894">
        <v>4</v>
      </c>
      <c r="Q79" s="353">
        <v>0</v>
      </c>
      <c r="R79" s="364">
        <v>261</v>
      </c>
      <c r="S79" s="348">
        <v>9342</v>
      </c>
      <c r="T79" s="348">
        <v>10390</v>
      </c>
      <c r="U79" s="353">
        <v>5429</v>
      </c>
      <c r="V79" s="610">
        <v>446</v>
      </c>
      <c r="W79" s="348">
        <v>1147</v>
      </c>
      <c r="X79" s="605">
        <v>506</v>
      </c>
      <c r="Y79" s="354">
        <v>0</v>
      </c>
      <c r="Z79" s="609">
        <v>4</v>
      </c>
      <c r="AA79" s="609">
        <v>6</v>
      </c>
      <c r="AB79" s="356">
        <v>3</v>
      </c>
      <c r="AC79" s="357">
        <v>0</v>
      </c>
      <c r="AD79" s="348">
        <v>0</v>
      </c>
      <c r="AE79" s="353">
        <v>0</v>
      </c>
      <c r="AF79" s="350">
        <f t="shared" si="25"/>
        <v>15991</v>
      </c>
      <c r="AG79" s="351">
        <f t="shared" si="26"/>
        <v>21596</v>
      </c>
      <c r="AH79" s="352">
        <f t="shared" si="27"/>
        <v>424996.04294535355</v>
      </c>
      <c r="AI79" s="42">
        <v>103340.23575916316</v>
      </c>
      <c r="AJ79" s="30">
        <f t="shared" si="31"/>
        <v>311499.04294535355</v>
      </c>
      <c r="AK79" s="37">
        <v>4.7</v>
      </c>
      <c r="AL79" s="37">
        <v>3.8</v>
      </c>
      <c r="AM79" s="37">
        <v>4.0171349181846248</v>
      </c>
      <c r="AN79" s="37">
        <v>5.25</v>
      </c>
      <c r="AO79" s="37">
        <v>5.0362537764350455</v>
      </c>
      <c r="AQ79" s="24">
        <f t="shared" si="33"/>
        <v>3.7</v>
      </c>
      <c r="AR79" s="24">
        <f t="shared" ref="AR79:AU95" si="35">AL79-1</f>
        <v>2.8</v>
      </c>
      <c r="AS79" s="24">
        <f t="shared" si="35"/>
        <v>3.0171349181846248</v>
      </c>
      <c r="AT79" s="24">
        <f t="shared" si="35"/>
        <v>4.25</v>
      </c>
      <c r="AU79" s="24">
        <f t="shared" si="35"/>
        <v>4.0362537764350455</v>
      </c>
      <c r="AV79" s="25">
        <f t="shared" si="19"/>
        <v>311486.97440568078</v>
      </c>
      <c r="AW79" s="50" t="s">
        <v>512</v>
      </c>
      <c r="AX79" s="337">
        <f>+'23-İL-EMOD-Öncelikli Yaşam'!F70</f>
        <v>34269.542255977402</v>
      </c>
      <c r="AY79" s="337" t="e">
        <f>+'23-İL-EMOD-Öncelikli Yaşam'!#REF!</f>
        <v>#REF!</v>
      </c>
      <c r="AZ79" s="337" t="e">
        <f t="shared" si="28"/>
        <v>#REF!</v>
      </c>
      <c r="BA79" s="50">
        <v>21043.086579575669</v>
      </c>
      <c r="BB79" s="50"/>
      <c r="BC79" s="21">
        <v>6982</v>
      </c>
      <c r="BD79" s="21">
        <v>810</v>
      </c>
      <c r="BE79" s="21">
        <v>4236</v>
      </c>
      <c r="BF79" s="21">
        <v>13</v>
      </c>
      <c r="BG79" s="21">
        <v>3318</v>
      </c>
      <c r="BH79" s="22">
        <f t="shared" si="20"/>
        <v>15359</v>
      </c>
      <c r="BJ79" s="39">
        <v>19.968622996046612</v>
      </c>
      <c r="BK79" s="39">
        <f t="shared" si="21"/>
        <v>20.069474627339776</v>
      </c>
      <c r="BN79" s="21">
        <f t="shared" si="22"/>
        <v>0</v>
      </c>
      <c r="BO79" s="21">
        <f t="shared" si="23"/>
        <v>0</v>
      </c>
      <c r="BQ79" s="149">
        <v>0.01</v>
      </c>
      <c r="BR79" s="309"/>
      <c r="BS79" s="22"/>
      <c r="BT79" s="22"/>
      <c r="BU79" s="22"/>
    </row>
    <row r="80" spans="1:73" ht="20.100000000000001" customHeight="1">
      <c r="A80" s="56">
        <f t="shared" si="34"/>
        <v>66</v>
      </c>
      <c r="B80" s="44" t="s">
        <v>427</v>
      </c>
      <c r="C80" s="375">
        <f t="shared" si="29"/>
        <v>46342</v>
      </c>
      <c r="D80" s="379">
        <f t="shared" si="30"/>
        <v>37610</v>
      </c>
      <c r="E80" s="379">
        <v>37610</v>
      </c>
      <c r="F80" s="379">
        <v>4642</v>
      </c>
      <c r="G80" s="379">
        <v>2273</v>
      </c>
      <c r="H80" s="706">
        <v>183</v>
      </c>
      <c r="I80" s="797">
        <f t="shared" si="16"/>
        <v>1634</v>
      </c>
      <c r="J80" s="896">
        <v>52</v>
      </c>
      <c r="K80" s="894">
        <v>1574</v>
      </c>
      <c r="L80" s="894">
        <v>0</v>
      </c>
      <c r="M80" s="894">
        <v>0</v>
      </c>
      <c r="N80" s="894">
        <v>0</v>
      </c>
      <c r="O80" s="894">
        <v>0</v>
      </c>
      <c r="P80" s="894">
        <v>8</v>
      </c>
      <c r="Q80" s="353">
        <v>0</v>
      </c>
      <c r="R80" s="364">
        <v>262</v>
      </c>
      <c r="S80" s="348">
        <v>15468</v>
      </c>
      <c r="T80" s="348">
        <v>6401</v>
      </c>
      <c r="U80" s="353">
        <v>4979</v>
      </c>
      <c r="V80" s="610">
        <v>237</v>
      </c>
      <c r="W80" s="609">
        <v>408</v>
      </c>
      <c r="X80" s="605">
        <v>261</v>
      </c>
      <c r="Y80" s="610">
        <v>4</v>
      </c>
      <c r="Z80" s="609">
        <v>269</v>
      </c>
      <c r="AA80" s="609">
        <v>67</v>
      </c>
      <c r="AB80" s="356">
        <v>53</v>
      </c>
      <c r="AC80" s="357">
        <v>0</v>
      </c>
      <c r="AD80" s="348">
        <v>0</v>
      </c>
      <c r="AE80" s="353">
        <v>0</v>
      </c>
      <c r="AF80" s="350">
        <f t="shared" si="25"/>
        <v>21533</v>
      </c>
      <c r="AG80" s="351">
        <f t="shared" si="26"/>
        <v>23116</v>
      </c>
      <c r="AH80" s="352">
        <f t="shared" si="27"/>
        <v>124323.57700233042</v>
      </c>
      <c r="AI80" s="42">
        <v>28608.028169150464</v>
      </c>
      <c r="AJ80" s="30">
        <f t="shared" si="31"/>
        <v>54865.577002330421</v>
      </c>
      <c r="AK80" s="37">
        <v>1.65</v>
      </c>
      <c r="AL80" s="37">
        <v>2.95</v>
      </c>
      <c r="AM80" s="37">
        <v>2.8111124739359745</v>
      </c>
      <c r="AN80" s="37">
        <v>4.2</v>
      </c>
      <c r="AO80" s="37">
        <v>4.5</v>
      </c>
      <c r="AQ80" s="24">
        <f t="shared" si="33"/>
        <v>0.64999999999999991</v>
      </c>
      <c r="AR80" s="24">
        <f t="shared" si="35"/>
        <v>1.9500000000000002</v>
      </c>
      <c r="AS80" s="24">
        <f t="shared" si="35"/>
        <v>1.8111124739359745</v>
      </c>
      <c r="AT80" s="24">
        <f t="shared" si="35"/>
        <v>3.2</v>
      </c>
      <c r="AU80" s="24">
        <f t="shared" si="35"/>
        <v>3.5</v>
      </c>
      <c r="AV80" s="25">
        <f t="shared" si="19"/>
        <v>54370.587746841651</v>
      </c>
      <c r="AW80" s="50" t="s">
        <v>427</v>
      </c>
      <c r="AX80" s="337">
        <f>+'23-İL-EMOD-Öncelikli Yaşam'!F71</f>
        <v>11679.228214959556</v>
      </c>
      <c r="AY80" s="337" t="e">
        <f>+'23-İL-EMOD-Öncelikli Yaşam'!#REF!</f>
        <v>#REF!</v>
      </c>
      <c r="AZ80" s="337" t="e">
        <f t="shared" si="28"/>
        <v>#REF!</v>
      </c>
      <c r="BA80" s="50">
        <v>23678.6296986253</v>
      </c>
      <c r="BB80" s="50"/>
      <c r="BC80" s="21">
        <v>4849</v>
      </c>
      <c r="BD80" s="21">
        <v>459</v>
      </c>
      <c r="BE80" s="21">
        <v>5419</v>
      </c>
      <c r="BF80" s="21">
        <v>3260</v>
      </c>
      <c r="BG80" s="21">
        <v>2646</v>
      </c>
      <c r="BH80" s="22">
        <f t="shared" si="20"/>
        <v>16633</v>
      </c>
      <c r="BJ80" s="39">
        <v>2261.7092993417004</v>
      </c>
      <c r="BK80" s="39">
        <f t="shared" si="21"/>
        <v>2273.1320735807999</v>
      </c>
      <c r="BN80" s="21">
        <f t="shared" si="22"/>
        <v>6.161823630425267E-3</v>
      </c>
      <c r="BO80" s="21">
        <f t="shared" si="23"/>
        <v>6.1618236304252667</v>
      </c>
      <c r="BQ80" s="149">
        <v>0.01</v>
      </c>
      <c r="BR80" s="309"/>
      <c r="BS80" s="22"/>
      <c r="BT80" s="22"/>
      <c r="BU80" s="22"/>
    </row>
    <row r="81" spans="1:73" ht="20.100000000000001" customHeight="1">
      <c r="A81" s="57">
        <f t="shared" si="34"/>
        <v>67</v>
      </c>
      <c r="B81" s="44" t="s">
        <v>428</v>
      </c>
      <c r="C81" s="375">
        <f t="shared" si="29"/>
        <v>98154</v>
      </c>
      <c r="D81" s="379">
        <f t="shared" si="30"/>
        <v>83980</v>
      </c>
      <c r="E81" s="379">
        <v>83980</v>
      </c>
      <c r="F81" s="379">
        <v>6829</v>
      </c>
      <c r="G81" s="379">
        <v>3173</v>
      </c>
      <c r="H81" s="379">
        <v>1961</v>
      </c>
      <c r="I81" s="797">
        <f t="shared" si="16"/>
        <v>2211</v>
      </c>
      <c r="J81" s="896">
        <v>5</v>
      </c>
      <c r="K81" s="894">
        <v>2146</v>
      </c>
      <c r="L81" s="894">
        <v>0</v>
      </c>
      <c r="M81" s="894">
        <v>2</v>
      </c>
      <c r="N81" s="894">
        <v>0</v>
      </c>
      <c r="O81" s="894">
        <v>4</v>
      </c>
      <c r="P81" s="894">
        <v>54</v>
      </c>
      <c r="Q81" s="353">
        <v>0</v>
      </c>
      <c r="R81" s="364">
        <v>866</v>
      </c>
      <c r="S81" s="348">
        <v>73665</v>
      </c>
      <c r="T81" s="348">
        <v>36149</v>
      </c>
      <c r="U81" s="353">
        <v>30487</v>
      </c>
      <c r="V81" s="357">
        <v>6540</v>
      </c>
      <c r="W81" s="348">
        <v>6978</v>
      </c>
      <c r="X81" s="353">
        <v>5786</v>
      </c>
      <c r="Y81" s="610">
        <v>96</v>
      </c>
      <c r="Z81" s="348">
        <v>5803</v>
      </c>
      <c r="AA81" s="609">
        <v>648</v>
      </c>
      <c r="AB81" s="356">
        <v>446</v>
      </c>
      <c r="AC81" s="357">
        <v>0</v>
      </c>
      <c r="AD81" s="348">
        <v>0</v>
      </c>
      <c r="AE81" s="353">
        <v>0</v>
      </c>
      <c r="AF81" s="350">
        <f t="shared" si="25"/>
        <v>123689</v>
      </c>
      <c r="AG81" s="351">
        <f t="shared" si="26"/>
        <v>130745</v>
      </c>
      <c r="AH81" s="352">
        <f t="shared" si="27"/>
        <v>429364.86</v>
      </c>
      <c r="AI81" s="42">
        <v>9564.2990375703666</v>
      </c>
      <c r="AJ81" s="30">
        <f t="shared" si="31"/>
        <v>200465.86</v>
      </c>
      <c r="AK81" s="37">
        <v>2.2000000000000002</v>
      </c>
      <c r="AL81" s="37">
        <v>1.99</v>
      </c>
      <c r="AM81" s="37">
        <v>2.11</v>
      </c>
      <c r="AN81" s="37">
        <v>2.19</v>
      </c>
      <c r="AO81" s="37">
        <v>2.4</v>
      </c>
      <c r="AQ81" s="24">
        <f t="shared" si="33"/>
        <v>1.2000000000000002</v>
      </c>
      <c r="AR81" s="24">
        <f t="shared" si="35"/>
        <v>0.99</v>
      </c>
      <c r="AS81" s="24">
        <f t="shared" si="35"/>
        <v>1.1099999999999999</v>
      </c>
      <c r="AT81" s="24">
        <f t="shared" si="35"/>
        <v>1.19</v>
      </c>
      <c r="AU81" s="24">
        <f t="shared" si="35"/>
        <v>1.4</v>
      </c>
      <c r="AV81" s="25">
        <f t="shared" si="19"/>
        <v>193929.49000000002</v>
      </c>
      <c r="AW81" s="50" t="s">
        <v>428</v>
      </c>
      <c r="AX81" s="337">
        <f>+'23-İL-EMOD-Öncelikli Yaşam'!F72</f>
        <v>10028.001855631825</v>
      </c>
      <c r="AY81" s="337" t="e">
        <f>+'23-İL-EMOD-Öncelikli Yaşam'!#REF!</f>
        <v>#REF!</v>
      </c>
      <c r="AZ81" s="337" t="e">
        <f t="shared" si="28"/>
        <v>#REF!</v>
      </c>
      <c r="BA81" s="50">
        <v>23504.111621138174</v>
      </c>
      <c r="BB81" s="50"/>
      <c r="BC81" s="21">
        <v>35130</v>
      </c>
      <c r="BD81" s="21">
        <v>6913</v>
      </c>
      <c r="BE81" s="21">
        <v>3018</v>
      </c>
      <c r="BF81" s="21">
        <v>22</v>
      </c>
      <c r="BG81" s="21">
        <v>3350</v>
      </c>
      <c r="BH81" s="22">
        <f t="shared" si="20"/>
        <v>48433</v>
      </c>
      <c r="BJ81" s="39">
        <v>29952.934494069916</v>
      </c>
      <c r="BK81" s="39">
        <f t="shared" si="21"/>
        <v>30104.21194100966</v>
      </c>
      <c r="BN81" s="21">
        <f t="shared" si="22"/>
        <v>6.602915923095054E-2</v>
      </c>
      <c r="BO81" s="21">
        <f t="shared" si="23"/>
        <v>66.02915923095054</v>
      </c>
      <c r="BQ81" s="149">
        <v>0.01</v>
      </c>
      <c r="BR81" s="309"/>
      <c r="BS81" s="22"/>
      <c r="BT81" s="22"/>
      <c r="BU81" s="22"/>
    </row>
    <row r="82" spans="1:73" ht="20.100000000000001" customHeight="1">
      <c r="A82" s="57">
        <f t="shared" si="34"/>
        <v>68</v>
      </c>
      <c r="B82" s="44" t="s">
        <v>429</v>
      </c>
      <c r="C82" s="375">
        <f t="shared" si="29"/>
        <v>55797</v>
      </c>
      <c r="D82" s="379">
        <f t="shared" si="30"/>
        <v>47604</v>
      </c>
      <c r="E82" s="379">
        <v>47604</v>
      </c>
      <c r="F82" s="379">
        <v>4125</v>
      </c>
      <c r="G82" s="379">
        <v>1941</v>
      </c>
      <c r="H82" s="706">
        <v>152</v>
      </c>
      <c r="I82" s="797">
        <f t="shared" si="16"/>
        <v>1975</v>
      </c>
      <c r="J82" s="896">
        <v>3</v>
      </c>
      <c r="K82" s="894">
        <v>1919</v>
      </c>
      <c r="L82" s="894">
        <v>0</v>
      </c>
      <c r="M82" s="894">
        <v>1</v>
      </c>
      <c r="N82" s="894">
        <v>0</v>
      </c>
      <c r="O82" s="894">
        <v>1</v>
      </c>
      <c r="P82" s="894">
        <v>51</v>
      </c>
      <c r="Q82" s="377">
        <v>0</v>
      </c>
      <c r="R82" s="364">
        <v>183</v>
      </c>
      <c r="S82" s="348">
        <v>14054</v>
      </c>
      <c r="T82" s="348">
        <v>5078</v>
      </c>
      <c r="U82" s="353">
        <v>3868</v>
      </c>
      <c r="V82" s="610">
        <v>162</v>
      </c>
      <c r="W82" s="609">
        <v>328</v>
      </c>
      <c r="X82" s="605">
        <v>193</v>
      </c>
      <c r="Y82" s="610">
        <v>3</v>
      </c>
      <c r="Z82" s="609">
        <v>278</v>
      </c>
      <c r="AA82" s="609">
        <v>42</v>
      </c>
      <c r="AB82" s="356">
        <v>37</v>
      </c>
      <c r="AC82" s="357">
        <v>0</v>
      </c>
      <c r="AD82" s="348">
        <v>0</v>
      </c>
      <c r="AE82" s="353">
        <v>0</v>
      </c>
      <c r="AF82" s="350">
        <f t="shared" si="25"/>
        <v>18778</v>
      </c>
      <c r="AG82" s="351">
        <f t="shared" si="26"/>
        <v>20128</v>
      </c>
      <c r="AH82" s="352">
        <f t="shared" si="27"/>
        <v>142888.90314142028</v>
      </c>
      <c r="AI82" s="42">
        <v>16761.980747601425</v>
      </c>
      <c r="AJ82" s="30">
        <f t="shared" si="31"/>
        <v>66963.903141420276</v>
      </c>
      <c r="AK82" s="37">
        <v>1.81</v>
      </c>
      <c r="AL82" s="37">
        <v>2.904494382022472</v>
      </c>
      <c r="AM82" s="37">
        <v>2.8846212935934861</v>
      </c>
      <c r="AN82" s="37">
        <v>4.3150684931506849</v>
      </c>
      <c r="AO82" s="37">
        <v>4.3091691492883148</v>
      </c>
      <c r="AQ82" s="24">
        <f t="shared" si="33"/>
        <v>0.81</v>
      </c>
      <c r="AR82" s="24">
        <f t="shared" si="35"/>
        <v>1.904494382022472</v>
      </c>
      <c r="AS82" s="24">
        <f t="shared" si="35"/>
        <v>1.8846212935934861</v>
      </c>
      <c r="AT82" s="24">
        <f t="shared" si="35"/>
        <v>3.3150684931506849</v>
      </c>
      <c r="AU82" s="24">
        <f t="shared" si="35"/>
        <v>3.3091691492883148</v>
      </c>
      <c r="AV82" s="25">
        <f t="shared" si="19"/>
        <v>66434.264938655208</v>
      </c>
      <c r="AW82" s="50" t="s">
        <v>429</v>
      </c>
      <c r="AX82" s="337">
        <f>+'23-İL-EMOD-Öncelikli Yaşam'!F73</f>
        <v>8659.2518720919034</v>
      </c>
      <c r="AY82" s="337" t="e">
        <f>+'23-İL-EMOD-Öncelikli Yaşam'!#REF!</f>
        <v>#REF!</v>
      </c>
      <c r="AZ82" s="337" t="e">
        <f t="shared" si="28"/>
        <v>#REF!</v>
      </c>
      <c r="BA82" s="50">
        <v>12838.537161265267</v>
      </c>
      <c r="BB82" s="50"/>
      <c r="BC82" s="21">
        <v>3589</v>
      </c>
      <c r="BD82" s="21">
        <v>322</v>
      </c>
      <c r="BE82" s="21">
        <v>3305</v>
      </c>
      <c r="BF82" s="21">
        <v>1420</v>
      </c>
      <c r="BG82" s="21">
        <v>1557</v>
      </c>
      <c r="BH82" s="22">
        <f t="shared" si="20"/>
        <v>10193</v>
      </c>
      <c r="BJ82" s="39">
        <v>970.05468554479046</v>
      </c>
      <c r="BK82" s="39">
        <f t="shared" si="21"/>
        <v>974.95395163340049</v>
      </c>
      <c r="BN82" s="21">
        <f t="shared" si="22"/>
        <v>5.1180174416647021E-3</v>
      </c>
      <c r="BO82" s="21">
        <f t="shared" si="23"/>
        <v>5.1180174416647022</v>
      </c>
      <c r="BQ82" s="149">
        <v>0.01</v>
      </c>
      <c r="BR82" s="309"/>
      <c r="BS82" s="22"/>
      <c r="BT82" s="22"/>
      <c r="BU82" s="22"/>
    </row>
    <row r="83" spans="1:73" ht="20.100000000000001" customHeight="1">
      <c r="A83" s="57">
        <f t="shared" si="34"/>
        <v>69</v>
      </c>
      <c r="B83" s="44" t="s">
        <v>705</v>
      </c>
      <c r="C83" s="375">
        <f t="shared" si="29"/>
        <v>10078</v>
      </c>
      <c r="D83" s="379">
        <f t="shared" si="30"/>
        <v>8942</v>
      </c>
      <c r="E83" s="379">
        <v>8942</v>
      </c>
      <c r="F83" s="379">
        <v>1039</v>
      </c>
      <c r="G83" s="706">
        <v>32</v>
      </c>
      <c r="H83" s="379">
        <v>0</v>
      </c>
      <c r="I83" s="797">
        <f t="shared" si="16"/>
        <v>65</v>
      </c>
      <c r="J83" s="896">
        <v>0</v>
      </c>
      <c r="K83" s="894">
        <v>65</v>
      </c>
      <c r="L83" s="894">
        <v>0</v>
      </c>
      <c r="M83" s="894">
        <v>0</v>
      </c>
      <c r="N83" s="894">
        <v>0</v>
      </c>
      <c r="O83" s="894">
        <v>0</v>
      </c>
      <c r="P83" s="894">
        <v>0</v>
      </c>
      <c r="Q83" s="377">
        <v>0</v>
      </c>
      <c r="R83" s="364">
        <v>75</v>
      </c>
      <c r="S83" s="348">
        <v>3526</v>
      </c>
      <c r="T83" s="348">
        <v>1835</v>
      </c>
      <c r="U83" s="353">
        <v>1446</v>
      </c>
      <c r="V83" s="610">
        <v>27</v>
      </c>
      <c r="W83" s="609">
        <v>68</v>
      </c>
      <c r="X83" s="605">
        <v>39</v>
      </c>
      <c r="Y83" s="354">
        <v>0</v>
      </c>
      <c r="Z83" s="609">
        <v>1</v>
      </c>
      <c r="AA83" s="355">
        <v>0</v>
      </c>
      <c r="AB83" s="356">
        <v>0</v>
      </c>
      <c r="AC83" s="357">
        <v>0</v>
      </c>
      <c r="AD83" s="348">
        <v>0</v>
      </c>
      <c r="AE83" s="353">
        <v>0</v>
      </c>
      <c r="AF83" s="350">
        <f t="shared" si="25"/>
        <v>5114</v>
      </c>
      <c r="AG83" s="351">
        <f t="shared" si="26"/>
        <v>5532</v>
      </c>
      <c r="AH83" s="352">
        <f t="shared" si="27"/>
        <v>35880.739189899912</v>
      </c>
      <c r="AI83" s="42">
        <v>5918.9047436989786</v>
      </c>
      <c r="AJ83" s="30">
        <f t="shared" si="31"/>
        <v>20270.739189899912</v>
      </c>
      <c r="AK83" s="37">
        <v>2.6</v>
      </c>
      <c r="AL83" s="37">
        <v>2.2863636363636402</v>
      </c>
      <c r="AM83" s="37">
        <v>2.6439368770764098</v>
      </c>
      <c r="AN83" s="37">
        <v>3.5517241379310347</v>
      </c>
      <c r="AO83" s="37">
        <v>4.4267623469818487</v>
      </c>
      <c r="AQ83" s="24">
        <f t="shared" si="33"/>
        <v>1.6</v>
      </c>
      <c r="AR83" s="24">
        <f t="shared" si="35"/>
        <v>1.2863636363636402</v>
      </c>
      <c r="AS83" s="24">
        <f t="shared" si="35"/>
        <v>1.6439368770764098</v>
      </c>
      <c r="AT83" s="24">
        <f t="shared" si="35"/>
        <v>2.5517241379310347</v>
      </c>
      <c r="AU83" s="24">
        <f t="shared" si="35"/>
        <v>3.4267623469818487</v>
      </c>
      <c r="AV83" s="25">
        <f t="shared" si="19"/>
        <v>20269.095253022831</v>
      </c>
      <c r="AW83" s="50" t="s">
        <v>705</v>
      </c>
      <c r="AX83" s="337">
        <f>+'23-İL-EMOD-Öncelikli Yaşam'!F74</f>
        <v>8503.8945448744635</v>
      </c>
      <c r="AY83" s="337" t="e">
        <f>+'23-İL-EMOD-Öncelikli Yaşam'!#REF!</f>
        <v>#REF!</v>
      </c>
      <c r="AZ83" s="337" t="e">
        <f t="shared" si="28"/>
        <v>#REF!</v>
      </c>
      <c r="BA83" s="50">
        <v>11832.826708819601</v>
      </c>
      <c r="BB83" s="50"/>
      <c r="BC83" s="21">
        <v>1332</v>
      </c>
      <c r="BD83" s="21">
        <v>69</v>
      </c>
      <c r="BE83" s="21">
        <v>1146</v>
      </c>
      <c r="BF83" s="21">
        <v>376</v>
      </c>
      <c r="BG83" s="21">
        <v>321</v>
      </c>
      <c r="BH83" s="22">
        <f t="shared" si="20"/>
        <v>3244</v>
      </c>
      <c r="BJ83" s="39">
        <v>2.1019603153733262</v>
      </c>
      <c r="BK83" s="39">
        <f t="shared" si="21"/>
        <v>2.1125762765620801</v>
      </c>
      <c r="BN83" s="21">
        <f t="shared" si="22"/>
        <v>0</v>
      </c>
      <c r="BO83" s="21">
        <f t="shared" si="23"/>
        <v>0</v>
      </c>
      <c r="BQ83" s="149">
        <v>0.01</v>
      </c>
      <c r="BR83" s="309"/>
      <c r="BS83" s="22"/>
      <c r="BT83" s="22"/>
      <c r="BU83" s="22"/>
    </row>
    <row r="84" spans="1:73" ht="20.100000000000001" customHeight="1">
      <c r="A84" s="57">
        <f t="shared" si="34"/>
        <v>70</v>
      </c>
      <c r="B84" s="44" t="s">
        <v>706</v>
      </c>
      <c r="C84" s="375">
        <f t="shared" si="29"/>
        <v>49234</v>
      </c>
      <c r="D84" s="379">
        <f t="shared" si="30"/>
        <v>43178</v>
      </c>
      <c r="E84" s="379">
        <v>43178</v>
      </c>
      <c r="F84" s="379">
        <v>3580</v>
      </c>
      <c r="G84" s="379">
        <v>1113</v>
      </c>
      <c r="H84" s="706">
        <v>8</v>
      </c>
      <c r="I84" s="797">
        <f t="shared" si="16"/>
        <v>1355</v>
      </c>
      <c r="J84" s="896">
        <v>0</v>
      </c>
      <c r="K84" s="894">
        <v>1325</v>
      </c>
      <c r="L84" s="894">
        <v>0</v>
      </c>
      <c r="M84" s="894">
        <v>0</v>
      </c>
      <c r="N84" s="894">
        <v>0</v>
      </c>
      <c r="O84" s="894">
        <v>1</v>
      </c>
      <c r="P84" s="894">
        <v>29</v>
      </c>
      <c r="Q84" s="377">
        <v>0</v>
      </c>
      <c r="R84" s="364">
        <v>205</v>
      </c>
      <c r="S84" s="348">
        <v>13583</v>
      </c>
      <c r="T84" s="348">
        <v>4074</v>
      </c>
      <c r="U84" s="353">
        <v>3032</v>
      </c>
      <c r="V84" s="610">
        <v>216</v>
      </c>
      <c r="W84" s="609">
        <v>366</v>
      </c>
      <c r="X84" s="605">
        <v>209</v>
      </c>
      <c r="Y84" s="610">
        <v>1</v>
      </c>
      <c r="Z84" s="609">
        <v>36</v>
      </c>
      <c r="AA84" s="609">
        <v>17</v>
      </c>
      <c r="AB84" s="356">
        <v>16</v>
      </c>
      <c r="AC84" s="357">
        <v>0</v>
      </c>
      <c r="AD84" s="348">
        <v>0</v>
      </c>
      <c r="AE84" s="353">
        <v>0</v>
      </c>
      <c r="AF84" s="350">
        <f t="shared" si="25"/>
        <v>17298</v>
      </c>
      <c r="AG84" s="351">
        <f t="shared" si="26"/>
        <v>18498</v>
      </c>
      <c r="AH84" s="352">
        <f t="shared" si="27"/>
        <v>114514.91244810948</v>
      </c>
      <c r="AI84" s="42">
        <v>11991.39493594435</v>
      </c>
      <c r="AJ84" s="30">
        <f t="shared" si="31"/>
        <v>46782.912448109477</v>
      </c>
      <c r="AK84" s="37">
        <v>1.52</v>
      </c>
      <c r="AL84" s="37">
        <v>2.723926380368098</v>
      </c>
      <c r="AM84" s="37">
        <v>2.7191830475393801</v>
      </c>
      <c r="AN84" s="37">
        <v>3.4947368421052634</v>
      </c>
      <c r="AO84" s="37">
        <v>3.8508164275111332</v>
      </c>
      <c r="AQ84" s="24">
        <f t="shared" si="33"/>
        <v>0.52</v>
      </c>
      <c r="AR84" s="24">
        <f t="shared" si="35"/>
        <v>1.723926380368098</v>
      </c>
      <c r="AS84" s="24">
        <f t="shared" si="35"/>
        <v>1.7191830475393801</v>
      </c>
      <c r="AT84" s="24">
        <f t="shared" si="35"/>
        <v>2.4947368421052634</v>
      </c>
      <c r="AU84" s="24">
        <f t="shared" si="35"/>
        <v>2.8508164275111332</v>
      </c>
      <c r="AV84" s="25">
        <f t="shared" si="19"/>
        <v>46719.297932017689</v>
      </c>
      <c r="AW84" s="50" t="s">
        <v>706</v>
      </c>
      <c r="AX84" s="337">
        <f>+'23-İL-EMOD-Öncelikli Yaşam'!F75</f>
        <v>1523.7128945908044</v>
      </c>
      <c r="AY84" s="337" t="e">
        <f>+'23-İL-EMOD-Öncelikli Yaşam'!#REF!</f>
        <v>#REF!</v>
      </c>
      <c r="AZ84" s="337" t="e">
        <f t="shared" si="28"/>
        <v>#REF!</v>
      </c>
      <c r="BA84" s="50">
        <v>10224.396682379826</v>
      </c>
      <c r="BB84" s="50"/>
      <c r="BC84" s="21">
        <v>2663</v>
      </c>
      <c r="BD84" s="21">
        <v>328</v>
      </c>
      <c r="BE84" s="21">
        <v>2382</v>
      </c>
      <c r="BF84" s="21">
        <v>1338</v>
      </c>
      <c r="BG84" s="21">
        <v>1216</v>
      </c>
      <c r="BH84" s="22">
        <f t="shared" si="20"/>
        <v>7927</v>
      </c>
      <c r="BJ84" s="39">
        <v>59.905868988139822</v>
      </c>
      <c r="BK84" s="39">
        <f t="shared" si="21"/>
        <v>60.208423882019311</v>
      </c>
      <c r="BN84" s="21">
        <f t="shared" si="22"/>
        <v>2.6936933903498432E-4</v>
      </c>
      <c r="BO84" s="21">
        <f t="shared" si="23"/>
        <v>0.26936933903498433</v>
      </c>
      <c r="BQ84" s="149">
        <v>0.01</v>
      </c>
      <c r="BR84" s="309"/>
      <c r="BS84" s="22"/>
      <c r="BT84" s="22"/>
      <c r="BU84" s="22"/>
    </row>
    <row r="85" spans="1:73" ht="20.100000000000001" customHeight="1">
      <c r="A85" s="57">
        <f t="shared" si="34"/>
        <v>71</v>
      </c>
      <c r="B85" s="44" t="s">
        <v>707</v>
      </c>
      <c r="C85" s="375">
        <f t="shared" si="29"/>
        <v>44941</v>
      </c>
      <c r="D85" s="379">
        <f t="shared" si="30"/>
        <v>37751</v>
      </c>
      <c r="E85" s="379">
        <v>37751</v>
      </c>
      <c r="F85" s="379">
        <v>4235</v>
      </c>
      <c r="G85" s="379">
        <v>2878</v>
      </c>
      <c r="H85" s="706">
        <v>1</v>
      </c>
      <c r="I85" s="797">
        <f t="shared" si="16"/>
        <v>76</v>
      </c>
      <c r="J85" s="896">
        <v>0</v>
      </c>
      <c r="K85" s="894">
        <v>43</v>
      </c>
      <c r="L85" s="894">
        <v>0</v>
      </c>
      <c r="M85" s="894">
        <v>0</v>
      </c>
      <c r="N85" s="894">
        <v>0</v>
      </c>
      <c r="O85" s="894">
        <v>11</v>
      </c>
      <c r="P85" s="894">
        <v>22</v>
      </c>
      <c r="Q85" s="377">
        <v>0</v>
      </c>
      <c r="R85" s="364">
        <v>272</v>
      </c>
      <c r="S85" s="348">
        <v>18530</v>
      </c>
      <c r="T85" s="348">
        <v>9904</v>
      </c>
      <c r="U85" s="353">
        <v>8240</v>
      </c>
      <c r="V85" s="610">
        <v>320</v>
      </c>
      <c r="W85" s="609">
        <v>443</v>
      </c>
      <c r="X85" s="605">
        <v>292</v>
      </c>
      <c r="Y85" s="354">
        <v>0</v>
      </c>
      <c r="Z85" s="609">
        <v>30</v>
      </c>
      <c r="AA85" s="609">
        <v>10</v>
      </c>
      <c r="AB85" s="356">
        <v>8</v>
      </c>
      <c r="AC85" s="357">
        <v>0</v>
      </c>
      <c r="AD85" s="348">
        <v>0</v>
      </c>
      <c r="AE85" s="353">
        <v>0</v>
      </c>
      <c r="AF85" s="350">
        <f t="shared" si="25"/>
        <v>27692</v>
      </c>
      <c r="AG85" s="351">
        <f t="shared" si="26"/>
        <v>29509</v>
      </c>
      <c r="AH85" s="352">
        <f t="shared" si="27"/>
        <v>136612.3258378662</v>
      </c>
      <c r="AI85" s="42">
        <v>16414.904680201085</v>
      </c>
      <c r="AJ85" s="30">
        <f t="shared" si="31"/>
        <v>62162.325837866199</v>
      </c>
      <c r="AK85" s="37">
        <v>1.7</v>
      </c>
      <c r="AL85" s="37">
        <v>2.25</v>
      </c>
      <c r="AM85" s="37">
        <v>2.85</v>
      </c>
      <c r="AN85" s="37">
        <v>4.3057851239669418</v>
      </c>
      <c r="AO85" s="37">
        <v>3.7745981967855742</v>
      </c>
      <c r="AQ85" s="24">
        <f t="shared" si="33"/>
        <v>0.7</v>
      </c>
      <c r="AR85" s="24">
        <f t="shared" si="35"/>
        <v>1.25</v>
      </c>
      <c r="AS85" s="24">
        <f t="shared" si="35"/>
        <v>1.85</v>
      </c>
      <c r="AT85" s="24">
        <f t="shared" si="35"/>
        <v>3.3057851239669418</v>
      </c>
      <c r="AU85" s="24">
        <f t="shared" si="35"/>
        <v>2.7745981967855742</v>
      </c>
      <c r="AV85" s="25">
        <f t="shared" si="19"/>
        <v>62106.825837866207</v>
      </c>
      <c r="AW85" s="50" t="s">
        <v>707</v>
      </c>
      <c r="AX85" s="337">
        <f>+'23-İL-EMOD-Öncelikli Yaşam'!F76</f>
        <v>3394.9421590805869</v>
      </c>
      <c r="AY85" s="337" t="e">
        <f>+'23-İL-EMOD-Öncelikli Yaşam'!#REF!</f>
        <v>#REF!</v>
      </c>
      <c r="AZ85" s="337" t="e">
        <f t="shared" si="28"/>
        <v>#REF!</v>
      </c>
      <c r="BA85" s="50">
        <v>11345.513805196621</v>
      </c>
      <c r="BB85" s="50"/>
      <c r="BC85" s="21">
        <v>8988</v>
      </c>
      <c r="BD85" s="21">
        <v>420</v>
      </c>
      <c r="BE85" s="21">
        <v>2264</v>
      </c>
      <c r="BF85" s="21">
        <v>1091</v>
      </c>
      <c r="BG85" s="21">
        <v>2460</v>
      </c>
      <c r="BH85" s="22">
        <f t="shared" si="20"/>
        <v>15223</v>
      </c>
      <c r="BJ85" s="39">
        <v>22.070583311419934</v>
      </c>
      <c r="BK85" s="39">
        <f t="shared" si="21"/>
        <v>22.182050903901853</v>
      </c>
      <c r="BN85" s="21">
        <f t="shared" si="22"/>
        <v>3.367116737937304E-5</v>
      </c>
      <c r="BO85" s="21">
        <f t="shared" si="23"/>
        <v>3.3671167379373042E-2</v>
      </c>
      <c r="BQ85" s="149">
        <v>0.01</v>
      </c>
      <c r="BR85" s="309"/>
      <c r="BS85" s="22"/>
      <c r="BT85" s="22"/>
      <c r="BU85" s="22"/>
    </row>
    <row r="86" spans="1:73" ht="20.100000000000001" customHeight="1">
      <c r="A86" s="57">
        <f t="shared" si="34"/>
        <v>72</v>
      </c>
      <c r="B86" s="44" t="s">
        <v>708</v>
      </c>
      <c r="C86" s="375">
        <f t="shared" si="29"/>
        <v>62886</v>
      </c>
      <c r="D86" s="379">
        <f t="shared" si="30"/>
        <v>51522</v>
      </c>
      <c r="E86" s="379">
        <v>51522</v>
      </c>
      <c r="F86" s="379">
        <v>5499</v>
      </c>
      <c r="G86" s="706">
        <v>4435</v>
      </c>
      <c r="H86" s="706">
        <v>24</v>
      </c>
      <c r="I86" s="797">
        <f t="shared" si="16"/>
        <v>1406</v>
      </c>
      <c r="J86" s="896">
        <v>0</v>
      </c>
      <c r="K86" s="894">
        <v>1404</v>
      </c>
      <c r="L86" s="894">
        <v>0</v>
      </c>
      <c r="M86" s="894">
        <v>0</v>
      </c>
      <c r="N86" s="894">
        <v>0</v>
      </c>
      <c r="O86" s="894">
        <v>0</v>
      </c>
      <c r="P86" s="894">
        <v>2</v>
      </c>
      <c r="Q86" s="377">
        <v>0</v>
      </c>
      <c r="R86" s="364">
        <v>149</v>
      </c>
      <c r="S86" s="348">
        <v>8915</v>
      </c>
      <c r="T86" s="348">
        <v>8089</v>
      </c>
      <c r="U86" s="353">
        <v>4227</v>
      </c>
      <c r="V86" s="610">
        <v>238</v>
      </c>
      <c r="W86" s="609">
        <v>668</v>
      </c>
      <c r="X86" s="605">
        <v>281</v>
      </c>
      <c r="Y86" s="610">
        <v>0</v>
      </c>
      <c r="Z86" s="609">
        <v>108</v>
      </c>
      <c r="AA86" s="609">
        <v>210</v>
      </c>
      <c r="AB86" s="356">
        <v>100</v>
      </c>
      <c r="AC86" s="357">
        <v>0</v>
      </c>
      <c r="AD86" s="348">
        <v>0</v>
      </c>
      <c r="AE86" s="353">
        <v>0</v>
      </c>
      <c r="AF86" s="350">
        <f t="shared" si="25"/>
        <v>14018</v>
      </c>
      <c r="AG86" s="351">
        <f t="shared" si="26"/>
        <v>18377</v>
      </c>
      <c r="AH86" s="352">
        <f t="shared" si="27"/>
        <v>228602.33956817258</v>
      </c>
      <c r="AI86" s="42">
        <v>21823.211494594929</v>
      </c>
      <c r="AJ86" s="30">
        <f t="shared" si="31"/>
        <v>147339.33956817258</v>
      </c>
      <c r="AK86" s="37">
        <v>3.2</v>
      </c>
      <c r="AL86" s="37">
        <v>3.5</v>
      </c>
      <c r="AM86" s="37">
        <v>4.5761913390106903</v>
      </c>
      <c r="AN86" s="37">
        <v>6</v>
      </c>
      <c r="AO86" s="37">
        <v>7.6860465116279073</v>
      </c>
      <c r="AQ86" s="24">
        <f t="shared" si="33"/>
        <v>2.2000000000000002</v>
      </c>
      <c r="AR86" s="24">
        <f t="shared" si="35"/>
        <v>2.5</v>
      </c>
      <c r="AS86" s="24">
        <f t="shared" si="35"/>
        <v>3.5761913390106903</v>
      </c>
      <c r="AT86" s="24">
        <f t="shared" si="35"/>
        <v>5</v>
      </c>
      <c r="AU86" s="24">
        <f t="shared" si="35"/>
        <v>6.6860465116279073</v>
      </c>
      <c r="AV86" s="25">
        <f t="shared" si="19"/>
        <v>146953.11090355937</v>
      </c>
      <c r="AW86" s="50" t="s">
        <v>708</v>
      </c>
      <c r="AX86" s="337">
        <f>+'23-İL-EMOD-Öncelikli Yaşam'!F77</f>
        <v>23274.534381112782</v>
      </c>
      <c r="AY86" s="337" t="e">
        <f>+'23-İL-EMOD-Öncelikli Yaşam'!#REF!</f>
        <v>#REF!</v>
      </c>
      <c r="AZ86" s="337" t="e">
        <f t="shared" si="28"/>
        <v>#REF!</v>
      </c>
      <c r="BA86" s="50">
        <v>22877.789729729178</v>
      </c>
      <c r="BB86" s="50"/>
      <c r="BC86" s="21">
        <v>6685</v>
      </c>
      <c r="BD86" s="21">
        <v>548</v>
      </c>
      <c r="BE86" s="21">
        <v>2371</v>
      </c>
      <c r="BF86" s="21">
        <v>140</v>
      </c>
      <c r="BG86" s="21">
        <v>1532</v>
      </c>
      <c r="BH86" s="22">
        <f t="shared" si="20"/>
        <v>11276</v>
      </c>
      <c r="BJ86" s="39">
        <v>139.78036097232624</v>
      </c>
      <c r="BK86" s="39">
        <f t="shared" si="21"/>
        <v>140.48632239137839</v>
      </c>
      <c r="BN86" s="21">
        <f t="shared" si="22"/>
        <v>8.0810801710495307E-4</v>
      </c>
      <c r="BO86" s="21">
        <f t="shared" si="23"/>
        <v>0.80810801710495306</v>
      </c>
      <c r="BQ86" s="149">
        <v>0.01</v>
      </c>
      <c r="BR86" s="309"/>
      <c r="BS86" s="22"/>
      <c r="BT86" s="22"/>
      <c r="BU86" s="22"/>
    </row>
    <row r="87" spans="1:73" ht="20.100000000000001" customHeight="1">
      <c r="A87" s="57">
        <f t="shared" si="34"/>
        <v>73</v>
      </c>
      <c r="B87" s="44" t="s">
        <v>709</v>
      </c>
      <c r="C87" s="375">
        <f t="shared" si="29"/>
        <v>48066</v>
      </c>
      <c r="D87" s="379">
        <f t="shared" si="30"/>
        <v>42596</v>
      </c>
      <c r="E87" s="379">
        <v>42596</v>
      </c>
      <c r="F87" s="379">
        <v>2760</v>
      </c>
      <c r="G87" s="379">
        <v>2608</v>
      </c>
      <c r="H87" s="706">
        <v>3</v>
      </c>
      <c r="I87" s="797">
        <f t="shared" si="16"/>
        <v>99</v>
      </c>
      <c r="J87" s="896">
        <v>0</v>
      </c>
      <c r="K87" s="894">
        <v>99</v>
      </c>
      <c r="L87" s="894">
        <v>0</v>
      </c>
      <c r="M87" s="894">
        <v>0</v>
      </c>
      <c r="N87" s="894">
        <v>0</v>
      </c>
      <c r="O87" s="894">
        <v>0</v>
      </c>
      <c r="P87" s="894">
        <v>0</v>
      </c>
      <c r="Q87" s="708">
        <v>0</v>
      </c>
      <c r="R87" s="364">
        <v>38</v>
      </c>
      <c r="S87" s="348">
        <v>1688</v>
      </c>
      <c r="T87" s="348">
        <v>2482</v>
      </c>
      <c r="U87" s="605">
        <v>1003</v>
      </c>
      <c r="V87" s="610">
        <v>72</v>
      </c>
      <c r="W87" s="609">
        <v>500</v>
      </c>
      <c r="X87" s="605">
        <v>176</v>
      </c>
      <c r="Y87" s="610">
        <v>1</v>
      </c>
      <c r="Z87" s="609">
        <v>15</v>
      </c>
      <c r="AA87" s="609">
        <v>15</v>
      </c>
      <c r="AB87" s="356">
        <v>10</v>
      </c>
      <c r="AC87" s="357">
        <v>0</v>
      </c>
      <c r="AD87" s="348">
        <v>0</v>
      </c>
      <c r="AE87" s="353">
        <v>0</v>
      </c>
      <c r="AF87" s="350">
        <f t="shared" si="25"/>
        <v>3003</v>
      </c>
      <c r="AG87" s="351">
        <f t="shared" si="26"/>
        <v>4811</v>
      </c>
      <c r="AH87" s="352">
        <f t="shared" si="27"/>
        <v>113899.38000000002</v>
      </c>
      <c r="AI87" s="42">
        <v>38403.957552990643</v>
      </c>
      <c r="AJ87" s="30">
        <f t="shared" si="31"/>
        <v>61022.380000000019</v>
      </c>
      <c r="AK87" s="37">
        <v>2.2000000000000002</v>
      </c>
      <c r="AL87" s="37">
        <v>5.75</v>
      </c>
      <c r="AM87" s="37">
        <v>6.45</v>
      </c>
      <c r="AN87" s="37">
        <v>6.89</v>
      </c>
      <c r="AO87" s="37">
        <v>6.5</v>
      </c>
      <c r="AQ87" s="24">
        <f t="shared" si="33"/>
        <v>1.2000000000000002</v>
      </c>
      <c r="AR87" s="24">
        <f t="shared" si="35"/>
        <v>4.75</v>
      </c>
      <c r="AS87" s="24">
        <f t="shared" si="35"/>
        <v>5.45</v>
      </c>
      <c r="AT87" s="24">
        <f t="shared" si="35"/>
        <v>5.89</v>
      </c>
      <c r="AU87" s="24">
        <f t="shared" si="35"/>
        <v>5.5</v>
      </c>
      <c r="AV87" s="25">
        <f t="shared" si="19"/>
        <v>60935.880000000005</v>
      </c>
      <c r="AW87" s="50" t="s">
        <v>709</v>
      </c>
      <c r="AX87" s="337">
        <f>+'23-İL-EMOD-Öncelikli Yaşam'!F78</f>
        <v>22963.564017594967</v>
      </c>
      <c r="AY87" s="337" t="e">
        <f>+'23-İL-EMOD-Öncelikli Yaşam'!#REF!</f>
        <v>#REF!</v>
      </c>
      <c r="AZ87" s="337" t="e">
        <f t="shared" si="28"/>
        <v>#REF!</v>
      </c>
      <c r="BA87" s="50">
        <v>21337.826644252171</v>
      </c>
      <c r="BB87" s="50"/>
      <c r="BC87" s="21">
        <v>1313</v>
      </c>
      <c r="BD87" s="21">
        <v>248</v>
      </c>
      <c r="BE87" s="21">
        <v>1560</v>
      </c>
      <c r="BF87" s="21">
        <v>45</v>
      </c>
      <c r="BG87" s="21">
        <v>1719</v>
      </c>
      <c r="BH87" s="22">
        <f t="shared" si="20"/>
        <v>4885</v>
      </c>
      <c r="BJ87" s="39">
        <v>0</v>
      </c>
      <c r="BK87" s="39">
        <f t="shared" si="21"/>
        <v>0</v>
      </c>
      <c r="BN87" s="21">
        <f t="shared" si="22"/>
        <v>1.0101350213811913E-4</v>
      </c>
      <c r="BO87" s="21">
        <f t="shared" si="23"/>
        <v>0.10101350213811913</v>
      </c>
      <c r="BQ87" s="149">
        <v>0.01</v>
      </c>
      <c r="BR87" s="309"/>
      <c r="BS87" s="22"/>
      <c r="BT87" s="22"/>
      <c r="BU87" s="22"/>
    </row>
    <row r="88" spans="1:73" ht="20.100000000000001" customHeight="1">
      <c r="A88" s="57">
        <f t="shared" si="34"/>
        <v>74</v>
      </c>
      <c r="B88" s="44" t="s">
        <v>710</v>
      </c>
      <c r="C88" s="375">
        <f t="shared" si="29"/>
        <v>33384</v>
      </c>
      <c r="D88" s="379">
        <f t="shared" si="30"/>
        <v>28176</v>
      </c>
      <c r="E88" s="379">
        <v>28176</v>
      </c>
      <c r="F88" s="379">
        <v>1974</v>
      </c>
      <c r="G88" s="379">
        <v>1644</v>
      </c>
      <c r="H88" s="706">
        <v>649</v>
      </c>
      <c r="I88" s="797">
        <f t="shared" si="16"/>
        <v>941</v>
      </c>
      <c r="J88" s="896">
        <v>20</v>
      </c>
      <c r="K88" s="894">
        <v>876</v>
      </c>
      <c r="L88" s="894">
        <v>0</v>
      </c>
      <c r="M88" s="894">
        <v>0</v>
      </c>
      <c r="N88" s="894">
        <v>0</v>
      </c>
      <c r="O88" s="894">
        <v>0</v>
      </c>
      <c r="P88" s="894">
        <v>45</v>
      </c>
      <c r="Q88" s="377">
        <v>0</v>
      </c>
      <c r="R88" s="364">
        <v>260</v>
      </c>
      <c r="S88" s="348">
        <v>22585</v>
      </c>
      <c r="T88" s="348">
        <v>9903</v>
      </c>
      <c r="U88" s="353">
        <v>8637</v>
      </c>
      <c r="V88" s="357">
        <v>1716</v>
      </c>
      <c r="W88" s="348">
        <v>1760</v>
      </c>
      <c r="X88" s="353">
        <v>1505</v>
      </c>
      <c r="Y88" s="610">
        <v>22</v>
      </c>
      <c r="Z88" s="348">
        <v>1562</v>
      </c>
      <c r="AA88" s="609">
        <v>164</v>
      </c>
      <c r="AB88" s="356">
        <v>115</v>
      </c>
      <c r="AC88" s="357">
        <v>0</v>
      </c>
      <c r="AD88" s="609">
        <v>1</v>
      </c>
      <c r="AE88" s="353">
        <v>1</v>
      </c>
      <c r="AF88" s="350">
        <f t="shared" si="25"/>
        <v>36403</v>
      </c>
      <c r="AG88" s="351">
        <f t="shared" si="26"/>
        <v>37973</v>
      </c>
      <c r="AH88" s="352">
        <f t="shared" si="27"/>
        <v>130006.42</v>
      </c>
      <c r="AI88" s="42">
        <v>4370.7075120635272</v>
      </c>
      <c r="AJ88" s="30">
        <f t="shared" si="31"/>
        <v>58649.42</v>
      </c>
      <c r="AK88" s="37">
        <v>1.69</v>
      </c>
      <c r="AL88" s="37">
        <v>2.4900000000000002</v>
      </c>
      <c r="AM88" s="37">
        <v>2.4500000000000002</v>
      </c>
      <c r="AN88" s="37">
        <v>2.5</v>
      </c>
      <c r="AO88" s="37">
        <v>2.85</v>
      </c>
      <c r="AQ88" s="24">
        <f t="shared" si="33"/>
        <v>0.69</v>
      </c>
      <c r="AR88" s="24">
        <f t="shared" si="35"/>
        <v>1.4900000000000002</v>
      </c>
      <c r="AS88" s="24">
        <f t="shared" si="35"/>
        <v>1.4500000000000002</v>
      </c>
      <c r="AT88" s="24">
        <f t="shared" si="35"/>
        <v>1.5</v>
      </c>
      <c r="AU88" s="24">
        <f t="shared" si="35"/>
        <v>1.85</v>
      </c>
      <c r="AV88" s="25">
        <f t="shared" si="19"/>
        <v>56351.740000000005</v>
      </c>
      <c r="AW88" s="50" t="s">
        <v>710</v>
      </c>
      <c r="AX88" s="337">
        <f>+'23-İL-EMOD-Öncelikli Yaşam'!F79</f>
        <v>2079.200218109705</v>
      </c>
      <c r="AY88" s="337" t="e">
        <f>+'23-İL-EMOD-Öncelikli Yaşam'!#REF!</f>
        <v>#REF!</v>
      </c>
      <c r="AZ88" s="337" t="e">
        <f t="shared" si="28"/>
        <v>#REF!</v>
      </c>
      <c r="BA88" s="50">
        <v>7793.744694544177</v>
      </c>
      <c r="BB88" s="50"/>
      <c r="BC88" s="21">
        <v>8830</v>
      </c>
      <c r="BD88" s="21">
        <v>1695</v>
      </c>
      <c r="BE88" s="21">
        <v>1248</v>
      </c>
      <c r="BF88" s="21">
        <v>13</v>
      </c>
      <c r="BG88" s="21">
        <v>927</v>
      </c>
      <c r="BH88" s="22">
        <f t="shared" si="20"/>
        <v>12713</v>
      </c>
      <c r="BJ88" s="39">
        <v>4345.8029520343543</v>
      </c>
      <c r="BK88" s="39">
        <f t="shared" si="21"/>
        <v>4367.7514517921036</v>
      </c>
      <c r="BN88" s="21">
        <f t="shared" si="22"/>
        <v>2.1852587629213105E-2</v>
      </c>
      <c r="BO88" s="21">
        <f t="shared" si="23"/>
        <v>21.852587629213104</v>
      </c>
      <c r="BQ88" s="149">
        <v>0.01</v>
      </c>
      <c r="BR88" s="309"/>
      <c r="BS88" s="22"/>
      <c r="BT88" s="22"/>
      <c r="BU88" s="22"/>
    </row>
    <row r="89" spans="1:73" ht="20.100000000000001" customHeight="1">
      <c r="A89" s="57">
        <f t="shared" si="34"/>
        <v>75</v>
      </c>
      <c r="B89" s="45" t="s">
        <v>711</v>
      </c>
      <c r="C89" s="375">
        <f t="shared" si="29"/>
        <v>11908</v>
      </c>
      <c r="D89" s="379">
        <f t="shared" si="30"/>
        <v>9612</v>
      </c>
      <c r="E89" s="379">
        <v>9612</v>
      </c>
      <c r="F89" s="379">
        <v>1281</v>
      </c>
      <c r="G89" s="706">
        <v>508</v>
      </c>
      <c r="H89" s="379">
        <v>0</v>
      </c>
      <c r="I89" s="797">
        <f t="shared" si="16"/>
        <v>507</v>
      </c>
      <c r="J89" s="896">
        <v>1</v>
      </c>
      <c r="K89" s="894">
        <v>505</v>
      </c>
      <c r="L89" s="894">
        <v>0</v>
      </c>
      <c r="M89" s="894">
        <v>0</v>
      </c>
      <c r="N89" s="894">
        <v>0</v>
      </c>
      <c r="O89" s="894">
        <v>0</v>
      </c>
      <c r="P89" s="894">
        <v>1</v>
      </c>
      <c r="Q89" s="377">
        <v>0</v>
      </c>
      <c r="R89" s="364">
        <v>62</v>
      </c>
      <c r="S89" s="348">
        <v>2205</v>
      </c>
      <c r="T89" s="348">
        <v>1379</v>
      </c>
      <c r="U89" s="353">
        <v>1127</v>
      </c>
      <c r="V89" s="610">
        <v>33</v>
      </c>
      <c r="W89" s="609">
        <v>56</v>
      </c>
      <c r="X89" s="605">
        <v>36</v>
      </c>
      <c r="Y89" s="354">
        <v>0</v>
      </c>
      <c r="Z89" s="348">
        <v>0</v>
      </c>
      <c r="AA89" s="609">
        <v>1</v>
      </c>
      <c r="AB89" s="356">
        <v>1</v>
      </c>
      <c r="AC89" s="357">
        <v>0</v>
      </c>
      <c r="AD89" s="348">
        <v>0</v>
      </c>
      <c r="AE89" s="353">
        <v>0</v>
      </c>
      <c r="AF89" s="350">
        <f t="shared" si="25"/>
        <v>3464</v>
      </c>
      <c r="AG89" s="351">
        <f t="shared" si="26"/>
        <v>3736</v>
      </c>
      <c r="AH89" s="352">
        <f t="shared" si="27"/>
        <v>27138.702105263157</v>
      </c>
      <c r="AI89" s="42">
        <v>15834.509623774429</v>
      </c>
      <c r="AJ89" s="30">
        <f t="shared" si="31"/>
        <v>11494.702105263157</v>
      </c>
      <c r="AK89" s="37">
        <v>1.53</v>
      </c>
      <c r="AL89" s="37">
        <v>3.25</v>
      </c>
      <c r="AM89" s="37">
        <v>3.8</v>
      </c>
      <c r="AN89" s="37">
        <v>3.6315789473684212</v>
      </c>
      <c r="AO89" s="37">
        <v>4.0576923076923075</v>
      </c>
      <c r="AQ89" s="24">
        <f t="shared" si="33"/>
        <v>0.53</v>
      </c>
      <c r="AR89" s="24">
        <f t="shared" si="35"/>
        <v>2.25</v>
      </c>
      <c r="AS89" s="24">
        <f t="shared" si="35"/>
        <v>2.8</v>
      </c>
      <c r="AT89" s="24">
        <f t="shared" si="35"/>
        <v>2.6315789473684212</v>
      </c>
      <c r="AU89" s="24">
        <f t="shared" si="35"/>
        <v>3.0576923076923075</v>
      </c>
      <c r="AV89" s="25">
        <f t="shared" si="19"/>
        <v>11494.702105263159</v>
      </c>
      <c r="AW89" s="50" t="s">
        <v>711</v>
      </c>
      <c r="AX89" s="337">
        <f>+'23-İL-EMOD-Öncelikli Yaşam'!F80</f>
        <v>1188.0915246638615</v>
      </c>
      <c r="AY89" s="337" t="e">
        <f>+'23-İL-EMOD-Öncelikli Yaşam'!#REF!</f>
        <v>#REF!</v>
      </c>
      <c r="AZ89" s="337" t="e">
        <f t="shared" si="28"/>
        <v>#REF!</v>
      </c>
      <c r="BA89" s="50">
        <v>9372.7896987124404</v>
      </c>
      <c r="BB89" s="50"/>
      <c r="BC89" s="21">
        <v>900</v>
      </c>
      <c r="BD89" s="21">
        <v>58</v>
      </c>
      <c r="BE89" s="21">
        <v>910</v>
      </c>
      <c r="BF89" s="21">
        <v>23</v>
      </c>
      <c r="BG89" s="21">
        <v>390</v>
      </c>
      <c r="BH89" s="22">
        <f t="shared" si="20"/>
        <v>2281</v>
      </c>
      <c r="BJ89" s="39">
        <v>0</v>
      </c>
      <c r="BK89" s="39">
        <f t="shared" si="21"/>
        <v>0</v>
      </c>
      <c r="BN89" s="21">
        <f t="shared" si="22"/>
        <v>0</v>
      </c>
      <c r="BO89" s="21">
        <f t="shared" si="23"/>
        <v>0</v>
      </c>
      <c r="BQ89" s="149">
        <v>0.01</v>
      </c>
      <c r="BR89" s="309"/>
      <c r="BS89" s="22"/>
      <c r="BT89" s="22"/>
      <c r="BU89" s="22"/>
    </row>
    <row r="90" spans="1:73" ht="20.100000000000001" customHeight="1">
      <c r="A90" s="57">
        <f t="shared" si="34"/>
        <v>76</v>
      </c>
      <c r="B90" s="45" t="s">
        <v>712</v>
      </c>
      <c r="C90" s="375">
        <f t="shared" si="29"/>
        <v>18329</v>
      </c>
      <c r="D90" s="379">
        <f t="shared" si="30"/>
        <v>15523</v>
      </c>
      <c r="E90" s="379">
        <v>15523</v>
      </c>
      <c r="F90" s="379">
        <v>2475</v>
      </c>
      <c r="G90" s="706">
        <v>280</v>
      </c>
      <c r="H90" s="706">
        <v>1</v>
      </c>
      <c r="I90" s="797">
        <f t="shared" si="16"/>
        <v>50</v>
      </c>
      <c r="J90" s="896">
        <v>0</v>
      </c>
      <c r="K90" s="894">
        <v>48</v>
      </c>
      <c r="L90" s="894">
        <v>0</v>
      </c>
      <c r="M90" s="894">
        <v>0</v>
      </c>
      <c r="N90" s="894">
        <v>0</v>
      </c>
      <c r="O90" s="894">
        <v>0</v>
      </c>
      <c r="P90" s="894">
        <v>2</v>
      </c>
      <c r="Q90" s="708">
        <v>0</v>
      </c>
      <c r="R90" s="364">
        <v>55</v>
      </c>
      <c r="S90" s="348">
        <v>2257</v>
      </c>
      <c r="T90" s="348">
        <v>1358</v>
      </c>
      <c r="U90" s="605">
        <v>828</v>
      </c>
      <c r="V90" s="610">
        <v>53</v>
      </c>
      <c r="W90" s="609">
        <v>202</v>
      </c>
      <c r="X90" s="605">
        <v>83</v>
      </c>
      <c r="Y90" s="354">
        <v>0</v>
      </c>
      <c r="Z90" s="609">
        <v>3</v>
      </c>
      <c r="AA90" s="609">
        <v>2</v>
      </c>
      <c r="AB90" s="356">
        <v>1</v>
      </c>
      <c r="AC90" s="357">
        <v>0</v>
      </c>
      <c r="AD90" s="348">
        <v>0</v>
      </c>
      <c r="AE90" s="353">
        <v>0</v>
      </c>
      <c r="AF90" s="350">
        <f t="shared" si="25"/>
        <v>3280</v>
      </c>
      <c r="AG90" s="351">
        <f t="shared" si="26"/>
        <v>3930</v>
      </c>
      <c r="AH90" s="352">
        <f t="shared" si="27"/>
        <v>45332.142756286274</v>
      </c>
      <c r="AI90" s="42">
        <v>23692.55930894395</v>
      </c>
      <c r="AJ90" s="30">
        <f t="shared" si="31"/>
        <v>23073.142756286274</v>
      </c>
      <c r="AK90" s="37">
        <v>1.98</v>
      </c>
      <c r="AL90" s="37">
        <v>4.8</v>
      </c>
      <c r="AM90" s="37">
        <v>4.3</v>
      </c>
      <c r="AN90" s="37">
        <v>4.5909090909090908</v>
      </c>
      <c r="AO90" s="37">
        <v>4.2845744680851068</v>
      </c>
      <c r="AQ90" s="24">
        <f t="shared" si="33"/>
        <v>0.98</v>
      </c>
      <c r="AR90" s="24">
        <f t="shared" si="35"/>
        <v>3.8</v>
      </c>
      <c r="AS90" s="24">
        <f t="shared" si="35"/>
        <v>3.3</v>
      </c>
      <c r="AT90" s="24">
        <f t="shared" si="35"/>
        <v>3.5909090909090908</v>
      </c>
      <c r="AU90" s="24">
        <f t="shared" si="35"/>
        <v>3.2845744680851068</v>
      </c>
      <c r="AV90" s="25">
        <f t="shared" si="19"/>
        <v>23063.242756286265</v>
      </c>
      <c r="AW90" s="50" t="s">
        <v>712</v>
      </c>
      <c r="AX90" s="337">
        <f>+'23-İL-EMOD-Öncelikli Yaşam'!F81</f>
        <v>3820.1962373268325</v>
      </c>
      <c r="AY90" s="337" t="e">
        <f>+'23-İL-EMOD-Öncelikli Yaşam'!#REF!</f>
        <v>#REF!</v>
      </c>
      <c r="AZ90" s="337" t="e">
        <f t="shared" si="28"/>
        <v>#REF!</v>
      </c>
      <c r="BA90" s="50">
        <v>13691.31689093489</v>
      </c>
      <c r="BB90" s="50"/>
      <c r="BC90" s="21">
        <v>800</v>
      </c>
      <c r="BD90" s="21">
        <v>124</v>
      </c>
      <c r="BE90" s="21">
        <v>1203</v>
      </c>
      <c r="BF90" s="21">
        <v>92</v>
      </c>
      <c r="BG90" s="21">
        <v>571</v>
      </c>
      <c r="BH90" s="22">
        <f t="shared" si="20"/>
        <v>2790</v>
      </c>
      <c r="BJ90" s="39">
        <v>8.4078412614933047</v>
      </c>
      <c r="BK90" s="39">
        <f t="shared" si="21"/>
        <v>8.4503051062483205</v>
      </c>
      <c r="BN90" s="21">
        <f t="shared" si="22"/>
        <v>3.367116737937304E-5</v>
      </c>
      <c r="BO90" s="21">
        <f t="shared" si="23"/>
        <v>3.3671167379373042E-2</v>
      </c>
      <c r="BQ90" s="149">
        <v>0.01</v>
      </c>
      <c r="BR90" s="309"/>
      <c r="BS90" s="22"/>
      <c r="BT90" s="22"/>
      <c r="BU90" s="22"/>
    </row>
    <row r="91" spans="1:73" ht="20.100000000000001" customHeight="1">
      <c r="A91" s="57">
        <f t="shared" si="34"/>
        <v>77</v>
      </c>
      <c r="B91" s="45" t="s">
        <v>713</v>
      </c>
      <c r="C91" s="375">
        <f t="shared" si="29"/>
        <v>57643</v>
      </c>
      <c r="D91" s="379">
        <f t="shared" si="30"/>
        <v>52394</v>
      </c>
      <c r="E91" s="379">
        <v>52394</v>
      </c>
      <c r="F91" s="379">
        <v>2971</v>
      </c>
      <c r="G91" s="379">
        <v>978</v>
      </c>
      <c r="H91" s="706">
        <v>227</v>
      </c>
      <c r="I91" s="797">
        <f t="shared" si="16"/>
        <v>1073</v>
      </c>
      <c r="J91" s="896">
        <v>4</v>
      </c>
      <c r="K91" s="894">
        <v>895</v>
      </c>
      <c r="L91" s="894">
        <v>0</v>
      </c>
      <c r="M91" s="894">
        <v>4</v>
      </c>
      <c r="N91" s="894">
        <v>3</v>
      </c>
      <c r="O91" s="894">
        <v>71</v>
      </c>
      <c r="P91" s="894">
        <v>96</v>
      </c>
      <c r="Q91" s="377">
        <v>0</v>
      </c>
      <c r="R91" s="364">
        <v>314</v>
      </c>
      <c r="S91" s="348">
        <v>20963</v>
      </c>
      <c r="T91" s="348">
        <v>7519</v>
      </c>
      <c r="U91" s="353">
        <v>6125</v>
      </c>
      <c r="V91" s="610">
        <v>186</v>
      </c>
      <c r="W91" s="609">
        <v>239</v>
      </c>
      <c r="X91" s="605">
        <v>166</v>
      </c>
      <c r="Y91" s="610">
        <v>1</v>
      </c>
      <c r="Z91" s="609">
        <v>209</v>
      </c>
      <c r="AA91" s="609">
        <v>33</v>
      </c>
      <c r="AB91" s="356">
        <v>27</v>
      </c>
      <c r="AC91" s="357">
        <v>0</v>
      </c>
      <c r="AD91" s="348">
        <v>0</v>
      </c>
      <c r="AE91" s="353">
        <v>0</v>
      </c>
      <c r="AF91" s="350">
        <f t="shared" si="25"/>
        <v>27991</v>
      </c>
      <c r="AG91" s="351">
        <f t="shared" si="26"/>
        <v>29464</v>
      </c>
      <c r="AH91" s="352">
        <f t="shared" si="27"/>
        <v>145009.74672983252</v>
      </c>
      <c r="AI91" s="42">
        <v>3011.4941101867007</v>
      </c>
      <c r="AJ91" s="30">
        <f t="shared" si="31"/>
        <v>57902.746729832521</v>
      </c>
      <c r="AK91" s="37">
        <v>1.58</v>
      </c>
      <c r="AL91" s="37">
        <v>2.15</v>
      </c>
      <c r="AM91" s="37">
        <v>2.245145793020618</v>
      </c>
      <c r="AN91" s="37">
        <v>2.5</v>
      </c>
      <c r="AO91" s="37">
        <v>3.25</v>
      </c>
      <c r="AQ91" s="24">
        <f t="shared" si="33"/>
        <v>0.58000000000000007</v>
      </c>
      <c r="AR91" s="24">
        <f t="shared" si="35"/>
        <v>1.1499999999999999</v>
      </c>
      <c r="AS91" s="24">
        <f t="shared" si="35"/>
        <v>1.245145793020618</v>
      </c>
      <c r="AT91" s="24">
        <f t="shared" si="35"/>
        <v>1.5</v>
      </c>
      <c r="AU91" s="24">
        <f t="shared" si="35"/>
        <v>2.25</v>
      </c>
      <c r="AV91" s="25">
        <f t="shared" si="19"/>
        <v>57641.361259091216</v>
      </c>
      <c r="AW91" s="50" t="s">
        <v>713</v>
      </c>
      <c r="AX91" s="337">
        <f>+'23-İL-EMOD-Öncelikli Yaşam'!F82</f>
        <v>1120.5898238196678</v>
      </c>
      <c r="AY91" s="337" t="e">
        <f>+'23-İL-EMOD-Öncelikli Yaşam'!#REF!</f>
        <v>#REF!</v>
      </c>
      <c r="AZ91" s="337" t="e">
        <f t="shared" si="28"/>
        <v>#REF!</v>
      </c>
      <c r="BA91" s="50">
        <v>3755.890047495719</v>
      </c>
      <c r="BB91" s="50"/>
      <c r="BC91" s="21">
        <v>4956</v>
      </c>
      <c r="BD91" s="21">
        <v>162</v>
      </c>
      <c r="BE91" s="21">
        <v>1660</v>
      </c>
      <c r="BF91" s="21">
        <v>58</v>
      </c>
      <c r="BG91" s="21">
        <v>2155</v>
      </c>
      <c r="BH91" s="22">
        <f t="shared" si="20"/>
        <v>8991</v>
      </c>
      <c r="BJ91" s="39">
        <v>1210.7291416550365</v>
      </c>
      <c r="BK91" s="39">
        <f t="shared" si="21"/>
        <v>1216.8439352997589</v>
      </c>
      <c r="BN91" s="21">
        <f t="shared" si="22"/>
        <v>7.6433549951176807E-3</v>
      </c>
      <c r="BO91" s="21">
        <f t="shared" si="23"/>
        <v>7.6433549951176811</v>
      </c>
      <c r="BQ91" s="149">
        <v>0.01</v>
      </c>
      <c r="BR91" s="309"/>
      <c r="BS91" s="22"/>
      <c r="BT91" s="22"/>
      <c r="BU91" s="22"/>
    </row>
    <row r="92" spans="1:73" ht="18" customHeight="1">
      <c r="A92" s="57">
        <f t="shared" si="34"/>
        <v>78</v>
      </c>
      <c r="B92" s="45" t="s">
        <v>714</v>
      </c>
      <c r="C92" s="375">
        <f t="shared" si="29"/>
        <v>42340</v>
      </c>
      <c r="D92" s="379">
        <f t="shared" si="30"/>
        <v>35796</v>
      </c>
      <c r="E92" s="379">
        <v>35796</v>
      </c>
      <c r="F92" s="379">
        <v>4674</v>
      </c>
      <c r="G92" s="379">
        <v>1232</v>
      </c>
      <c r="H92" s="706">
        <v>360</v>
      </c>
      <c r="I92" s="797">
        <f t="shared" si="16"/>
        <v>278</v>
      </c>
      <c r="J92" s="896">
        <v>4</v>
      </c>
      <c r="K92" s="894">
        <v>216</v>
      </c>
      <c r="L92" s="894">
        <v>0</v>
      </c>
      <c r="M92" s="894">
        <v>7</v>
      </c>
      <c r="N92" s="894">
        <v>0</v>
      </c>
      <c r="O92" s="894">
        <v>13</v>
      </c>
      <c r="P92" s="894">
        <v>38</v>
      </c>
      <c r="Q92" s="377">
        <v>0</v>
      </c>
      <c r="R92" s="364">
        <v>299</v>
      </c>
      <c r="S92" s="348">
        <v>25267</v>
      </c>
      <c r="T92" s="348">
        <v>11871</v>
      </c>
      <c r="U92" s="353">
        <v>10139</v>
      </c>
      <c r="V92" s="610">
        <v>814</v>
      </c>
      <c r="W92" s="609">
        <v>776</v>
      </c>
      <c r="X92" s="605">
        <v>609</v>
      </c>
      <c r="Y92" s="610">
        <v>12</v>
      </c>
      <c r="Z92" s="609">
        <v>608</v>
      </c>
      <c r="AA92" s="609">
        <v>89</v>
      </c>
      <c r="AB92" s="356">
        <v>64</v>
      </c>
      <c r="AC92" s="610">
        <v>3</v>
      </c>
      <c r="AD92" s="348">
        <v>0</v>
      </c>
      <c r="AE92" s="353">
        <v>0</v>
      </c>
      <c r="AF92" s="350">
        <f t="shared" si="25"/>
        <v>37815</v>
      </c>
      <c r="AG92" s="351">
        <f t="shared" si="26"/>
        <v>39739</v>
      </c>
      <c r="AH92" s="352">
        <f t="shared" si="27"/>
        <v>144249.38840000003</v>
      </c>
      <c r="AI92" s="42">
        <v>7838.8591545367381</v>
      </c>
      <c r="AJ92" s="30">
        <f t="shared" si="31"/>
        <v>62170.388400000025</v>
      </c>
      <c r="AK92" s="37">
        <v>1.7954000000000001</v>
      </c>
      <c r="AL92" s="37">
        <v>2.25</v>
      </c>
      <c r="AM92" s="37">
        <v>2.21</v>
      </c>
      <c r="AN92" s="37">
        <v>2.5499999999999998</v>
      </c>
      <c r="AO92" s="37">
        <v>3.04</v>
      </c>
      <c r="AQ92" s="24">
        <f t="shared" si="33"/>
        <v>0.79540000000000011</v>
      </c>
      <c r="AR92" s="24">
        <f t="shared" si="35"/>
        <v>1.25</v>
      </c>
      <c r="AS92" s="24">
        <f t="shared" si="35"/>
        <v>1.21</v>
      </c>
      <c r="AT92" s="24">
        <f t="shared" si="35"/>
        <v>1.5499999999999998</v>
      </c>
      <c r="AU92" s="24">
        <f t="shared" si="35"/>
        <v>2.04</v>
      </c>
      <c r="AV92" s="25">
        <f t="shared" si="19"/>
        <v>61415.058400000002</v>
      </c>
      <c r="AW92" s="50" t="s">
        <v>714</v>
      </c>
      <c r="AX92" s="337">
        <f>+'23-İL-EMOD-Öncelikli Yaşam'!F83</f>
        <v>3108.6697346643778</v>
      </c>
      <c r="AY92" s="337" t="e">
        <f>+'23-İL-EMOD-Öncelikli Yaşam'!#REF!</f>
        <v>#REF!</v>
      </c>
      <c r="AZ92" s="337" t="e">
        <f t="shared" si="28"/>
        <v>#REF!</v>
      </c>
      <c r="BA92" s="50">
        <v>7390.4387059180008</v>
      </c>
      <c r="BB92" s="50"/>
      <c r="BC92" s="21">
        <v>10262</v>
      </c>
      <c r="BD92" s="21">
        <v>729</v>
      </c>
      <c r="BE92" s="21">
        <v>1656</v>
      </c>
      <c r="BF92" s="21">
        <v>211</v>
      </c>
      <c r="BG92" s="21">
        <v>1481</v>
      </c>
      <c r="BH92" s="22">
        <f t="shared" si="20"/>
        <v>14339</v>
      </c>
      <c r="BJ92" s="39">
        <v>2115.6230574232541</v>
      </c>
      <c r="BK92" s="39">
        <f t="shared" si="21"/>
        <v>2126.3080223597353</v>
      </c>
      <c r="BN92" s="21">
        <f t="shared" si="22"/>
        <v>1.2121620256574296E-2</v>
      </c>
      <c r="BO92" s="21">
        <f t="shared" si="23"/>
        <v>12.121620256574296</v>
      </c>
      <c r="BQ92" s="149">
        <v>0.01</v>
      </c>
      <c r="BR92" s="309"/>
      <c r="BS92" s="22"/>
      <c r="BT92" s="22"/>
      <c r="BU92" s="22"/>
    </row>
    <row r="93" spans="1:73" ht="20.100000000000001" customHeight="1">
      <c r="A93" s="57">
        <f t="shared" si="34"/>
        <v>79</v>
      </c>
      <c r="B93" s="45" t="s">
        <v>715</v>
      </c>
      <c r="C93" s="375">
        <f t="shared" si="29"/>
        <v>16936</v>
      </c>
      <c r="D93" s="379">
        <f t="shared" si="30"/>
        <v>13804</v>
      </c>
      <c r="E93" s="379">
        <v>13804</v>
      </c>
      <c r="F93" s="379">
        <v>1970</v>
      </c>
      <c r="G93" s="379">
        <v>825</v>
      </c>
      <c r="H93" s="379">
        <v>0</v>
      </c>
      <c r="I93" s="797">
        <f t="shared" si="16"/>
        <v>337</v>
      </c>
      <c r="J93" s="896">
        <v>0</v>
      </c>
      <c r="K93" s="894">
        <v>319</v>
      </c>
      <c r="L93" s="894">
        <v>0</v>
      </c>
      <c r="M93" s="894">
        <v>0</v>
      </c>
      <c r="N93" s="894">
        <v>0</v>
      </c>
      <c r="O93" s="894">
        <v>16</v>
      </c>
      <c r="P93" s="894">
        <v>2</v>
      </c>
      <c r="Q93" s="377">
        <v>0</v>
      </c>
      <c r="R93" s="364">
        <v>42</v>
      </c>
      <c r="S93" s="348">
        <v>2175</v>
      </c>
      <c r="T93" s="348">
        <v>1433</v>
      </c>
      <c r="U93" s="605">
        <v>977</v>
      </c>
      <c r="V93" s="610">
        <v>41</v>
      </c>
      <c r="W93" s="609">
        <v>123</v>
      </c>
      <c r="X93" s="605">
        <v>67</v>
      </c>
      <c r="Y93" s="354">
        <v>0</v>
      </c>
      <c r="Z93" s="609">
        <v>28</v>
      </c>
      <c r="AA93" s="609">
        <v>13</v>
      </c>
      <c r="AB93" s="356">
        <v>11</v>
      </c>
      <c r="AC93" s="354">
        <v>0</v>
      </c>
      <c r="AD93" s="348">
        <v>0</v>
      </c>
      <c r="AE93" s="353">
        <v>0</v>
      </c>
      <c r="AF93" s="350">
        <f t="shared" si="25"/>
        <v>3341</v>
      </c>
      <c r="AG93" s="351">
        <f t="shared" si="26"/>
        <v>3855</v>
      </c>
      <c r="AH93" s="352">
        <f t="shared" si="27"/>
        <v>40728.067999999999</v>
      </c>
      <c r="AI93" s="42">
        <v>15461.628175507096</v>
      </c>
      <c r="AJ93" s="30">
        <f t="shared" si="31"/>
        <v>19937.067999999999</v>
      </c>
      <c r="AK93" s="37">
        <v>2.1044999999999998</v>
      </c>
      <c r="AL93" s="37">
        <v>3.2</v>
      </c>
      <c r="AM93" s="37">
        <v>3.05</v>
      </c>
      <c r="AN93" s="37">
        <v>3</v>
      </c>
      <c r="AO93" s="37">
        <v>3.2</v>
      </c>
      <c r="AQ93" s="24">
        <f t="shared" si="33"/>
        <v>1.1044999999999998</v>
      </c>
      <c r="AR93" s="24">
        <f t="shared" si="35"/>
        <v>2.2000000000000002</v>
      </c>
      <c r="AS93" s="24">
        <f t="shared" si="35"/>
        <v>2.0499999999999998</v>
      </c>
      <c r="AT93" s="24">
        <v>2.8</v>
      </c>
      <c r="AU93" s="24">
        <v>2.5099999999999998</v>
      </c>
      <c r="AV93" s="25">
        <f t="shared" si="19"/>
        <v>19912.467999999997</v>
      </c>
      <c r="AW93" s="50" t="s">
        <v>715</v>
      </c>
      <c r="AX93" s="337">
        <f>+'23-İL-EMOD-Öncelikli Yaşam'!F84</f>
        <v>3247.917999153462</v>
      </c>
      <c r="AY93" s="337" t="e">
        <f>+'23-İL-EMOD-Öncelikli Yaşam'!#REF!</f>
        <v>#REF!</v>
      </c>
      <c r="AZ93" s="337" t="e">
        <f t="shared" si="28"/>
        <v>#REF!</v>
      </c>
      <c r="BA93" s="50">
        <v>11585.871920321719</v>
      </c>
      <c r="BB93" s="50"/>
      <c r="BC93" s="21">
        <v>984</v>
      </c>
      <c r="BD93" s="21">
        <v>120</v>
      </c>
      <c r="BE93" s="21">
        <v>1668</v>
      </c>
      <c r="BF93" s="21">
        <v>400</v>
      </c>
      <c r="BG93" s="21">
        <v>709</v>
      </c>
      <c r="BH93" s="22">
        <f t="shared" si="20"/>
        <v>3881</v>
      </c>
      <c r="BJ93" s="39">
        <v>26.2745039421666</v>
      </c>
      <c r="BK93" s="39">
        <f t="shared" si="21"/>
        <v>26.407203457026025</v>
      </c>
      <c r="BN93" s="21">
        <f t="shared" si="22"/>
        <v>0</v>
      </c>
      <c r="BO93" s="21">
        <f t="shared" si="23"/>
        <v>0</v>
      </c>
      <c r="BQ93" s="149">
        <v>0.01</v>
      </c>
      <c r="BR93" s="309"/>
      <c r="BS93" s="22"/>
      <c r="BT93" s="22"/>
      <c r="BU93" s="22"/>
    </row>
    <row r="94" spans="1:73" ht="20.100000000000001" customHeight="1">
      <c r="A94" s="57">
        <f t="shared" si="34"/>
        <v>80</v>
      </c>
      <c r="B94" s="45" t="s">
        <v>227</v>
      </c>
      <c r="C94" s="375">
        <f t="shared" si="29"/>
        <v>63389</v>
      </c>
      <c r="D94" s="379">
        <f t="shared" si="30"/>
        <v>50280</v>
      </c>
      <c r="E94" s="379">
        <v>50280</v>
      </c>
      <c r="F94" s="379">
        <v>7537</v>
      </c>
      <c r="G94" s="379">
        <v>3186</v>
      </c>
      <c r="H94" s="706">
        <v>59</v>
      </c>
      <c r="I94" s="797">
        <f t="shared" si="16"/>
        <v>2327</v>
      </c>
      <c r="J94" s="896">
        <v>5</v>
      </c>
      <c r="K94" s="894">
        <v>2298</v>
      </c>
      <c r="L94" s="894">
        <v>0</v>
      </c>
      <c r="M94" s="894">
        <v>0</v>
      </c>
      <c r="N94" s="894">
        <v>1</v>
      </c>
      <c r="O94" s="894">
        <v>0</v>
      </c>
      <c r="P94" s="894">
        <v>23</v>
      </c>
      <c r="Q94" s="377">
        <v>0</v>
      </c>
      <c r="R94" s="364">
        <v>336</v>
      </c>
      <c r="S94" s="348">
        <v>17462</v>
      </c>
      <c r="T94" s="348">
        <v>7716</v>
      </c>
      <c r="U94" s="353">
        <v>5204</v>
      </c>
      <c r="V94" s="610">
        <v>374</v>
      </c>
      <c r="W94" s="609">
        <v>769</v>
      </c>
      <c r="X94" s="605">
        <v>396</v>
      </c>
      <c r="Y94" s="610">
        <v>1</v>
      </c>
      <c r="Z94" s="609">
        <v>140</v>
      </c>
      <c r="AA94" s="609">
        <v>37</v>
      </c>
      <c r="AB94" s="356">
        <v>24</v>
      </c>
      <c r="AC94" s="354">
        <v>0</v>
      </c>
      <c r="AD94" s="348">
        <v>0</v>
      </c>
      <c r="AE94" s="353">
        <v>0</v>
      </c>
      <c r="AF94" s="350">
        <f t="shared" si="25"/>
        <v>23937</v>
      </c>
      <c r="AG94" s="351">
        <f t="shared" si="26"/>
        <v>26835</v>
      </c>
      <c r="AH94" s="352">
        <f t="shared" si="27"/>
        <v>241402.5</v>
      </c>
      <c r="AI94" s="42">
        <v>7659.6600855958532</v>
      </c>
      <c r="AJ94" s="30">
        <f t="shared" si="31"/>
        <v>151178.5</v>
      </c>
      <c r="AK94" s="37">
        <v>2.6</v>
      </c>
      <c r="AL94" s="37">
        <v>4.8</v>
      </c>
      <c r="AM94" s="37">
        <v>4.8499999999999996</v>
      </c>
      <c r="AN94" s="37">
        <v>4.87</v>
      </c>
      <c r="AO94" s="37">
        <v>4.9800000000000004</v>
      </c>
      <c r="AQ94" s="24">
        <f t="shared" si="33"/>
        <v>1.6</v>
      </c>
      <c r="AR94" s="24">
        <f t="shared" si="35"/>
        <v>3.8</v>
      </c>
      <c r="AS94" s="24">
        <f t="shared" si="35"/>
        <v>3.8499999999999996</v>
      </c>
      <c r="AT94" s="24">
        <f t="shared" si="35"/>
        <v>3.87</v>
      </c>
      <c r="AU94" s="24">
        <f>AO94-1</f>
        <v>3.9800000000000004</v>
      </c>
      <c r="AV94" s="25">
        <f t="shared" si="19"/>
        <v>150635.70000000001</v>
      </c>
      <c r="AW94" s="50" t="s">
        <v>227</v>
      </c>
      <c r="AX94" s="337">
        <f>+'23-İL-EMOD-Öncelikli Yaşam'!F85</f>
        <v>26095.579398611095</v>
      </c>
      <c r="AY94" s="337" t="e">
        <f>+'23-İL-EMOD-Öncelikli Yaşam'!#REF!</f>
        <v>#REF!</v>
      </c>
      <c r="AZ94" s="337" t="e">
        <f t="shared" si="28"/>
        <v>#REF!</v>
      </c>
      <c r="BA94" s="50">
        <v>34823.9168896724</v>
      </c>
      <c r="BB94" s="50"/>
      <c r="BC94" s="21">
        <v>5338</v>
      </c>
      <c r="BD94" s="21">
        <v>599</v>
      </c>
      <c r="BE94" s="21">
        <v>3702</v>
      </c>
      <c r="BF94" s="21">
        <v>376</v>
      </c>
      <c r="BG94" s="21">
        <v>2766</v>
      </c>
      <c r="BH94" s="22">
        <f t="shared" si="20"/>
        <v>12781</v>
      </c>
      <c r="BJ94" s="39">
        <v>373.09795597876558</v>
      </c>
      <c r="BK94" s="39">
        <f t="shared" si="21"/>
        <v>374.98228908976944</v>
      </c>
      <c r="BN94" s="21">
        <f t="shared" si="22"/>
        <v>1.9865988753830096E-3</v>
      </c>
      <c r="BO94" s="21">
        <f t="shared" si="23"/>
        <v>1.9865988753830095</v>
      </c>
      <c r="BQ94" s="149">
        <v>0.01</v>
      </c>
      <c r="BR94" s="309"/>
      <c r="BS94" s="22"/>
      <c r="BT94" s="22"/>
      <c r="BU94" s="22"/>
    </row>
    <row r="95" spans="1:73" ht="20.100000000000001" customHeight="1">
      <c r="A95" s="57">
        <f t="shared" si="34"/>
        <v>81</v>
      </c>
      <c r="B95" s="45" t="s">
        <v>883</v>
      </c>
      <c r="C95" s="375">
        <f t="shared" si="29"/>
        <v>76968</v>
      </c>
      <c r="D95" s="379">
        <f t="shared" si="30"/>
        <v>67875</v>
      </c>
      <c r="E95" s="379">
        <v>67875</v>
      </c>
      <c r="F95" s="379">
        <v>5642</v>
      </c>
      <c r="G95" s="379">
        <v>1659</v>
      </c>
      <c r="H95" s="706">
        <v>32</v>
      </c>
      <c r="I95" s="797">
        <f t="shared" si="16"/>
        <v>1760</v>
      </c>
      <c r="J95" s="896">
        <v>43</v>
      </c>
      <c r="K95" s="894">
        <v>1633</v>
      </c>
      <c r="L95" s="894">
        <v>0</v>
      </c>
      <c r="M95" s="894">
        <v>4</v>
      </c>
      <c r="N95" s="894">
        <v>0</v>
      </c>
      <c r="O95" s="894">
        <v>4</v>
      </c>
      <c r="P95" s="894">
        <v>76</v>
      </c>
      <c r="Q95" s="377">
        <v>0</v>
      </c>
      <c r="R95" s="364">
        <v>556</v>
      </c>
      <c r="S95" s="348">
        <v>23161</v>
      </c>
      <c r="T95" s="348">
        <v>9073</v>
      </c>
      <c r="U95" s="353">
        <v>7169</v>
      </c>
      <c r="V95" s="610">
        <v>370</v>
      </c>
      <c r="W95" s="609">
        <v>446</v>
      </c>
      <c r="X95" s="605">
        <v>314</v>
      </c>
      <c r="Y95" s="610">
        <v>3</v>
      </c>
      <c r="Z95" s="609">
        <v>147</v>
      </c>
      <c r="AA95" s="609">
        <v>38</v>
      </c>
      <c r="AB95" s="367">
        <v>32</v>
      </c>
      <c r="AC95" s="354">
        <v>0</v>
      </c>
      <c r="AD95" s="348">
        <v>0</v>
      </c>
      <c r="AE95" s="353">
        <v>0</v>
      </c>
      <c r="AF95" s="350">
        <f t="shared" si="25"/>
        <v>31752</v>
      </c>
      <c r="AG95" s="351">
        <f t="shared" si="26"/>
        <v>33794</v>
      </c>
      <c r="AH95" s="352">
        <f t="shared" si="27"/>
        <v>211997.84999999998</v>
      </c>
      <c r="AI95" s="42">
        <v>14094.542285605799</v>
      </c>
      <c r="AJ95" s="30">
        <f t="shared" si="31"/>
        <v>101235.84999999998</v>
      </c>
      <c r="AK95" s="23">
        <v>1.9</v>
      </c>
      <c r="AL95" s="23">
        <v>2.4500000000000002</v>
      </c>
      <c r="AM95" s="23">
        <v>2.65</v>
      </c>
      <c r="AN95" s="23">
        <v>3.2</v>
      </c>
      <c r="AO95" s="23">
        <v>3.05</v>
      </c>
      <c r="AQ95" s="24">
        <f t="shared" si="33"/>
        <v>0.89999999999999991</v>
      </c>
      <c r="AR95" s="24">
        <f t="shared" si="35"/>
        <v>1.4500000000000002</v>
      </c>
      <c r="AS95" s="24">
        <f t="shared" si="35"/>
        <v>1.65</v>
      </c>
      <c r="AT95" s="24">
        <f t="shared" si="35"/>
        <v>2.2000000000000002</v>
      </c>
      <c r="AU95" s="24">
        <f>AO95-1</f>
        <v>2.0499999999999998</v>
      </c>
      <c r="AV95" s="25">
        <f t="shared" si="19"/>
        <v>100988.94999999998</v>
      </c>
      <c r="AW95" s="50" t="s">
        <v>883</v>
      </c>
      <c r="AX95" s="337">
        <f>+'23-İL-EMOD-Öncelikli Yaşam'!F86</f>
        <v>13548.369620056474</v>
      </c>
      <c r="AY95" s="337" t="e">
        <f>+'23-İL-EMOD-Öncelikli Yaşam'!#REF!</f>
        <v>#REF!</v>
      </c>
      <c r="AZ95" s="337" t="e">
        <f t="shared" si="28"/>
        <v>#REF!</v>
      </c>
      <c r="BA95" s="50">
        <v>16589.162998603017</v>
      </c>
      <c r="BB95" s="50"/>
      <c r="BC95" s="21">
        <v>6181</v>
      </c>
      <c r="BD95" s="21">
        <v>384</v>
      </c>
      <c r="BE95" s="21">
        <v>3736</v>
      </c>
      <c r="BF95" s="21">
        <v>215</v>
      </c>
      <c r="BG95" s="21">
        <v>2086</v>
      </c>
      <c r="BH95" s="22">
        <f t="shared" si="20"/>
        <v>12602</v>
      </c>
      <c r="BJ95" s="39">
        <v>248.03131721405259</v>
      </c>
      <c r="BK95" s="39">
        <f t="shared" si="21"/>
        <v>249.28400063432559</v>
      </c>
      <c r="BN95" s="21">
        <f t="shared" si="22"/>
        <v>1.0774773561399373E-3</v>
      </c>
      <c r="BO95" s="21">
        <f t="shared" si="23"/>
        <v>1.0774773561399373</v>
      </c>
      <c r="BQ95" s="149">
        <v>0.01</v>
      </c>
      <c r="BR95" s="309"/>
      <c r="BS95" s="22"/>
      <c r="BT95" s="22"/>
      <c r="BU95" s="22"/>
    </row>
    <row r="96" spans="1:73" ht="18" customHeight="1">
      <c r="A96" s="57">
        <v>90</v>
      </c>
      <c r="B96" s="45" t="s">
        <v>884</v>
      </c>
      <c r="C96" s="375">
        <f t="shared" si="29"/>
        <v>0</v>
      </c>
      <c r="D96" s="379">
        <f t="shared" si="30"/>
        <v>0</v>
      </c>
      <c r="E96" s="376"/>
      <c r="F96" s="376"/>
      <c r="G96" s="380"/>
      <c r="H96" s="380">
        <v>0</v>
      </c>
      <c r="I96" s="797">
        <f t="shared" si="16"/>
        <v>0</v>
      </c>
      <c r="J96" s="896">
        <v>0</v>
      </c>
      <c r="K96" s="897">
        <v>0</v>
      </c>
      <c r="L96" s="897">
        <v>0</v>
      </c>
      <c r="M96" s="897">
        <v>0</v>
      </c>
      <c r="N96" s="897">
        <v>0</v>
      </c>
      <c r="O96" s="897">
        <v>0</v>
      </c>
      <c r="P96" s="897">
        <v>0</v>
      </c>
      <c r="Q96" s="377">
        <v>0</v>
      </c>
      <c r="R96" s="364">
        <v>16</v>
      </c>
      <c r="S96" s="348">
        <v>2459</v>
      </c>
      <c r="T96" s="609">
        <v>598</v>
      </c>
      <c r="U96" s="605">
        <v>454</v>
      </c>
      <c r="V96" s="610">
        <v>12</v>
      </c>
      <c r="W96" s="609">
        <v>24</v>
      </c>
      <c r="X96" s="605">
        <v>14</v>
      </c>
      <c r="Y96" s="368">
        <v>0</v>
      </c>
      <c r="Z96" s="609">
        <v>3</v>
      </c>
      <c r="AA96" s="355">
        <v>0</v>
      </c>
      <c r="AB96" s="356">
        <v>0</v>
      </c>
      <c r="AC96" s="354">
        <v>0</v>
      </c>
      <c r="AD96" s="348">
        <v>0</v>
      </c>
      <c r="AE96" s="353">
        <v>0</v>
      </c>
      <c r="AF96" s="350">
        <f t="shared" si="25"/>
        <v>2958</v>
      </c>
      <c r="AG96" s="351">
        <f t="shared" si="26"/>
        <v>3112</v>
      </c>
      <c r="AH96" s="352">
        <f t="shared" si="27"/>
        <v>4639.54</v>
      </c>
      <c r="AI96" s="42">
        <v>0</v>
      </c>
      <c r="AJ96" s="30">
        <f t="shared" si="31"/>
        <v>1527.54</v>
      </c>
      <c r="AK96" s="23">
        <v>2.0099999999999998</v>
      </c>
      <c r="AL96" s="23">
        <v>1.85</v>
      </c>
      <c r="AM96" s="23">
        <v>1.61</v>
      </c>
      <c r="AN96" s="23">
        <v>2.0099999999999998</v>
      </c>
      <c r="AO96" s="23">
        <v>2.4</v>
      </c>
      <c r="AV96" s="25">
        <f t="shared" si="19"/>
        <v>0</v>
      </c>
      <c r="AW96" s="21" t="s">
        <v>884</v>
      </c>
      <c r="AX96" s="337">
        <f>+'23-İL-EMOD-Öncelikli Yaşam'!F87</f>
        <v>0</v>
      </c>
      <c r="AY96" s="337" t="e">
        <f>+'23-İL-EMOD-Öncelikli Yaşam'!#REF!</f>
        <v>#REF!</v>
      </c>
      <c r="AZ96" s="337" t="e">
        <f t="shared" si="28"/>
        <v>#REF!</v>
      </c>
      <c r="BC96" s="21">
        <v>247</v>
      </c>
      <c r="BD96" s="21">
        <v>18</v>
      </c>
      <c r="BE96" s="21">
        <v>2</v>
      </c>
      <c r="BF96" s="21">
        <v>0</v>
      </c>
      <c r="BG96" s="21">
        <v>137</v>
      </c>
      <c r="BH96" s="22">
        <f t="shared" si="20"/>
        <v>404</v>
      </c>
      <c r="BJ96" s="39">
        <v>0</v>
      </c>
      <c r="BK96" s="39">
        <f t="shared" si="21"/>
        <v>0</v>
      </c>
      <c r="BN96" s="21">
        <f t="shared" si="22"/>
        <v>0</v>
      </c>
      <c r="BO96" s="21">
        <f t="shared" si="23"/>
        <v>0</v>
      </c>
      <c r="BQ96" s="149">
        <v>0.01</v>
      </c>
      <c r="BR96" s="309"/>
      <c r="BS96" s="22"/>
      <c r="BT96" s="22"/>
      <c r="BU96" s="22"/>
    </row>
    <row r="97" spans="1:74" ht="17.25" customHeight="1" thickBot="1">
      <c r="A97" s="197" t="s">
        <v>885</v>
      </c>
      <c r="B97" s="100"/>
      <c r="C97" s="381">
        <f>SUM(C8:C96)</f>
        <v>15883107</v>
      </c>
      <c r="D97" s="382">
        <f t="shared" ref="D97:BL97" si="36">SUM(D8:D96)</f>
        <v>13849359</v>
      </c>
      <c r="E97" s="382">
        <f t="shared" si="36"/>
        <v>13849359</v>
      </c>
      <c r="F97" s="382">
        <f t="shared" si="36"/>
        <v>1181416</v>
      </c>
      <c r="G97" s="382">
        <f t="shared" si="36"/>
        <v>457249</v>
      </c>
      <c r="H97" s="383">
        <f>SUM(H8:H96)</f>
        <v>29699</v>
      </c>
      <c r="I97" s="383">
        <f>SUM(I8:I96)</f>
        <v>341987</v>
      </c>
      <c r="J97" s="383">
        <f t="shared" ref="J97:P97" si="37">SUM(J8:J96)</f>
        <v>653</v>
      </c>
      <c r="K97" s="383">
        <f t="shared" si="37"/>
        <v>274775</v>
      </c>
      <c r="L97" s="383">
        <f t="shared" si="37"/>
        <v>26</v>
      </c>
      <c r="M97" s="383">
        <f t="shared" si="37"/>
        <v>1670</v>
      </c>
      <c r="N97" s="383">
        <f t="shared" si="37"/>
        <v>794</v>
      </c>
      <c r="O97" s="383">
        <f t="shared" si="37"/>
        <v>16838</v>
      </c>
      <c r="P97" s="383">
        <f t="shared" si="37"/>
        <v>47231</v>
      </c>
      <c r="Q97" s="372">
        <f t="shared" si="36"/>
        <v>23397</v>
      </c>
      <c r="R97" s="369">
        <f t="shared" si="36"/>
        <v>74235</v>
      </c>
      <c r="S97" s="370">
        <f t="shared" si="36"/>
        <v>5124255</v>
      </c>
      <c r="T97" s="370">
        <f t="shared" si="36"/>
        <v>1830704</v>
      </c>
      <c r="U97" s="370">
        <f t="shared" si="36"/>
        <v>1449723</v>
      </c>
      <c r="V97" s="371">
        <f t="shared" si="36"/>
        <v>70844</v>
      </c>
      <c r="W97" s="370">
        <f t="shared" si="36"/>
        <v>87703</v>
      </c>
      <c r="X97" s="372">
        <f t="shared" si="36"/>
        <v>56685</v>
      </c>
      <c r="Y97" s="371">
        <f t="shared" si="36"/>
        <v>983</v>
      </c>
      <c r="Z97" s="370">
        <f t="shared" si="36"/>
        <v>58335</v>
      </c>
      <c r="AA97" s="370">
        <f t="shared" si="36"/>
        <v>13169</v>
      </c>
      <c r="AB97" s="891">
        <f t="shared" si="36"/>
        <v>9275</v>
      </c>
      <c r="AC97" s="369">
        <f t="shared" si="36"/>
        <v>6</v>
      </c>
      <c r="AD97" s="370">
        <f t="shared" si="36"/>
        <v>25</v>
      </c>
      <c r="AE97" s="891">
        <f t="shared" si="36"/>
        <v>14</v>
      </c>
      <c r="AF97" s="369">
        <f t="shared" si="36"/>
        <v>6844355</v>
      </c>
      <c r="AG97" s="370">
        <f t="shared" si="36"/>
        <v>7260259</v>
      </c>
      <c r="AH97" s="373">
        <f t="shared" si="36"/>
        <v>42136087.976781361</v>
      </c>
      <c r="AI97" s="103">
        <f t="shared" si="36"/>
        <v>3604045.432366679</v>
      </c>
      <c r="AJ97" s="43">
        <f>SUM(AJ8:AJ47)+SUM(AJ55:AJ96)</f>
        <v>18992721.97678135</v>
      </c>
      <c r="AK97" s="23">
        <v>2.0099999999999998</v>
      </c>
      <c r="AL97" s="23">
        <v>1.85</v>
      </c>
      <c r="AM97" s="23">
        <v>1.85</v>
      </c>
      <c r="AN97" s="23">
        <v>1.85</v>
      </c>
      <c r="AO97" s="23">
        <v>1.85</v>
      </c>
      <c r="AP97" s="43">
        <f t="shared" si="36"/>
        <v>0</v>
      </c>
      <c r="AQ97" s="43">
        <f t="shared" si="36"/>
        <v>86.009800000000013</v>
      </c>
      <c r="AR97" s="43">
        <f t="shared" si="36"/>
        <v>152.35132077060291</v>
      </c>
      <c r="AS97" s="43">
        <f t="shared" si="36"/>
        <v>159.29243755586589</v>
      </c>
      <c r="AT97" s="43">
        <f t="shared" si="36"/>
        <v>200.25844358548943</v>
      </c>
      <c r="AU97" s="43">
        <f t="shared" si="36"/>
        <v>214.82659357055402</v>
      </c>
      <c r="AV97" s="43">
        <f t="shared" si="36"/>
        <v>18951762.737457614</v>
      </c>
      <c r="AW97" s="43">
        <f t="shared" si="36"/>
        <v>0</v>
      </c>
      <c r="AX97" s="337">
        <f>+'23-İL-EMOD-Öncelikli Yaşam'!F88</f>
        <v>1430902.1473888811</v>
      </c>
      <c r="AY97" s="337" t="e">
        <f>+'23-İL-EMOD-Öncelikli Yaşam'!#REF!</f>
        <v>#REF!</v>
      </c>
      <c r="AZ97" s="337" t="e">
        <f t="shared" si="28"/>
        <v>#REF!</v>
      </c>
      <c r="BA97" s="43"/>
      <c r="BB97" s="43"/>
      <c r="BC97" s="43">
        <f t="shared" si="36"/>
        <v>1310350</v>
      </c>
      <c r="BD97" s="43">
        <f t="shared" si="36"/>
        <v>72900</v>
      </c>
      <c r="BE97" s="43">
        <f t="shared" si="36"/>
        <v>579714</v>
      </c>
      <c r="BF97" s="43">
        <f t="shared" si="36"/>
        <v>99915</v>
      </c>
      <c r="BG97" s="43">
        <f t="shared" si="36"/>
        <v>525608</v>
      </c>
      <c r="BH97" s="43">
        <f t="shared" si="36"/>
        <v>2588487</v>
      </c>
      <c r="BI97" s="43">
        <f t="shared" si="36"/>
        <v>0</v>
      </c>
      <c r="BJ97" s="43">
        <f t="shared" si="36"/>
        <v>197999.99999999997</v>
      </c>
      <c r="BK97" s="43">
        <f t="shared" si="36"/>
        <v>199000.00000000006</v>
      </c>
      <c r="BL97" s="43">
        <f t="shared" si="36"/>
        <v>0</v>
      </c>
      <c r="BM97" s="179"/>
      <c r="BN97" s="179"/>
      <c r="BO97" s="179"/>
      <c r="BP97" s="31"/>
      <c r="BQ97" s="31"/>
      <c r="BR97" s="78"/>
      <c r="BS97" s="22"/>
      <c r="BT97" s="22"/>
      <c r="BU97" s="201"/>
      <c r="BV97" s="201"/>
    </row>
    <row r="98" spans="1:74" ht="23.25" customHeight="1">
      <c r="A98" s="1808" t="s">
        <v>1031</v>
      </c>
      <c r="B98" s="1808"/>
      <c r="C98" s="1808"/>
      <c r="D98" s="1808"/>
      <c r="E98" s="1808"/>
      <c r="F98" s="1808"/>
      <c r="G98" s="1808"/>
      <c r="H98" s="1808"/>
      <c r="I98" s="1808"/>
      <c r="J98" s="1808"/>
      <c r="K98" s="1808"/>
      <c r="L98" s="1808"/>
      <c r="M98" s="1808"/>
      <c r="N98" s="1808"/>
      <c r="O98" s="1808"/>
      <c r="P98" s="1808"/>
      <c r="Q98" s="1808"/>
      <c r="R98" s="1808"/>
      <c r="S98" s="1808"/>
      <c r="T98" s="1808"/>
      <c r="U98" s="1808"/>
      <c r="V98" s="1808"/>
      <c r="W98" s="1808"/>
      <c r="X98" s="1808"/>
      <c r="Y98" s="1808"/>
      <c r="Z98" s="1808"/>
      <c r="AA98" s="1808"/>
      <c r="AB98" s="1808"/>
      <c r="AC98" s="1808"/>
      <c r="AD98" s="1808"/>
      <c r="AE98" s="1808"/>
      <c r="AF98" s="1808"/>
      <c r="AG98" s="1808"/>
      <c r="AH98" s="1808"/>
      <c r="AJ98" s="22"/>
      <c r="BH98" s="22">
        <f>SUM(BC97:BG97)</f>
        <v>2588487</v>
      </c>
      <c r="BJ98" s="39" t="s">
        <v>729</v>
      </c>
      <c r="BR98" s="77" t="s">
        <v>729</v>
      </c>
      <c r="BS98" s="22"/>
      <c r="BU98" s="22"/>
    </row>
    <row r="99" spans="1:74" s="77" customFormat="1" ht="28.5" customHeight="1">
      <c r="B99" s="1851" t="s">
        <v>1271</v>
      </c>
      <c r="C99" s="1851"/>
      <c r="D99" s="1851"/>
      <c r="E99" s="1851"/>
      <c r="F99" s="1851"/>
      <c r="G99" s="1851"/>
      <c r="H99" s="1851"/>
      <c r="I99" s="1851"/>
      <c r="J99" s="1851"/>
      <c r="K99" s="1851"/>
      <c r="L99" s="1851"/>
      <c r="M99" s="1851"/>
      <c r="N99" s="1851"/>
      <c r="O99" s="1851"/>
      <c r="P99" s="1851"/>
      <c r="Q99" s="1851"/>
      <c r="R99" s="1851"/>
      <c r="S99" s="1851"/>
      <c r="T99" s="1851"/>
      <c r="U99" s="1851"/>
      <c r="V99" s="1851"/>
      <c r="W99" s="1851"/>
      <c r="X99" s="1851"/>
      <c r="Y99" s="1851"/>
      <c r="Z99" s="1851"/>
      <c r="AA99" s="1851"/>
      <c r="AB99" s="1851"/>
      <c r="AC99" s="1851"/>
      <c r="AD99" s="1851"/>
      <c r="AE99" s="1851"/>
      <c r="AF99" s="1851"/>
      <c r="AG99" s="1851"/>
      <c r="AH99" s="1851"/>
      <c r="AI99" s="1851"/>
      <c r="AJ99" s="1851"/>
      <c r="AK99" s="1851"/>
      <c r="AL99" s="1851"/>
      <c r="AM99" s="1851"/>
      <c r="AN99" s="1851"/>
      <c r="AW99" s="58">
        <f>990440-AX97</f>
        <v>-440462.14738888107</v>
      </c>
      <c r="AX99" s="339"/>
      <c r="AY99" s="340" t="s">
        <v>729</v>
      </c>
      <c r="AZ99" s="339"/>
      <c r="BJ99" s="319"/>
      <c r="BU99" s="58"/>
    </row>
    <row r="100" spans="1:74">
      <c r="BJ100" s="39"/>
    </row>
    <row r="101" spans="1:74">
      <c r="G101" s="21" t="s">
        <v>729</v>
      </c>
      <c r="K101" s="310">
        <f>279879+812</f>
        <v>280691</v>
      </c>
      <c r="O101" s="310">
        <f>+O97+M97</f>
        <v>18508</v>
      </c>
      <c r="BJ101" s="39"/>
    </row>
    <row r="102" spans="1:74">
      <c r="K102" s="310">
        <f>5979+40352</f>
        <v>46331</v>
      </c>
      <c r="BJ102" s="39"/>
    </row>
    <row r="103" spans="1:74">
      <c r="BJ103" s="39"/>
    </row>
    <row r="104" spans="1:74">
      <c r="BJ104" s="39"/>
    </row>
    <row r="105" spans="1:74">
      <c r="K105" s="310">
        <v>279879</v>
      </c>
      <c r="BJ105" s="39"/>
    </row>
    <row r="106" spans="1:74">
      <c r="K106" s="310">
        <f>+K105-K97</f>
        <v>5104</v>
      </c>
      <c r="BJ106" s="39"/>
    </row>
    <row r="107" spans="1:74">
      <c r="BJ107" s="39"/>
    </row>
    <row r="108" spans="1:74">
      <c r="BJ108" s="39"/>
    </row>
    <row r="109" spans="1:74">
      <c r="BJ109" s="39"/>
    </row>
    <row r="110" spans="1:74">
      <c r="BJ110" s="39"/>
    </row>
    <row r="111" spans="1:74">
      <c r="BJ111" s="39"/>
    </row>
    <row r="112" spans="1:74">
      <c r="BJ112" s="39"/>
    </row>
    <row r="113" spans="62:62">
      <c r="BJ113" s="39"/>
    </row>
    <row r="114" spans="62:62">
      <c r="BJ114" s="39"/>
    </row>
    <row r="115" spans="62:62">
      <c r="BJ115" s="39"/>
    </row>
    <row r="116" spans="62:62">
      <c r="BJ116" s="39"/>
    </row>
    <row r="117" spans="62:62">
      <c r="BJ117" s="39"/>
    </row>
    <row r="118" spans="62:62">
      <c r="BJ118" s="39"/>
    </row>
    <row r="119" spans="62:62">
      <c r="BJ119" s="39"/>
    </row>
    <row r="120" spans="62:62">
      <c r="BJ120" s="39"/>
    </row>
    <row r="121" spans="62:62">
      <c r="BJ121" s="39"/>
    </row>
    <row r="122" spans="62:62">
      <c r="BJ122" s="39"/>
    </row>
    <row r="123" spans="62:62">
      <c r="BJ123" s="39"/>
    </row>
    <row r="124" spans="62:62">
      <c r="BJ124" s="39"/>
    </row>
    <row r="125" spans="62:62">
      <c r="BJ125" s="39"/>
    </row>
    <row r="126" spans="62:62">
      <c r="BJ126" s="39"/>
    </row>
    <row r="127" spans="62:62">
      <c r="BJ127" s="39"/>
    </row>
    <row r="128" spans="62:62">
      <c r="BJ128" s="39"/>
    </row>
    <row r="129" spans="62:62">
      <c r="BJ129" s="39"/>
    </row>
    <row r="130" spans="62:62">
      <c r="BJ130" s="39"/>
    </row>
    <row r="131" spans="62:62">
      <c r="BJ131" s="39"/>
    </row>
    <row r="132" spans="62:62">
      <c r="BJ132" s="39"/>
    </row>
    <row r="133" spans="62:62">
      <c r="BJ133" s="39"/>
    </row>
    <row r="134" spans="62:62">
      <c r="BJ134" s="39"/>
    </row>
    <row r="135" spans="62:62">
      <c r="BJ135" s="39"/>
    </row>
    <row r="136" spans="62:62">
      <c r="BJ136" s="39"/>
    </row>
    <row r="137" spans="62:62">
      <c r="BJ137" s="39"/>
    </row>
    <row r="138" spans="62:62">
      <c r="BJ138" s="39"/>
    </row>
    <row r="139" spans="62:62">
      <c r="BJ139" s="39"/>
    </row>
    <row r="140" spans="62:62">
      <c r="BJ140" s="39"/>
    </row>
    <row r="141" spans="62:62">
      <c r="BJ141" s="39"/>
    </row>
    <row r="142" spans="62:62">
      <c r="BJ142" s="39"/>
    </row>
    <row r="143" spans="62:62">
      <c r="BJ143" s="39"/>
    </row>
    <row r="144" spans="62:62">
      <c r="BJ144" s="39"/>
    </row>
    <row r="145" spans="62:62">
      <c r="BJ145" s="39"/>
    </row>
    <row r="146" spans="62:62">
      <c r="BJ146" s="39"/>
    </row>
    <row r="147" spans="62:62">
      <c r="BJ147" s="39"/>
    </row>
    <row r="148" spans="62:62">
      <c r="BJ148" s="39"/>
    </row>
    <row r="149" spans="62:62">
      <c r="BJ149" s="39"/>
    </row>
    <row r="150" spans="62:62">
      <c r="BJ150" s="39"/>
    </row>
    <row r="151" spans="62:62">
      <c r="BJ151" s="39"/>
    </row>
    <row r="152" spans="62:62">
      <c r="BJ152" s="39"/>
    </row>
    <row r="153" spans="62:62">
      <c r="BJ153" s="39"/>
    </row>
    <row r="154" spans="62:62">
      <c r="BJ154" s="39"/>
    </row>
    <row r="155" spans="62:62">
      <c r="BJ155" s="39"/>
    </row>
    <row r="156" spans="62:62">
      <c r="BJ156" s="39"/>
    </row>
    <row r="157" spans="62:62">
      <c r="BJ157" s="39"/>
    </row>
    <row r="158" spans="62:62">
      <c r="BJ158" s="39"/>
    </row>
    <row r="159" spans="62:62">
      <c r="BJ159" s="39"/>
    </row>
    <row r="160" spans="62:62">
      <c r="BJ160" s="39"/>
    </row>
    <row r="161" spans="62:62">
      <c r="BJ161" s="39"/>
    </row>
    <row r="162" spans="62:62">
      <c r="BJ162" s="39"/>
    </row>
    <row r="163" spans="62:62">
      <c r="BJ163" s="39"/>
    </row>
    <row r="164" spans="62:62">
      <c r="BJ164" s="39"/>
    </row>
    <row r="165" spans="62:62">
      <c r="BJ165" s="39"/>
    </row>
    <row r="166" spans="62:62">
      <c r="BJ166" s="39"/>
    </row>
    <row r="167" spans="62:62">
      <c r="BJ167" s="39"/>
    </row>
    <row r="168" spans="62:62">
      <c r="BJ168" s="39"/>
    </row>
    <row r="169" spans="62:62">
      <c r="BJ169" s="39"/>
    </row>
    <row r="170" spans="62:62">
      <c r="BJ170" s="39"/>
    </row>
    <row r="171" spans="62:62">
      <c r="BJ171" s="39"/>
    </row>
    <row r="172" spans="62:62">
      <c r="BJ172" s="39"/>
    </row>
    <row r="173" spans="62:62">
      <c r="BJ173" s="39"/>
    </row>
    <row r="174" spans="62:62">
      <c r="BJ174" s="39"/>
    </row>
    <row r="175" spans="62:62">
      <c r="BJ175" s="39"/>
    </row>
    <row r="176" spans="62:62">
      <c r="BJ176" s="39"/>
    </row>
    <row r="177" spans="62:62">
      <c r="BJ177" s="39"/>
    </row>
    <row r="178" spans="62:62">
      <c r="BJ178" s="39"/>
    </row>
    <row r="179" spans="62:62">
      <c r="BJ179" s="39"/>
    </row>
    <row r="180" spans="62:62">
      <c r="BJ180" s="39"/>
    </row>
    <row r="181" spans="62:62">
      <c r="BJ181" s="39"/>
    </row>
    <row r="182" spans="62:62">
      <c r="BJ182" s="39"/>
    </row>
    <row r="183" spans="62:62">
      <c r="BJ183" s="39"/>
    </row>
    <row r="184" spans="62:62">
      <c r="BJ184" s="39"/>
    </row>
    <row r="185" spans="62:62">
      <c r="BJ185" s="39"/>
    </row>
    <row r="186" spans="62:62">
      <c r="BJ186" s="39"/>
    </row>
    <row r="187" spans="62:62">
      <c r="BJ187" s="39"/>
    </row>
    <row r="188" spans="62:62">
      <c r="BJ188" s="39"/>
    </row>
    <row r="189" spans="62:62">
      <c r="BJ189" s="39"/>
    </row>
    <row r="190" spans="62:62">
      <c r="BJ190" s="39"/>
    </row>
    <row r="191" spans="62:62">
      <c r="BJ191" s="39"/>
    </row>
    <row r="192" spans="62:62">
      <c r="BJ192" s="39"/>
    </row>
    <row r="193" spans="62:62">
      <c r="BJ193" s="39"/>
    </row>
    <row r="194" spans="62:62">
      <c r="BJ194" s="39"/>
    </row>
    <row r="195" spans="62:62">
      <c r="BJ195" s="39"/>
    </row>
    <row r="196" spans="62:62">
      <c r="BJ196" s="39"/>
    </row>
    <row r="197" spans="62:62">
      <c r="BJ197" s="39"/>
    </row>
    <row r="198" spans="62:62">
      <c r="BJ198" s="39"/>
    </row>
    <row r="199" spans="62:62">
      <c r="BJ199" s="39"/>
    </row>
    <row r="200" spans="62:62">
      <c r="BJ200" s="39"/>
    </row>
    <row r="201" spans="62:62">
      <c r="BJ201" s="39"/>
    </row>
    <row r="202" spans="62:62">
      <c r="BJ202" s="39"/>
    </row>
    <row r="203" spans="62:62">
      <c r="BJ203" s="39"/>
    </row>
    <row r="204" spans="62:62">
      <c r="BJ204" s="39"/>
    </row>
    <row r="205" spans="62:62">
      <c r="BJ205" s="39"/>
    </row>
    <row r="206" spans="62:62">
      <c r="BJ206" s="39"/>
    </row>
    <row r="207" spans="62:62">
      <c r="BJ207" s="39"/>
    </row>
    <row r="208" spans="62:62">
      <c r="BJ208" s="39"/>
    </row>
    <row r="209" spans="62:62">
      <c r="BJ209" s="39"/>
    </row>
    <row r="210" spans="62:62">
      <c r="BJ210" s="39"/>
    </row>
    <row r="211" spans="62:62">
      <c r="BJ211" s="39"/>
    </row>
    <row r="212" spans="62:62">
      <c r="BJ212" s="39"/>
    </row>
    <row r="213" spans="62:62">
      <c r="BJ213" s="39"/>
    </row>
    <row r="214" spans="62:62">
      <c r="BJ214" s="39"/>
    </row>
    <row r="215" spans="62:62">
      <c r="BJ215" s="39"/>
    </row>
    <row r="216" spans="62:62">
      <c r="BJ216" s="39"/>
    </row>
    <row r="217" spans="62:62">
      <c r="BJ217" s="39"/>
    </row>
    <row r="218" spans="62:62">
      <c r="BJ218" s="39"/>
    </row>
    <row r="219" spans="62:62">
      <c r="BJ219" s="39"/>
    </row>
    <row r="220" spans="62:62">
      <c r="BJ220" s="39"/>
    </row>
    <row r="221" spans="62:62">
      <c r="BJ221" s="39"/>
    </row>
    <row r="222" spans="62:62">
      <c r="BJ222" s="39"/>
    </row>
    <row r="223" spans="62:62">
      <c r="BJ223" s="39"/>
    </row>
    <row r="224" spans="62:62">
      <c r="BJ224" s="39"/>
    </row>
    <row r="225" spans="62:62">
      <c r="BJ225" s="39"/>
    </row>
    <row r="226" spans="62:62">
      <c r="BJ226" s="39"/>
    </row>
    <row r="227" spans="62:62">
      <c r="BJ227" s="39"/>
    </row>
    <row r="228" spans="62:62">
      <c r="BJ228" s="39"/>
    </row>
    <row r="229" spans="62:62">
      <c r="BJ229" s="39"/>
    </row>
    <row r="230" spans="62:62">
      <c r="BJ230" s="39"/>
    </row>
    <row r="231" spans="62:62">
      <c r="BJ231" s="39"/>
    </row>
    <row r="232" spans="62:62">
      <c r="BJ232" s="39"/>
    </row>
    <row r="233" spans="62:62">
      <c r="BJ233" s="39"/>
    </row>
    <row r="234" spans="62:62">
      <c r="BJ234" s="39"/>
    </row>
    <row r="235" spans="62:62">
      <c r="BJ235" s="39"/>
    </row>
    <row r="236" spans="62:62">
      <c r="BJ236" s="39"/>
    </row>
    <row r="237" spans="62:62">
      <c r="BJ237" s="39"/>
    </row>
    <row r="238" spans="62:62">
      <c r="BJ238" s="39"/>
    </row>
    <row r="239" spans="62:62">
      <c r="BJ239" s="39"/>
    </row>
    <row r="240" spans="62:62">
      <c r="BJ240" s="39"/>
    </row>
    <row r="241" spans="62:62">
      <c r="BJ241" s="39"/>
    </row>
    <row r="242" spans="62:62">
      <c r="BJ242" s="39"/>
    </row>
    <row r="243" spans="62:62">
      <c r="BJ243" s="39"/>
    </row>
    <row r="244" spans="62:62">
      <c r="BJ244" s="39"/>
    </row>
    <row r="245" spans="62:62">
      <c r="BJ245" s="39"/>
    </row>
    <row r="246" spans="62:62">
      <c r="BJ246" s="39"/>
    </row>
    <row r="247" spans="62:62">
      <c r="BJ247" s="39"/>
    </row>
    <row r="248" spans="62:62">
      <c r="BJ248" s="39"/>
    </row>
    <row r="249" spans="62:62">
      <c r="BJ249" s="39"/>
    </row>
    <row r="250" spans="62:62">
      <c r="BJ250" s="39"/>
    </row>
    <row r="251" spans="62:62">
      <c r="BJ251" s="39"/>
    </row>
    <row r="252" spans="62:62">
      <c r="BJ252" s="39"/>
    </row>
    <row r="253" spans="62:62">
      <c r="BJ253" s="39"/>
    </row>
    <row r="254" spans="62:62">
      <c r="BJ254" s="39"/>
    </row>
    <row r="255" spans="62:62">
      <c r="BJ255" s="39"/>
    </row>
    <row r="256" spans="62:62">
      <c r="BJ256" s="39"/>
    </row>
    <row r="257" spans="62:62">
      <c r="BJ257" s="39"/>
    </row>
    <row r="258" spans="62:62">
      <c r="BJ258" s="39"/>
    </row>
    <row r="259" spans="62:62">
      <c r="BJ259" s="39"/>
    </row>
    <row r="260" spans="62:62">
      <c r="BJ260" s="39"/>
    </row>
    <row r="261" spans="62:62">
      <c r="BJ261" s="39"/>
    </row>
    <row r="262" spans="62:62">
      <c r="BJ262" s="39"/>
    </row>
    <row r="263" spans="62:62">
      <c r="BJ263" s="39"/>
    </row>
    <row r="264" spans="62:62">
      <c r="BJ264" s="39"/>
    </row>
    <row r="265" spans="62:62">
      <c r="BJ265" s="39"/>
    </row>
    <row r="266" spans="62:62">
      <c r="BJ266" s="39"/>
    </row>
    <row r="267" spans="62:62">
      <c r="BJ267" s="39"/>
    </row>
    <row r="268" spans="62:62">
      <c r="BJ268" s="39"/>
    </row>
    <row r="269" spans="62:62">
      <c r="BJ269" s="39"/>
    </row>
    <row r="270" spans="62:62">
      <c r="BJ270" s="39"/>
    </row>
    <row r="271" spans="62:62">
      <c r="BJ271" s="39"/>
    </row>
    <row r="272" spans="62:62">
      <c r="BJ272" s="39"/>
    </row>
    <row r="273" spans="62:62">
      <c r="BJ273" s="39"/>
    </row>
    <row r="274" spans="62:62">
      <c r="BJ274" s="39"/>
    </row>
    <row r="275" spans="62:62">
      <c r="BJ275" s="39"/>
    </row>
    <row r="276" spans="62:62">
      <c r="BJ276" s="39"/>
    </row>
    <row r="277" spans="62:62">
      <c r="BJ277" s="39"/>
    </row>
    <row r="278" spans="62:62">
      <c r="BJ278" s="39"/>
    </row>
    <row r="279" spans="62:62">
      <c r="BJ279" s="39"/>
    </row>
    <row r="280" spans="62:62">
      <c r="BJ280" s="39"/>
    </row>
    <row r="281" spans="62:62">
      <c r="BJ281" s="39"/>
    </row>
    <row r="282" spans="62:62">
      <c r="BJ282" s="39"/>
    </row>
    <row r="283" spans="62:62">
      <c r="BJ283" s="39"/>
    </row>
    <row r="284" spans="62:62">
      <c r="BJ284" s="39"/>
    </row>
    <row r="285" spans="62:62">
      <c r="BJ285" s="39"/>
    </row>
    <row r="286" spans="62:62">
      <c r="BJ286" s="39"/>
    </row>
    <row r="287" spans="62:62">
      <c r="BJ287" s="39"/>
    </row>
    <row r="288" spans="62:62">
      <c r="BJ288" s="39"/>
    </row>
    <row r="289" spans="62:62">
      <c r="BJ289" s="39"/>
    </row>
    <row r="290" spans="62:62">
      <c r="BJ290" s="39"/>
    </row>
    <row r="291" spans="62:62">
      <c r="BJ291" s="39"/>
    </row>
    <row r="292" spans="62:62">
      <c r="BJ292" s="39"/>
    </row>
    <row r="293" spans="62:62">
      <c r="BJ293" s="39"/>
    </row>
    <row r="294" spans="62:62">
      <c r="BJ294" s="39"/>
    </row>
    <row r="295" spans="62:62">
      <c r="BJ295" s="39"/>
    </row>
    <row r="296" spans="62:62">
      <c r="BJ296" s="39"/>
    </row>
    <row r="297" spans="62:62">
      <c r="BJ297" s="39"/>
    </row>
    <row r="298" spans="62:62">
      <c r="BJ298" s="39"/>
    </row>
    <row r="299" spans="62:62">
      <c r="BJ299" s="39"/>
    </row>
    <row r="300" spans="62:62">
      <c r="BJ300" s="39"/>
    </row>
    <row r="301" spans="62:62">
      <c r="BJ301" s="39"/>
    </row>
    <row r="302" spans="62:62">
      <c r="BJ302" s="39"/>
    </row>
    <row r="303" spans="62:62">
      <c r="BJ303" s="39"/>
    </row>
    <row r="304" spans="62:62">
      <c r="BJ304" s="39"/>
    </row>
    <row r="305" spans="62:62">
      <c r="BJ305" s="39"/>
    </row>
    <row r="306" spans="62:62">
      <c r="BJ306" s="39"/>
    </row>
    <row r="307" spans="62:62">
      <c r="BJ307" s="39"/>
    </row>
    <row r="308" spans="62:62">
      <c r="BJ308" s="39"/>
    </row>
    <row r="309" spans="62:62">
      <c r="BJ309" s="39"/>
    </row>
    <row r="310" spans="62:62">
      <c r="BJ310" s="39"/>
    </row>
    <row r="311" spans="62:62">
      <c r="BJ311" s="39"/>
    </row>
    <row r="312" spans="62:62">
      <c r="BJ312" s="39"/>
    </row>
    <row r="313" spans="62:62">
      <c r="BJ313" s="39"/>
    </row>
    <row r="314" spans="62:62">
      <c r="BJ314" s="39"/>
    </row>
    <row r="315" spans="62:62">
      <c r="BJ315" s="39"/>
    </row>
    <row r="316" spans="62:62">
      <c r="BJ316" s="39"/>
    </row>
    <row r="317" spans="62:62">
      <c r="BJ317" s="39"/>
    </row>
    <row r="318" spans="62:62">
      <c r="BJ318" s="39"/>
    </row>
    <row r="319" spans="62:62">
      <c r="BJ319" s="39"/>
    </row>
    <row r="320" spans="62:62">
      <c r="BJ320" s="39"/>
    </row>
    <row r="321" spans="62:62">
      <c r="BJ321" s="39"/>
    </row>
    <row r="322" spans="62:62">
      <c r="BJ322" s="39"/>
    </row>
    <row r="323" spans="62:62">
      <c r="BJ323" s="39"/>
    </row>
    <row r="324" spans="62:62">
      <c r="BJ324" s="39"/>
    </row>
    <row r="325" spans="62:62">
      <c r="BJ325" s="39"/>
    </row>
    <row r="326" spans="62:62">
      <c r="BJ326" s="39"/>
    </row>
    <row r="327" spans="62:62">
      <c r="BJ327" s="39"/>
    </row>
    <row r="328" spans="62:62">
      <c r="BJ328" s="39"/>
    </row>
    <row r="329" spans="62:62">
      <c r="BJ329" s="39"/>
    </row>
    <row r="330" spans="62:62">
      <c r="BJ330" s="39"/>
    </row>
    <row r="331" spans="62:62">
      <c r="BJ331" s="39"/>
    </row>
    <row r="332" spans="62:62">
      <c r="BJ332" s="39"/>
    </row>
    <row r="333" spans="62:62">
      <c r="BJ333" s="39"/>
    </row>
    <row r="334" spans="62:62">
      <c r="BJ334" s="39"/>
    </row>
    <row r="335" spans="62:62">
      <c r="BJ335" s="39"/>
    </row>
    <row r="336" spans="62:62">
      <c r="BJ336" s="39"/>
    </row>
    <row r="337" spans="62:62">
      <c r="BJ337" s="39"/>
    </row>
    <row r="338" spans="62:62">
      <c r="BJ338" s="39"/>
    </row>
    <row r="339" spans="62:62">
      <c r="BJ339" s="39"/>
    </row>
    <row r="340" spans="62:62">
      <c r="BJ340" s="39"/>
    </row>
    <row r="341" spans="62:62">
      <c r="BJ341" s="39"/>
    </row>
    <row r="342" spans="62:62">
      <c r="BJ342" s="39"/>
    </row>
    <row r="343" spans="62:62">
      <c r="BJ343" s="39"/>
    </row>
    <row r="344" spans="62:62">
      <c r="BJ344" s="39"/>
    </row>
    <row r="345" spans="62:62">
      <c r="BJ345" s="39"/>
    </row>
    <row r="346" spans="62:62">
      <c r="BJ346" s="39"/>
    </row>
    <row r="347" spans="62:62">
      <c r="BJ347" s="39"/>
    </row>
    <row r="348" spans="62:62">
      <c r="BJ348" s="39"/>
    </row>
    <row r="349" spans="62:62">
      <c r="BJ349" s="39"/>
    </row>
    <row r="350" spans="62:62">
      <c r="BJ350" s="39"/>
    </row>
    <row r="351" spans="62:62">
      <c r="BJ351" s="39"/>
    </row>
    <row r="352" spans="62:62">
      <c r="BJ352" s="39"/>
    </row>
    <row r="353" spans="62:62">
      <c r="BJ353" s="39"/>
    </row>
    <row r="354" spans="62:62">
      <c r="BJ354" s="39"/>
    </row>
    <row r="355" spans="62:62">
      <c r="BJ355" s="39"/>
    </row>
    <row r="356" spans="62:62">
      <c r="BJ356" s="39"/>
    </row>
    <row r="357" spans="62:62">
      <c r="BJ357" s="39"/>
    </row>
    <row r="358" spans="62:62">
      <c r="BJ358" s="39"/>
    </row>
    <row r="359" spans="62:62">
      <c r="BJ359" s="39"/>
    </row>
    <row r="360" spans="62:62">
      <c r="BJ360" s="39"/>
    </row>
    <row r="361" spans="62:62">
      <c r="BJ361" s="39"/>
    </row>
    <row r="362" spans="62:62">
      <c r="BJ362" s="39"/>
    </row>
    <row r="363" spans="62:62">
      <c r="BJ363" s="39"/>
    </row>
    <row r="364" spans="62:62">
      <c r="BJ364" s="39"/>
    </row>
    <row r="365" spans="62:62">
      <c r="BJ365" s="39"/>
    </row>
    <row r="366" spans="62:62">
      <c r="BJ366" s="39"/>
    </row>
    <row r="367" spans="62:62">
      <c r="BJ367" s="39"/>
    </row>
    <row r="368" spans="62:62">
      <c r="BJ368" s="39"/>
    </row>
    <row r="369" spans="62:62">
      <c r="BJ369" s="39"/>
    </row>
    <row r="370" spans="62:62">
      <c r="BJ370" s="39"/>
    </row>
    <row r="371" spans="62:62">
      <c r="BJ371" s="39"/>
    </row>
    <row r="372" spans="62:62">
      <c r="BJ372" s="39"/>
    </row>
    <row r="373" spans="62:62">
      <c r="BJ373" s="39"/>
    </row>
    <row r="374" spans="62:62">
      <c r="BJ374" s="39"/>
    </row>
    <row r="375" spans="62:62">
      <c r="BJ375" s="39"/>
    </row>
    <row r="376" spans="62:62">
      <c r="BJ376" s="39"/>
    </row>
    <row r="377" spans="62:62">
      <c r="BJ377" s="39"/>
    </row>
    <row r="378" spans="62:62">
      <c r="BJ378" s="39"/>
    </row>
    <row r="379" spans="62:62">
      <c r="BJ379" s="39"/>
    </row>
    <row r="380" spans="62:62">
      <c r="BJ380" s="39"/>
    </row>
    <row r="381" spans="62:62">
      <c r="BJ381" s="39"/>
    </row>
    <row r="382" spans="62:62">
      <c r="BJ382" s="39"/>
    </row>
    <row r="383" spans="62:62">
      <c r="BJ383" s="39"/>
    </row>
    <row r="384" spans="62:62">
      <c r="BJ384" s="39"/>
    </row>
    <row r="385" spans="62:62">
      <c r="BJ385" s="39"/>
    </row>
    <row r="386" spans="62:62">
      <c r="BJ386" s="39"/>
    </row>
    <row r="387" spans="62:62">
      <c r="BJ387" s="39"/>
    </row>
    <row r="388" spans="62:62">
      <c r="BJ388" s="39"/>
    </row>
    <row r="389" spans="62:62">
      <c r="BJ389" s="39"/>
    </row>
    <row r="390" spans="62:62">
      <c r="BJ390" s="39"/>
    </row>
    <row r="391" spans="62:62">
      <c r="BJ391" s="39"/>
    </row>
    <row r="392" spans="62:62">
      <c r="BJ392" s="39"/>
    </row>
    <row r="393" spans="62:62">
      <c r="BJ393" s="39"/>
    </row>
    <row r="394" spans="62:62">
      <c r="BJ394" s="39"/>
    </row>
    <row r="395" spans="62:62">
      <c r="BJ395" s="39"/>
    </row>
    <row r="396" spans="62:62">
      <c r="BJ396" s="39"/>
    </row>
    <row r="397" spans="62:62">
      <c r="BJ397" s="39"/>
    </row>
    <row r="398" spans="62:62">
      <c r="BJ398" s="39"/>
    </row>
    <row r="399" spans="62:62">
      <c r="BJ399" s="39"/>
    </row>
    <row r="400" spans="62:62">
      <c r="BJ400" s="39"/>
    </row>
    <row r="401" spans="62:62">
      <c r="BJ401" s="39"/>
    </row>
    <row r="402" spans="62:62">
      <c r="BJ402" s="39"/>
    </row>
    <row r="403" spans="62:62">
      <c r="BJ403" s="39"/>
    </row>
    <row r="404" spans="62:62">
      <c r="BJ404" s="39"/>
    </row>
    <row r="405" spans="62:62">
      <c r="BJ405" s="39"/>
    </row>
    <row r="406" spans="62:62">
      <c r="BJ406" s="39"/>
    </row>
    <row r="407" spans="62:62">
      <c r="BJ407" s="39"/>
    </row>
    <row r="408" spans="62:62">
      <c r="BJ408" s="39"/>
    </row>
    <row r="409" spans="62:62">
      <c r="BJ409" s="39"/>
    </row>
    <row r="410" spans="62:62">
      <c r="BJ410" s="39"/>
    </row>
    <row r="411" spans="62:62">
      <c r="BJ411" s="39"/>
    </row>
    <row r="412" spans="62:62">
      <c r="BJ412" s="39"/>
    </row>
    <row r="413" spans="62:62">
      <c r="BJ413" s="39"/>
    </row>
    <row r="414" spans="62:62">
      <c r="BJ414" s="39"/>
    </row>
    <row r="415" spans="62:62">
      <c r="BJ415" s="39"/>
    </row>
    <row r="416" spans="62:62">
      <c r="BJ416" s="39"/>
    </row>
    <row r="417" spans="62:62">
      <c r="BJ417" s="39"/>
    </row>
    <row r="418" spans="62:62">
      <c r="BJ418" s="39"/>
    </row>
    <row r="419" spans="62:62">
      <c r="BJ419" s="39"/>
    </row>
    <row r="420" spans="62:62">
      <c r="BJ420" s="39"/>
    </row>
    <row r="421" spans="62:62">
      <c r="BJ421" s="39"/>
    </row>
    <row r="422" spans="62:62">
      <c r="BJ422" s="39"/>
    </row>
    <row r="423" spans="62:62">
      <c r="BJ423" s="39"/>
    </row>
    <row r="424" spans="62:62">
      <c r="BJ424" s="39"/>
    </row>
    <row r="425" spans="62:62">
      <c r="BJ425" s="39"/>
    </row>
    <row r="426" spans="62:62">
      <c r="BJ426" s="39"/>
    </row>
    <row r="427" spans="62:62">
      <c r="BJ427" s="39"/>
    </row>
    <row r="428" spans="62:62">
      <c r="BJ428" s="39"/>
    </row>
    <row r="429" spans="62:62">
      <c r="BJ429" s="39"/>
    </row>
    <row r="430" spans="62:62">
      <c r="BJ430" s="39"/>
    </row>
    <row r="431" spans="62:62">
      <c r="BJ431" s="39"/>
    </row>
    <row r="432" spans="62:62">
      <c r="BJ432" s="39"/>
    </row>
    <row r="433" spans="62:62">
      <c r="BJ433" s="39"/>
    </row>
    <row r="434" spans="62:62">
      <c r="BJ434" s="39"/>
    </row>
    <row r="435" spans="62:62">
      <c r="BJ435" s="39"/>
    </row>
    <row r="436" spans="62:62">
      <c r="BJ436" s="39"/>
    </row>
    <row r="437" spans="62:62">
      <c r="BJ437" s="39"/>
    </row>
    <row r="438" spans="62:62">
      <c r="BJ438" s="39"/>
    </row>
    <row r="439" spans="62:62">
      <c r="BJ439" s="39"/>
    </row>
    <row r="440" spans="62:62">
      <c r="BJ440" s="39"/>
    </row>
    <row r="441" spans="62:62">
      <c r="BJ441" s="39"/>
    </row>
    <row r="442" spans="62:62">
      <c r="BJ442" s="39"/>
    </row>
    <row r="443" spans="62:62">
      <c r="BJ443" s="39"/>
    </row>
    <row r="444" spans="62:62">
      <c r="BJ444" s="39"/>
    </row>
    <row r="445" spans="62:62">
      <c r="BJ445" s="39"/>
    </row>
    <row r="446" spans="62:62">
      <c r="BJ446" s="39"/>
    </row>
    <row r="447" spans="62:62">
      <c r="BJ447" s="39"/>
    </row>
    <row r="448" spans="62:62">
      <c r="BJ448" s="39"/>
    </row>
    <row r="449" spans="62:62">
      <c r="BJ449" s="39"/>
    </row>
    <row r="450" spans="62:62">
      <c r="BJ450" s="39"/>
    </row>
    <row r="451" spans="62:62">
      <c r="BJ451" s="39"/>
    </row>
    <row r="452" spans="62:62">
      <c r="BJ452" s="39"/>
    </row>
    <row r="453" spans="62:62">
      <c r="BJ453" s="39"/>
    </row>
    <row r="454" spans="62:62">
      <c r="BJ454" s="39"/>
    </row>
    <row r="455" spans="62:62">
      <c r="BJ455" s="39"/>
    </row>
    <row r="456" spans="62:62">
      <c r="BJ456" s="39"/>
    </row>
    <row r="457" spans="62:62">
      <c r="BJ457" s="39"/>
    </row>
    <row r="458" spans="62:62">
      <c r="BJ458" s="39"/>
    </row>
    <row r="459" spans="62:62">
      <c r="BJ459" s="39"/>
    </row>
    <row r="460" spans="62:62">
      <c r="BJ460" s="39"/>
    </row>
    <row r="461" spans="62:62">
      <c r="BJ461" s="39"/>
    </row>
    <row r="462" spans="62:62">
      <c r="BJ462" s="39"/>
    </row>
    <row r="463" spans="62:62">
      <c r="BJ463" s="39"/>
    </row>
    <row r="464" spans="62:62">
      <c r="BJ464" s="39"/>
    </row>
    <row r="465" spans="62:62">
      <c r="BJ465" s="39"/>
    </row>
    <row r="466" spans="62:62">
      <c r="BJ466" s="39"/>
    </row>
    <row r="467" spans="62:62">
      <c r="BJ467" s="39"/>
    </row>
    <row r="468" spans="62:62">
      <c r="BJ468" s="39"/>
    </row>
    <row r="469" spans="62:62">
      <c r="BJ469" s="39"/>
    </row>
    <row r="470" spans="62:62">
      <c r="BJ470" s="39"/>
    </row>
    <row r="471" spans="62:62">
      <c r="BJ471" s="39"/>
    </row>
    <row r="472" spans="62:62">
      <c r="BJ472" s="39"/>
    </row>
    <row r="473" spans="62:62">
      <c r="BJ473" s="39"/>
    </row>
    <row r="474" spans="62:62">
      <c r="BJ474" s="39"/>
    </row>
    <row r="475" spans="62:62">
      <c r="BJ475" s="39"/>
    </row>
    <row r="476" spans="62:62">
      <c r="BJ476" s="39"/>
    </row>
    <row r="477" spans="62:62">
      <c r="BJ477" s="39"/>
    </row>
    <row r="478" spans="62:62">
      <c r="BJ478" s="39"/>
    </row>
    <row r="479" spans="62:62">
      <c r="BJ479" s="39"/>
    </row>
    <row r="480" spans="62:62">
      <c r="BJ480" s="39"/>
    </row>
    <row r="481" spans="62:62">
      <c r="BJ481" s="39"/>
    </row>
    <row r="482" spans="62:62">
      <c r="BJ482" s="39"/>
    </row>
    <row r="483" spans="62:62">
      <c r="BJ483" s="39"/>
    </row>
    <row r="484" spans="62:62">
      <c r="BJ484" s="39"/>
    </row>
    <row r="485" spans="62:62">
      <c r="BJ485" s="39"/>
    </row>
    <row r="486" spans="62:62">
      <c r="BJ486" s="39"/>
    </row>
    <row r="487" spans="62:62">
      <c r="BJ487" s="39"/>
    </row>
    <row r="488" spans="62:62">
      <c r="BJ488" s="39"/>
    </row>
    <row r="489" spans="62:62">
      <c r="BJ489" s="39"/>
    </row>
    <row r="490" spans="62:62">
      <c r="BJ490" s="39"/>
    </row>
    <row r="491" spans="62:62">
      <c r="BJ491" s="39"/>
    </row>
    <row r="492" spans="62:62">
      <c r="BJ492" s="39"/>
    </row>
    <row r="493" spans="62:62">
      <c r="BJ493" s="39"/>
    </row>
    <row r="494" spans="62:62">
      <c r="BJ494" s="39"/>
    </row>
    <row r="495" spans="62:62">
      <c r="BJ495" s="39"/>
    </row>
    <row r="496" spans="62:62">
      <c r="BJ496" s="39"/>
    </row>
    <row r="497" spans="62:62">
      <c r="BJ497" s="39"/>
    </row>
    <row r="498" spans="62:62">
      <c r="BJ498" s="39"/>
    </row>
    <row r="499" spans="62:62">
      <c r="BJ499" s="39"/>
    </row>
    <row r="500" spans="62:62">
      <c r="BJ500" s="39"/>
    </row>
    <row r="501" spans="62:62">
      <c r="BJ501" s="39"/>
    </row>
    <row r="502" spans="62:62">
      <c r="BJ502" s="39"/>
    </row>
    <row r="503" spans="62:62">
      <c r="BJ503" s="39"/>
    </row>
    <row r="504" spans="62:62">
      <c r="BJ504" s="39"/>
    </row>
    <row r="505" spans="62:62">
      <c r="BJ505" s="39"/>
    </row>
    <row r="506" spans="62:62">
      <c r="BJ506" s="39"/>
    </row>
    <row r="507" spans="62:62">
      <c r="BJ507" s="39"/>
    </row>
    <row r="508" spans="62:62">
      <c r="BJ508" s="39"/>
    </row>
    <row r="509" spans="62:62">
      <c r="BJ509" s="39"/>
    </row>
    <row r="510" spans="62:62">
      <c r="BJ510" s="39"/>
    </row>
    <row r="511" spans="62:62">
      <c r="BJ511" s="39"/>
    </row>
    <row r="512" spans="62:62">
      <c r="BJ512" s="39"/>
    </row>
    <row r="513" spans="62:62">
      <c r="BJ513" s="39"/>
    </row>
    <row r="514" spans="62:62">
      <c r="BJ514" s="39"/>
    </row>
    <row r="515" spans="62:62">
      <c r="BJ515" s="39"/>
    </row>
    <row r="516" spans="62:62">
      <c r="BJ516" s="39"/>
    </row>
    <row r="517" spans="62:62">
      <c r="BJ517" s="39"/>
    </row>
  </sheetData>
  <mergeCells count="76">
    <mergeCell ref="B99:AN99"/>
    <mergeCell ref="B3:B7"/>
    <mergeCell ref="H53:H54"/>
    <mergeCell ref="I53:I54"/>
    <mergeCell ref="S6:S7"/>
    <mergeCell ref="V51:X51"/>
    <mergeCell ref="X6:X7"/>
    <mergeCell ref="R50:X50"/>
    <mergeCell ref="I6:I7"/>
    <mergeCell ref="R3:X3"/>
    <mergeCell ref="R4:U4"/>
    <mergeCell ref="R53:R54"/>
    <mergeCell ref="U6:U7"/>
    <mergeCell ref="T6:T7"/>
    <mergeCell ref="V4:X4"/>
    <mergeCell ref="U53:U54"/>
    <mergeCell ref="A3:A7"/>
    <mergeCell ref="C50:Q52"/>
    <mergeCell ref="C53:C54"/>
    <mergeCell ref="D53:D54"/>
    <mergeCell ref="G6:G7"/>
    <mergeCell ref="H6:H7"/>
    <mergeCell ref="C3:Q5"/>
    <mergeCell ref="C6:C7"/>
    <mergeCell ref="D6:D7"/>
    <mergeCell ref="A50:A54"/>
    <mergeCell ref="B50:B54"/>
    <mergeCell ref="W6:W7"/>
    <mergeCell ref="V6:V7"/>
    <mergeCell ref="AB6:AB7"/>
    <mergeCell ref="Y6:Y7"/>
    <mergeCell ref="W53:W54"/>
    <mergeCell ref="AG50:AG54"/>
    <mergeCell ref="Y4:AB4"/>
    <mergeCell ref="R5:U5"/>
    <mergeCell ref="AG49:BQ49"/>
    <mergeCell ref="AQ6:AV6"/>
    <mergeCell ref="V5:X5"/>
    <mergeCell ref="AC6:AC7"/>
    <mergeCell ref="Y5:AB5"/>
    <mergeCell ref="AE6:AE7"/>
    <mergeCell ref="R6:R7"/>
    <mergeCell ref="Y51:AB51"/>
    <mergeCell ref="Y50:AE50"/>
    <mergeCell ref="Y52:AB52"/>
    <mergeCell ref="AD53:AD54"/>
    <mergeCell ref="AF50:AF54"/>
    <mergeCell ref="AC52:AE52"/>
    <mergeCell ref="A98:AH98"/>
    <mergeCell ref="AG2:BQ2"/>
    <mergeCell ref="AC4:AE4"/>
    <mergeCell ref="AD6:AD7"/>
    <mergeCell ref="AG3:AG7"/>
    <mergeCell ref="AH3:AH7"/>
    <mergeCell ref="AC5:AE5"/>
    <mergeCell ref="AK6:AN6"/>
    <mergeCell ref="T53:T54"/>
    <mergeCell ref="S53:S54"/>
    <mergeCell ref="AH50:AH54"/>
    <mergeCell ref="AE53:AE54"/>
    <mergeCell ref="Z6:Z7"/>
    <mergeCell ref="AA6:AA7"/>
    <mergeCell ref="AF3:AF7"/>
    <mergeCell ref="Y3:AE3"/>
    <mergeCell ref="AC51:AE51"/>
    <mergeCell ref="AC53:AC54"/>
    <mergeCell ref="AB53:AB54"/>
    <mergeCell ref="G53:G54"/>
    <mergeCell ref="R51:U51"/>
    <mergeCell ref="AA53:AA54"/>
    <mergeCell ref="V52:X52"/>
    <mergeCell ref="V53:V54"/>
    <mergeCell ref="Z53:Z54"/>
    <mergeCell ref="Y53:Y54"/>
    <mergeCell ref="R52:U52"/>
    <mergeCell ref="X53:X54"/>
  </mergeCells>
  <phoneticPr fontId="7" type="noConversion"/>
  <printOptions horizontalCentered="1"/>
  <pageMargins left="0" right="0" top="0.47244094488188981" bottom="0" header="0" footer="0"/>
  <pageSetup paperSize="9" scale="44" orientation="landscape" r:id="rId1"/>
  <headerFooter alignWithMargins="0"/>
  <rowBreaks count="1" manualBreakCount="1">
    <brk id="47" max="2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24</vt:i4>
      </vt:variant>
      <vt:variant>
        <vt:lpstr>Adlandırılmış Aralıklar</vt:lpstr>
      </vt:variant>
      <vt:variant>
        <vt:i4>24</vt:i4>
      </vt:variant>
    </vt:vector>
  </HeadingPairs>
  <TitlesOfParts>
    <vt:vector size="48" baseType="lpstr">
      <vt:lpstr>İÇİNDEKİLER</vt:lpstr>
      <vt:lpstr>1.Personel Durumu</vt:lpstr>
      <vt:lpstr>2.-3-4.Personelegitim</vt:lpstr>
      <vt:lpstr>5.AYLARA GÖRE SİGORTALILAR</vt:lpstr>
      <vt:lpstr>6.SOSYAL GÜVENLİK KAPSAMI</vt:lpstr>
      <vt:lpstr>7.4-a Sigortalı Sayıları</vt:lpstr>
      <vt:lpstr>8.4-b Sigortalı Sayıları</vt:lpstr>
      <vt:lpstr>9.4-c Sigortalı Sayıları</vt:lpstr>
      <vt:lpstr>10.4-a İL DAĞILIM</vt:lpstr>
      <vt:lpstr>11.4-b-İL-ESNAF</vt:lpstr>
      <vt:lpstr>12.4-b-İL-TARIM</vt:lpstr>
      <vt:lpstr>13-4-b İL-CİNSİYET</vt:lpstr>
      <vt:lpstr>14.4-c İL</vt:lpstr>
      <vt:lpstr>15-Diğer Primsizler</vt:lpstr>
      <vt:lpstr>16-SGK Tahsis </vt:lpstr>
      <vt:lpstr>17-4-a Faliyet Kol</vt:lpstr>
      <vt:lpstr>18-4-a İşyeri Say.</vt:lpstr>
      <vt:lpstr>19-4-a Faliyet İşyeri</vt:lpstr>
      <vt:lpstr>20-4-a Faliyet Sigortalı</vt:lpstr>
      <vt:lpstr>21-4-a İl İşyeri</vt:lpstr>
      <vt:lpstr>22-4-a İl Sigortalı</vt:lpstr>
      <vt:lpstr>23-İL-EMOD-Öncelikli Yaşam</vt:lpstr>
      <vt:lpstr>24. idari para cezaları</vt:lpstr>
      <vt:lpstr>20-4-a Faliyet Sigortalı (2)</vt:lpstr>
      <vt:lpstr>'1.Personel Durumu'!Yazdırma_Alanı</vt:lpstr>
      <vt:lpstr>'10.4-a İL DAĞILIM'!Yazdırma_Alanı</vt:lpstr>
      <vt:lpstr>'11.4-b-İL-ESNAF'!Yazdırma_Alanı</vt:lpstr>
      <vt:lpstr>'12.4-b-İL-TARIM'!Yazdırma_Alanı</vt:lpstr>
      <vt:lpstr>'13-4-b İL-CİNSİYET'!Yazdırma_Alanı</vt:lpstr>
      <vt:lpstr>'14.4-c İL'!Yazdırma_Alanı</vt:lpstr>
      <vt:lpstr>'15-Diğer Primsizler'!Yazdırma_Alanı</vt:lpstr>
      <vt:lpstr>'16-SGK Tahsis '!Yazdırma_Alanı</vt:lpstr>
      <vt:lpstr>'17-4-a Faliyet Kol'!Yazdırma_Alanı</vt:lpstr>
      <vt:lpstr>'18-4-a İşyeri Say.'!Yazdırma_Alanı</vt:lpstr>
      <vt:lpstr>'19-4-a Faliyet İşyeri'!Yazdırma_Alanı</vt:lpstr>
      <vt:lpstr>'2.-3-4.Personelegitim'!Yazdırma_Alanı</vt:lpstr>
      <vt:lpstr>'20-4-a Faliyet Sigortalı'!Yazdırma_Alanı</vt:lpstr>
      <vt:lpstr>'20-4-a Faliyet Sigortalı (2)'!Yazdırma_Alanı</vt:lpstr>
      <vt:lpstr>'21-4-a İl İşyeri'!Yazdırma_Alanı</vt:lpstr>
      <vt:lpstr>'22-4-a İl Sigortalı'!Yazdırma_Alanı</vt:lpstr>
      <vt:lpstr>'23-İL-EMOD-Öncelikli Yaşam'!Yazdırma_Alanı</vt:lpstr>
      <vt:lpstr>'24. idari para cezaları'!Yazdırma_Alanı</vt:lpstr>
      <vt:lpstr>'5.AYLARA GÖRE SİGORTALILAR'!Yazdırma_Alanı</vt:lpstr>
      <vt:lpstr>'6.SOSYAL GÜVENLİK KAPSAMI'!Yazdırma_Alanı</vt:lpstr>
      <vt:lpstr>'7.4-a Sigortalı Sayıları'!Yazdırma_Alanı</vt:lpstr>
      <vt:lpstr>'8.4-b Sigortalı Sayıları'!Yazdırma_Alanı</vt:lpstr>
      <vt:lpstr>'9.4-c Sigortalı Sayıları'!Yazdırma_Alanı</vt:lpstr>
      <vt:lpstr>İÇİNDEKİLER!Yazdırma_Alanı</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MUHAMMED FATIH TUZEN</dc:creator>
  <cp:lastModifiedBy>ZELIHA AKTAR</cp:lastModifiedBy>
  <cp:lastPrinted>2017-07-19T06:44:30Z</cp:lastPrinted>
  <dcterms:created xsi:type="dcterms:W3CDTF">2001-06-01T10:55:13Z</dcterms:created>
  <dcterms:modified xsi:type="dcterms:W3CDTF">2018-11-26T13:52:44Z</dcterms:modified>
</cp:coreProperties>
</file>