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84637\Desktop\"/>
    </mc:Choice>
  </mc:AlternateContent>
  <xr:revisionPtr revIDLastSave="0" documentId="13_ncr:1_{EE3232C6-B168-41BD-A952-77B636E98EA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7" i="1" l="1"/>
  <c r="P67" i="1"/>
  <c r="O67" i="1"/>
  <c r="N67" i="1"/>
  <c r="M67" i="1"/>
  <c r="L67" i="1"/>
  <c r="K67" i="1"/>
  <c r="H67" i="1"/>
  <c r="G67" i="1"/>
  <c r="F67" i="1"/>
  <c r="E67" i="1"/>
  <c r="D67" i="1"/>
  <c r="C67" i="1"/>
  <c r="B67" i="1"/>
  <c r="Q66" i="1"/>
  <c r="P66" i="1"/>
  <c r="O66" i="1"/>
  <c r="N66" i="1"/>
  <c r="M66" i="1"/>
  <c r="L66" i="1"/>
  <c r="K66" i="1"/>
  <c r="H66" i="1"/>
  <c r="G66" i="1"/>
  <c r="F66" i="1"/>
  <c r="E66" i="1"/>
  <c r="D66" i="1"/>
  <c r="C66" i="1"/>
  <c r="B66" i="1"/>
  <c r="Q65" i="1"/>
  <c r="P65" i="1"/>
  <c r="O65" i="1"/>
  <c r="N65" i="1"/>
  <c r="M65" i="1"/>
  <c r="L65" i="1"/>
  <c r="K65" i="1"/>
  <c r="H65" i="1"/>
  <c r="G65" i="1"/>
  <c r="F65" i="1"/>
  <c r="E65" i="1"/>
  <c r="D65" i="1"/>
  <c r="C65" i="1"/>
  <c r="B65" i="1"/>
  <c r="Q64" i="1"/>
  <c r="P64" i="1"/>
  <c r="O64" i="1"/>
  <c r="N64" i="1"/>
  <c r="M64" i="1"/>
  <c r="L64" i="1"/>
  <c r="K64" i="1"/>
  <c r="H64" i="1"/>
  <c r="G64" i="1"/>
  <c r="F64" i="1"/>
  <c r="E64" i="1"/>
  <c r="D64" i="1"/>
  <c r="C64" i="1"/>
  <c r="B64" i="1"/>
  <c r="Q63" i="1"/>
  <c r="P63" i="1"/>
  <c r="O63" i="1"/>
  <c r="N63" i="1"/>
  <c r="M63" i="1"/>
  <c r="L63" i="1"/>
  <c r="K63" i="1"/>
  <c r="H63" i="1"/>
  <c r="G63" i="1"/>
  <c r="F63" i="1"/>
  <c r="E63" i="1"/>
  <c r="D63" i="1"/>
  <c r="C63" i="1"/>
  <c r="B63" i="1"/>
  <c r="Q62" i="1"/>
  <c r="P62" i="1"/>
  <c r="O62" i="1"/>
  <c r="N62" i="1"/>
  <c r="M62" i="1"/>
  <c r="L62" i="1"/>
  <c r="K62" i="1"/>
  <c r="H62" i="1"/>
  <c r="G62" i="1"/>
  <c r="F62" i="1"/>
  <c r="E62" i="1"/>
  <c r="D62" i="1"/>
  <c r="C62" i="1"/>
  <c r="B62" i="1"/>
  <c r="Q61" i="1"/>
  <c r="P61" i="1"/>
  <c r="O61" i="1"/>
  <c r="N61" i="1"/>
  <c r="M61" i="1"/>
  <c r="L61" i="1"/>
  <c r="K61" i="1"/>
  <c r="H61" i="1"/>
  <c r="G61" i="1"/>
  <c r="F61" i="1"/>
  <c r="E61" i="1"/>
  <c r="D61" i="1"/>
  <c r="C61" i="1"/>
  <c r="B61" i="1"/>
  <c r="Q60" i="1"/>
  <c r="P60" i="1"/>
  <c r="O60" i="1"/>
  <c r="N60" i="1"/>
  <c r="M60" i="1"/>
  <c r="L60" i="1"/>
  <c r="K60" i="1"/>
  <c r="H60" i="1"/>
  <c r="G60" i="1"/>
  <c r="F60" i="1"/>
  <c r="E60" i="1"/>
  <c r="D60" i="1"/>
  <c r="C60" i="1"/>
  <c r="B60" i="1"/>
  <c r="Q59" i="1"/>
  <c r="P59" i="1"/>
  <c r="O59" i="1"/>
  <c r="N59" i="1"/>
  <c r="M59" i="1"/>
  <c r="L59" i="1"/>
  <c r="K59" i="1"/>
  <c r="H59" i="1"/>
  <c r="G59" i="1"/>
  <c r="F59" i="1"/>
  <c r="E59" i="1"/>
  <c r="D59" i="1"/>
  <c r="C59" i="1"/>
  <c r="B59" i="1"/>
  <c r="Q58" i="1"/>
  <c r="P58" i="1"/>
  <c r="O58" i="1"/>
  <c r="N58" i="1"/>
  <c r="M58" i="1"/>
  <c r="L58" i="1"/>
  <c r="K58" i="1"/>
  <c r="H58" i="1"/>
  <c r="G58" i="1"/>
  <c r="F58" i="1"/>
  <c r="E58" i="1"/>
  <c r="D58" i="1"/>
  <c r="C58" i="1"/>
  <c r="B58" i="1"/>
  <c r="Q57" i="1"/>
  <c r="P57" i="1"/>
  <c r="O57" i="1"/>
  <c r="N57" i="1"/>
  <c r="M57" i="1"/>
  <c r="L57" i="1"/>
  <c r="K57" i="1"/>
  <c r="H57" i="1"/>
  <c r="G57" i="1"/>
  <c r="F57" i="1"/>
  <c r="E57" i="1"/>
  <c r="D57" i="1"/>
  <c r="C57" i="1"/>
  <c r="B57" i="1"/>
  <c r="Q56" i="1"/>
  <c r="P56" i="1"/>
  <c r="O56" i="1"/>
  <c r="N56" i="1"/>
  <c r="M56" i="1"/>
  <c r="L56" i="1"/>
  <c r="K56" i="1"/>
  <c r="H56" i="1"/>
  <c r="G56" i="1"/>
  <c r="F56" i="1"/>
  <c r="E56" i="1"/>
  <c r="D56" i="1"/>
  <c r="C56" i="1"/>
  <c r="B56" i="1"/>
  <c r="Q55" i="1"/>
  <c r="P55" i="1"/>
  <c r="O55" i="1"/>
  <c r="N55" i="1"/>
  <c r="M55" i="1"/>
  <c r="L55" i="1"/>
  <c r="K55" i="1"/>
  <c r="H55" i="1"/>
  <c r="G55" i="1"/>
  <c r="F55" i="1"/>
  <c r="E55" i="1"/>
  <c r="D55" i="1"/>
  <c r="C55" i="1"/>
  <c r="B55" i="1"/>
  <c r="Q54" i="1"/>
  <c r="P54" i="1"/>
  <c r="O54" i="1"/>
  <c r="N54" i="1"/>
  <c r="M54" i="1"/>
  <c r="L54" i="1"/>
  <c r="K54" i="1"/>
  <c r="H54" i="1"/>
  <c r="G54" i="1"/>
  <c r="F54" i="1"/>
  <c r="E54" i="1"/>
  <c r="D54" i="1"/>
  <c r="C54" i="1"/>
  <c r="B54" i="1"/>
  <c r="Q53" i="1"/>
  <c r="P53" i="1"/>
  <c r="O53" i="1"/>
  <c r="N53" i="1"/>
  <c r="M53" i="1"/>
  <c r="L53" i="1"/>
  <c r="K53" i="1"/>
  <c r="H53" i="1"/>
  <c r="G53" i="1"/>
  <c r="F53" i="1"/>
  <c r="E53" i="1"/>
  <c r="D53" i="1"/>
  <c r="C53" i="1"/>
  <c r="B53" i="1"/>
  <c r="Q52" i="1"/>
  <c r="P52" i="1"/>
  <c r="O52" i="1"/>
  <c r="N52" i="1"/>
  <c r="M52" i="1"/>
  <c r="L52" i="1"/>
  <c r="K52" i="1"/>
  <c r="H52" i="1"/>
  <c r="G52" i="1"/>
  <c r="F52" i="1"/>
  <c r="E52" i="1"/>
  <c r="D52" i="1"/>
  <c r="C52" i="1"/>
  <c r="B52" i="1"/>
  <c r="Q50" i="1"/>
  <c r="P50" i="1"/>
  <c r="O50" i="1"/>
  <c r="N50" i="1"/>
  <c r="M50" i="1"/>
  <c r="L50" i="1"/>
  <c r="K50" i="1"/>
  <c r="H50" i="1"/>
  <c r="G50" i="1"/>
  <c r="F50" i="1"/>
  <c r="E50" i="1"/>
  <c r="D50" i="1"/>
  <c r="C50" i="1"/>
  <c r="B50" i="1"/>
  <c r="Q49" i="1"/>
  <c r="P49" i="1"/>
  <c r="O49" i="1"/>
  <c r="N49" i="1"/>
  <c r="M49" i="1"/>
  <c r="L49" i="1"/>
  <c r="K49" i="1"/>
  <c r="H49" i="1"/>
  <c r="G49" i="1"/>
  <c r="F49" i="1"/>
  <c r="E49" i="1"/>
  <c r="D49" i="1"/>
  <c r="C49" i="1"/>
  <c r="B49" i="1"/>
  <c r="Q48" i="1"/>
  <c r="P48" i="1"/>
  <c r="O48" i="1"/>
  <c r="N48" i="1"/>
  <c r="M48" i="1"/>
  <c r="L48" i="1"/>
  <c r="K48" i="1"/>
  <c r="H48" i="1"/>
  <c r="G48" i="1"/>
  <c r="F48" i="1"/>
  <c r="E48" i="1"/>
  <c r="D48" i="1"/>
  <c r="C48" i="1"/>
  <c r="B48" i="1"/>
  <c r="Q47" i="1"/>
  <c r="P47" i="1"/>
  <c r="O47" i="1"/>
  <c r="N47" i="1"/>
  <c r="M47" i="1"/>
  <c r="L47" i="1"/>
  <c r="K47" i="1"/>
  <c r="H47" i="1"/>
  <c r="G47" i="1"/>
  <c r="F47" i="1"/>
  <c r="E47" i="1"/>
  <c r="D47" i="1"/>
  <c r="C47" i="1"/>
  <c r="B47" i="1"/>
  <c r="Q46" i="1"/>
  <c r="P46" i="1"/>
  <c r="O46" i="1"/>
  <c r="N46" i="1"/>
  <c r="M46" i="1"/>
  <c r="L46" i="1"/>
  <c r="K46" i="1"/>
  <c r="H46" i="1"/>
  <c r="G46" i="1"/>
  <c r="F46" i="1"/>
  <c r="E46" i="1"/>
  <c r="D46" i="1"/>
  <c r="C46" i="1"/>
  <c r="B46" i="1"/>
  <c r="Q45" i="1"/>
  <c r="P45" i="1"/>
  <c r="O45" i="1"/>
  <c r="N45" i="1"/>
  <c r="M45" i="1"/>
  <c r="L45" i="1"/>
  <c r="K45" i="1"/>
  <c r="H45" i="1"/>
  <c r="G45" i="1"/>
  <c r="F45" i="1"/>
  <c r="E45" i="1"/>
  <c r="D45" i="1"/>
  <c r="C45" i="1"/>
  <c r="B45" i="1"/>
  <c r="Q44" i="1"/>
  <c r="P44" i="1"/>
  <c r="O44" i="1"/>
  <c r="N44" i="1"/>
  <c r="M44" i="1"/>
  <c r="L44" i="1"/>
  <c r="K44" i="1"/>
  <c r="H44" i="1"/>
  <c r="G44" i="1"/>
  <c r="F44" i="1"/>
  <c r="E44" i="1"/>
  <c r="D44" i="1"/>
  <c r="C44" i="1"/>
  <c r="B44" i="1"/>
  <c r="Q43" i="1"/>
  <c r="P43" i="1"/>
  <c r="O43" i="1"/>
  <c r="N43" i="1"/>
  <c r="M43" i="1"/>
  <c r="L43" i="1"/>
  <c r="K43" i="1"/>
  <c r="H43" i="1"/>
  <c r="G43" i="1"/>
  <c r="F43" i="1"/>
  <c r="E43" i="1"/>
  <c r="D43" i="1"/>
  <c r="C43" i="1"/>
  <c r="B43" i="1"/>
  <c r="Q42" i="1"/>
  <c r="P42" i="1"/>
  <c r="O42" i="1"/>
  <c r="N42" i="1"/>
  <c r="M42" i="1"/>
  <c r="L42" i="1"/>
  <c r="K42" i="1"/>
  <c r="H42" i="1"/>
  <c r="G42" i="1"/>
  <c r="F42" i="1"/>
  <c r="E42" i="1"/>
  <c r="D42" i="1"/>
  <c r="C42" i="1"/>
  <c r="B42" i="1"/>
  <c r="Q41" i="1"/>
  <c r="P41" i="1"/>
  <c r="O41" i="1"/>
  <c r="N41" i="1"/>
  <c r="M41" i="1"/>
  <c r="L41" i="1"/>
  <c r="K41" i="1"/>
  <c r="H41" i="1"/>
  <c r="G41" i="1"/>
  <c r="F41" i="1"/>
  <c r="E41" i="1"/>
  <c r="D41" i="1"/>
  <c r="C41" i="1"/>
  <c r="B41" i="1"/>
  <c r="Q40" i="1"/>
  <c r="P40" i="1"/>
  <c r="O40" i="1"/>
  <c r="N40" i="1"/>
  <c r="M40" i="1"/>
  <c r="L40" i="1"/>
  <c r="K40" i="1"/>
  <c r="H40" i="1"/>
  <c r="G40" i="1"/>
  <c r="F40" i="1"/>
  <c r="E40" i="1"/>
  <c r="D40" i="1"/>
  <c r="C40" i="1"/>
  <c r="B40" i="1"/>
  <c r="Q39" i="1"/>
  <c r="P39" i="1"/>
  <c r="O39" i="1"/>
  <c r="N39" i="1"/>
  <c r="M39" i="1"/>
  <c r="L39" i="1"/>
  <c r="K39" i="1"/>
  <c r="H39" i="1"/>
  <c r="G39" i="1"/>
  <c r="F39" i="1"/>
  <c r="E39" i="1"/>
  <c r="D39" i="1"/>
  <c r="C39" i="1"/>
  <c r="B39" i="1"/>
  <c r="Q38" i="1"/>
  <c r="P38" i="1"/>
  <c r="O38" i="1"/>
  <c r="N38" i="1"/>
  <c r="M38" i="1"/>
  <c r="L38" i="1"/>
  <c r="K38" i="1"/>
  <c r="H38" i="1"/>
  <c r="G38" i="1"/>
  <c r="F38" i="1"/>
  <c r="E38" i="1"/>
  <c r="D38" i="1"/>
  <c r="C38" i="1"/>
  <c r="B38" i="1"/>
  <c r="Q37" i="1"/>
  <c r="P37" i="1"/>
  <c r="O37" i="1"/>
  <c r="N37" i="1"/>
  <c r="M37" i="1"/>
  <c r="L37" i="1"/>
  <c r="K37" i="1"/>
  <c r="H37" i="1"/>
  <c r="G37" i="1"/>
  <c r="F37" i="1"/>
  <c r="E37" i="1"/>
  <c r="D37" i="1"/>
  <c r="C37" i="1"/>
  <c r="B37" i="1"/>
  <c r="Q36" i="1"/>
  <c r="P36" i="1"/>
  <c r="O36" i="1"/>
  <c r="N36" i="1"/>
  <c r="M36" i="1"/>
  <c r="L36" i="1"/>
  <c r="K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H34" i="1"/>
  <c r="G34" i="1"/>
  <c r="F34" i="1"/>
  <c r="E34" i="1"/>
  <c r="D34" i="1"/>
  <c r="C34" i="1"/>
  <c r="B34" i="1"/>
  <c r="Q32" i="1"/>
  <c r="P32" i="1"/>
  <c r="O32" i="1"/>
  <c r="N32" i="1"/>
  <c r="M32" i="1"/>
  <c r="L32" i="1"/>
  <c r="K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H28" i="1"/>
  <c r="G28" i="1"/>
  <c r="F28" i="1"/>
  <c r="E28" i="1"/>
  <c r="D28" i="1"/>
  <c r="C28" i="1"/>
  <c r="B28" i="1"/>
  <c r="Q27" i="1"/>
  <c r="P27" i="1"/>
  <c r="O27" i="1"/>
  <c r="N27" i="1"/>
  <c r="M27" i="1"/>
  <c r="L27" i="1"/>
  <c r="K27" i="1"/>
  <c r="H27" i="1"/>
  <c r="G27" i="1"/>
  <c r="F27" i="1"/>
  <c r="E27" i="1"/>
  <c r="D27" i="1"/>
  <c r="C27" i="1"/>
  <c r="B27" i="1"/>
  <c r="Q26" i="1"/>
  <c r="P26" i="1"/>
  <c r="O26" i="1"/>
  <c r="N26" i="1"/>
  <c r="M26" i="1"/>
  <c r="L26" i="1"/>
  <c r="K26" i="1"/>
  <c r="H26" i="1"/>
  <c r="G26" i="1"/>
  <c r="F26" i="1"/>
  <c r="E26" i="1"/>
  <c r="D26" i="1"/>
  <c r="C26" i="1"/>
  <c r="B26" i="1"/>
  <c r="Q25" i="1"/>
  <c r="P25" i="1"/>
  <c r="O25" i="1"/>
  <c r="N25" i="1"/>
  <c r="M25" i="1"/>
  <c r="L25" i="1"/>
  <c r="K25" i="1"/>
  <c r="H25" i="1"/>
  <c r="G25" i="1"/>
  <c r="F25" i="1"/>
  <c r="E25" i="1"/>
  <c r="D25" i="1"/>
  <c r="C25" i="1"/>
  <c r="B25" i="1"/>
  <c r="Q24" i="1"/>
  <c r="P24" i="1"/>
  <c r="O24" i="1"/>
  <c r="N24" i="1"/>
  <c r="M24" i="1"/>
  <c r="L24" i="1"/>
  <c r="K24" i="1"/>
  <c r="H24" i="1"/>
  <c r="G24" i="1"/>
  <c r="F24" i="1"/>
  <c r="E24" i="1"/>
  <c r="D24" i="1"/>
  <c r="C24" i="1"/>
  <c r="B24" i="1"/>
  <c r="Q23" i="1"/>
  <c r="P23" i="1"/>
  <c r="O23" i="1"/>
  <c r="N23" i="1"/>
  <c r="M23" i="1"/>
  <c r="L23" i="1"/>
  <c r="K23" i="1"/>
  <c r="H23" i="1"/>
  <c r="G23" i="1"/>
  <c r="F23" i="1"/>
  <c r="E23" i="1"/>
  <c r="D23" i="1"/>
  <c r="C23" i="1"/>
  <c r="B23" i="1"/>
  <c r="Q22" i="1"/>
  <c r="P22" i="1"/>
  <c r="O22" i="1"/>
  <c r="N22" i="1"/>
  <c r="M22" i="1"/>
  <c r="L22" i="1"/>
  <c r="K22" i="1"/>
  <c r="H22" i="1"/>
  <c r="G22" i="1"/>
  <c r="F22" i="1"/>
  <c r="E22" i="1"/>
  <c r="D22" i="1"/>
  <c r="C22" i="1"/>
  <c r="B22" i="1"/>
  <c r="Q21" i="1"/>
  <c r="P21" i="1"/>
  <c r="O21" i="1"/>
  <c r="N21" i="1"/>
  <c r="M21" i="1"/>
  <c r="L21" i="1"/>
  <c r="K21" i="1"/>
  <c r="H21" i="1"/>
  <c r="G21" i="1"/>
  <c r="F21" i="1"/>
  <c r="E21" i="1"/>
  <c r="D21" i="1"/>
  <c r="C21" i="1"/>
  <c r="B21" i="1"/>
  <c r="Q20" i="1"/>
  <c r="P20" i="1"/>
  <c r="O20" i="1"/>
  <c r="N20" i="1"/>
  <c r="M20" i="1"/>
  <c r="L20" i="1"/>
  <c r="K20" i="1"/>
  <c r="H20" i="1"/>
  <c r="G20" i="1"/>
  <c r="F20" i="1"/>
  <c r="E20" i="1"/>
  <c r="D20" i="1"/>
  <c r="C20" i="1"/>
  <c r="B20" i="1"/>
  <c r="Q18" i="1"/>
  <c r="P18" i="1"/>
  <c r="O18" i="1"/>
  <c r="N18" i="1"/>
  <c r="M18" i="1"/>
  <c r="L18" i="1"/>
  <c r="K18" i="1"/>
  <c r="H18" i="1"/>
  <c r="G18" i="1"/>
  <c r="F18" i="1"/>
  <c r="E18" i="1"/>
  <c r="D18" i="1"/>
  <c r="C18" i="1"/>
  <c r="B18" i="1"/>
  <c r="Q17" i="1"/>
  <c r="P17" i="1"/>
  <c r="O17" i="1"/>
  <c r="N17" i="1"/>
  <c r="M17" i="1"/>
  <c r="L17" i="1"/>
  <c r="K17" i="1"/>
  <c r="H17" i="1"/>
  <c r="G17" i="1"/>
  <c r="F17" i="1"/>
  <c r="E17" i="1"/>
  <c r="D17" i="1"/>
  <c r="C17" i="1"/>
  <c r="B17" i="1"/>
  <c r="Q16" i="1"/>
  <c r="P16" i="1"/>
  <c r="O16" i="1"/>
  <c r="N16" i="1"/>
  <c r="M16" i="1"/>
  <c r="L16" i="1"/>
  <c r="K16" i="1"/>
  <c r="H16" i="1"/>
  <c r="G16" i="1"/>
  <c r="F16" i="1"/>
  <c r="E16" i="1"/>
  <c r="D16" i="1"/>
  <c r="C16" i="1"/>
  <c r="B16" i="1"/>
  <c r="Q15" i="1"/>
  <c r="P15" i="1"/>
  <c r="O15" i="1"/>
  <c r="N15" i="1"/>
  <c r="M15" i="1"/>
  <c r="L15" i="1"/>
  <c r="K15" i="1"/>
  <c r="H15" i="1"/>
  <c r="G15" i="1"/>
  <c r="F15" i="1"/>
  <c r="E15" i="1"/>
  <c r="D15" i="1"/>
  <c r="C15" i="1"/>
  <c r="B15" i="1"/>
  <c r="Q14" i="1"/>
  <c r="P14" i="1"/>
  <c r="O14" i="1"/>
  <c r="N14" i="1"/>
  <c r="M14" i="1"/>
  <c r="L14" i="1"/>
  <c r="K14" i="1"/>
  <c r="H14" i="1"/>
  <c r="G14" i="1"/>
  <c r="F14" i="1"/>
  <c r="E14" i="1"/>
  <c r="D14" i="1"/>
  <c r="C14" i="1"/>
  <c r="B14" i="1"/>
  <c r="Q13" i="1"/>
  <c r="P13" i="1"/>
  <c r="O13" i="1"/>
  <c r="N13" i="1"/>
  <c r="M13" i="1"/>
  <c r="L13" i="1"/>
  <c r="K13" i="1"/>
  <c r="H13" i="1"/>
  <c r="G13" i="1"/>
  <c r="F13" i="1"/>
  <c r="E13" i="1"/>
  <c r="D13" i="1"/>
  <c r="C13" i="1"/>
  <c r="B13" i="1"/>
  <c r="Q12" i="1"/>
  <c r="P12" i="1"/>
  <c r="O12" i="1"/>
  <c r="N12" i="1"/>
  <c r="M12" i="1"/>
  <c r="L12" i="1"/>
  <c r="K12" i="1"/>
  <c r="H12" i="1"/>
  <c r="G12" i="1"/>
  <c r="F12" i="1"/>
  <c r="E12" i="1"/>
  <c r="D12" i="1"/>
  <c r="C12" i="1"/>
  <c r="B12" i="1"/>
  <c r="Q11" i="1"/>
  <c r="P11" i="1"/>
  <c r="O11" i="1"/>
  <c r="N11" i="1"/>
  <c r="M11" i="1"/>
  <c r="L11" i="1"/>
  <c r="K11" i="1"/>
  <c r="H11" i="1"/>
  <c r="G11" i="1"/>
  <c r="F11" i="1"/>
  <c r="E11" i="1"/>
  <c r="D11" i="1"/>
  <c r="C11" i="1"/>
  <c r="B11" i="1"/>
  <c r="Q10" i="1"/>
  <c r="P10" i="1"/>
  <c r="O10" i="1"/>
  <c r="N10" i="1"/>
  <c r="M10" i="1"/>
  <c r="L10" i="1"/>
  <c r="K10" i="1"/>
  <c r="H10" i="1"/>
  <c r="G10" i="1"/>
  <c r="F10" i="1"/>
  <c r="E10" i="1"/>
  <c r="D10" i="1"/>
  <c r="C10" i="1"/>
  <c r="B10" i="1"/>
  <c r="Q9" i="1"/>
  <c r="P9" i="1"/>
  <c r="O9" i="1"/>
  <c r="N9" i="1"/>
  <c r="M9" i="1"/>
  <c r="L9" i="1"/>
  <c r="K9" i="1"/>
  <c r="H9" i="1"/>
  <c r="G9" i="1"/>
  <c r="F9" i="1"/>
  <c r="E9" i="1"/>
  <c r="D9" i="1"/>
  <c r="C9" i="1"/>
  <c r="B9" i="1"/>
  <c r="Q8" i="1"/>
  <c r="P8" i="1"/>
  <c r="O8" i="1"/>
  <c r="N8" i="1"/>
  <c r="M8" i="1"/>
  <c r="L8" i="1"/>
  <c r="K8" i="1"/>
  <c r="H8" i="1"/>
  <c r="G8" i="1"/>
  <c r="F8" i="1"/>
  <c r="E8" i="1"/>
  <c r="D8" i="1"/>
  <c r="C8" i="1"/>
  <c r="B8" i="1"/>
  <c r="Q7" i="1"/>
  <c r="P7" i="1"/>
  <c r="O7" i="1"/>
  <c r="N7" i="1"/>
  <c r="M7" i="1"/>
  <c r="L7" i="1"/>
  <c r="K7" i="1"/>
  <c r="H7" i="1"/>
  <c r="G7" i="1"/>
  <c r="F7" i="1"/>
  <c r="E7" i="1"/>
  <c r="D7" i="1"/>
  <c r="C7" i="1"/>
  <c r="B7" i="1"/>
  <c r="Q6" i="1"/>
  <c r="P6" i="1"/>
  <c r="O6" i="1"/>
  <c r="N6" i="1"/>
  <c r="M6" i="1"/>
  <c r="L6" i="1"/>
  <c r="K6" i="1"/>
  <c r="H6" i="1"/>
  <c r="G6" i="1"/>
  <c r="F6" i="1"/>
  <c r="E6" i="1"/>
  <c r="D6" i="1"/>
  <c r="C6" i="1"/>
  <c r="B6" i="1"/>
  <c r="Q5" i="1"/>
  <c r="P5" i="1"/>
  <c r="O5" i="1"/>
  <c r="N5" i="1"/>
  <c r="M5" i="1"/>
  <c r="L5" i="1"/>
  <c r="K5" i="1"/>
  <c r="H5" i="1"/>
  <c r="G5" i="1"/>
  <c r="F5" i="1"/>
  <c r="E5" i="1"/>
  <c r="D5" i="1"/>
  <c r="C5" i="1"/>
  <c r="B5" i="1"/>
  <c r="Q4" i="1"/>
  <c r="P4" i="1"/>
  <c r="O4" i="1"/>
  <c r="N4" i="1"/>
  <c r="M4" i="1"/>
  <c r="L4" i="1"/>
  <c r="K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<sst xmlns="http://schemas.openxmlformats.org/spreadsheetml/2006/main" count="146" uniqueCount="138">
  <si>
    <t>认购</t>
  </si>
  <si>
    <t>行权价</t>
  </si>
  <si>
    <t>认沽</t>
  </si>
  <si>
    <t>代码</t>
  </si>
  <si>
    <t>最新价</t>
  </si>
  <si>
    <t>涨跌</t>
  </si>
  <si>
    <t>涨跌幅</t>
  </si>
  <si>
    <t>成交量</t>
  </si>
  <si>
    <t>持仓量</t>
  </si>
  <si>
    <t>IV</t>
  </si>
  <si>
    <t>IV涨跌幅</t>
  </si>
  <si>
    <t>2022年07月(到期日2022-07-27;剩余2个自然日、2个交易日;合约乘数10000)</t>
  </si>
  <si>
    <t>10004281.SH</t>
  </si>
  <si>
    <t>10004290.SH</t>
  </si>
  <si>
    <t>10004282.SH</t>
  </si>
  <si>
    <t>10004291.SH</t>
  </si>
  <si>
    <t>10004283.SH</t>
  </si>
  <si>
    <t>10004292.SH</t>
  </si>
  <si>
    <t>10004284.SH</t>
  </si>
  <si>
    <t>10004293.SH</t>
  </si>
  <si>
    <t>10004285.SH</t>
  </si>
  <si>
    <t>10004294.SH</t>
  </si>
  <si>
    <t>10004286.SH</t>
  </si>
  <si>
    <t>10004295.SH</t>
  </si>
  <si>
    <t>10004287.SH</t>
  </si>
  <si>
    <t>10004296.SH</t>
  </si>
  <si>
    <t>10004288.SH</t>
  </si>
  <si>
    <t>10004297.SH</t>
  </si>
  <si>
    <t>10004289.SH</t>
  </si>
  <si>
    <t>10004298.SH</t>
  </si>
  <si>
    <t>10004317.SH</t>
  </si>
  <si>
    <t>10004318.SH</t>
  </si>
  <si>
    <t>10004325.SH</t>
  </si>
  <si>
    <t>10004326.SH</t>
  </si>
  <si>
    <t>10004329.SH</t>
  </si>
  <si>
    <t>10004330.SH</t>
  </si>
  <si>
    <t>10004337.SH</t>
  </si>
  <si>
    <t>10004338.SH</t>
  </si>
  <si>
    <t>10004385.SH</t>
  </si>
  <si>
    <t>10004386.SH</t>
  </si>
  <si>
    <t>10004397.SH</t>
  </si>
  <si>
    <t>10004398.SH</t>
  </si>
  <si>
    <t>2022年08月(到期日2022-08-24;剩余30个自然日、22个交易日;合约乘数10000)</t>
  </si>
  <si>
    <t>10004403.SH</t>
  </si>
  <si>
    <t>10004404.SH</t>
  </si>
  <si>
    <t>10004341.SH</t>
  </si>
  <si>
    <t>10004350.SH</t>
  </si>
  <si>
    <t>10004342.SH</t>
  </si>
  <si>
    <t>10004351.SH</t>
  </si>
  <si>
    <t>10004343.SH</t>
  </si>
  <si>
    <t>10004352.SH</t>
  </si>
  <si>
    <t>10004344.SH</t>
  </si>
  <si>
    <t>10004353.SH</t>
  </si>
  <si>
    <t>10004345.SH</t>
  </si>
  <si>
    <t>10004354.SH</t>
  </si>
  <si>
    <t>10004346.SH</t>
  </si>
  <si>
    <t>10004355.SH</t>
  </si>
  <si>
    <t>10004347.SH</t>
  </si>
  <si>
    <t>10004356.SH</t>
  </si>
  <si>
    <t>10004348.SH</t>
  </si>
  <si>
    <t>10004357.SH</t>
  </si>
  <si>
    <t>10004349.SH</t>
  </si>
  <si>
    <t>10004358.SH</t>
  </si>
  <si>
    <t>10004377.SH</t>
  </si>
  <si>
    <t>10004378.SH</t>
  </si>
  <si>
    <t>10004387.SH</t>
  </si>
  <si>
    <t>10004388.SH</t>
  </si>
  <si>
    <t>10004399.SH</t>
  </si>
  <si>
    <t>10004400.SH</t>
  </si>
  <si>
    <t>2022年09月(到期日2022-09-28;剩余65个自然日、46个交易日;合约乘数10000)</t>
  </si>
  <si>
    <t>10004219.SH</t>
  </si>
  <si>
    <t>10004220.SH</t>
  </si>
  <si>
    <t>10004141.SH</t>
  </si>
  <si>
    <t>10004144.SH</t>
  </si>
  <si>
    <t>10004142.SH</t>
  </si>
  <si>
    <t>10004145.SH</t>
  </si>
  <si>
    <t>10004143.SH</t>
  </si>
  <si>
    <t>10004146.SH</t>
  </si>
  <si>
    <t>10004121.SH</t>
  </si>
  <si>
    <t>10004122.SH</t>
  </si>
  <si>
    <t>10004105.SH</t>
  </si>
  <si>
    <t>10004106.SH</t>
  </si>
  <si>
    <t>10004081.SH</t>
  </si>
  <si>
    <t>10004082.SH</t>
  </si>
  <si>
    <t>10004025.SH</t>
  </si>
  <si>
    <t>10004026.SH</t>
  </si>
  <si>
    <t>10003975.SH</t>
  </si>
  <si>
    <t>10003984.SH</t>
  </si>
  <si>
    <t>10003976.SH</t>
  </si>
  <si>
    <t>10003985.SH</t>
  </si>
  <si>
    <t>10003977.SH</t>
  </si>
  <si>
    <t>10003986.SH</t>
  </si>
  <si>
    <t>10003978.SH</t>
  </si>
  <si>
    <t>10003987.SH</t>
  </si>
  <si>
    <t>10003979.SH</t>
  </si>
  <si>
    <t>10003988.SH</t>
  </si>
  <si>
    <t>10003980.SH</t>
  </si>
  <si>
    <t>10003989.SH</t>
  </si>
  <si>
    <t>10003981.SH</t>
  </si>
  <si>
    <t>10003990.SH</t>
  </si>
  <si>
    <t>10003982.SH</t>
  </si>
  <si>
    <t>10003991.SH</t>
  </si>
  <si>
    <t>10003983.SH</t>
  </si>
  <si>
    <t>10003992.SH</t>
  </si>
  <si>
    <t>2022年12月(到期日2022-12-28;剩余156个自然日、106个交易日;合约乘数10000)</t>
  </si>
  <si>
    <t>10004237.SH</t>
  </si>
  <si>
    <t>10004246.SH</t>
  </si>
  <si>
    <t>10004238.SH</t>
  </si>
  <si>
    <t>10004247.SH</t>
  </si>
  <si>
    <t>10004239.SH</t>
  </si>
  <si>
    <t>10004248.SH</t>
  </si>
  <si>
    <t>10004240.SH</t>
  </si>
  <si>
    <t>10004249.SH</t>
  </si>
  <si>
    <t>10004241.SH</t>
  </si>
  <si>
    <t>10004250.SH</t>
  </si>
  <si>
    <t>10004242.SH</t>
  </si>
  <si>
    <t>10004251.SH</t>
  </si>
  <si>
    <t>10004243.SH</t>
  </si>
  <si>
    <t>10004252.SH</t>
  </si>
  <si>
    <t>10004244.SH</t>
  </si>
  <si>
    <t>10004253.SH</t>
  </si>
  <si>
    <t>10004245.SH</t>
  </si>
  <si>
    <t>10004254.SH</t>
  </si>
  <si>
    <t>10004273.SH</t>
  </si>
  <si>
    <t>10004274.SH</t>
  </si>
  <si>
    <t>10004275.SH</t>
  </si>
  <si>
    <t>10004276.SH</t>
  </si>
  <si>
    <t>10004327.SH</t>
  </si>
  <si>
    <t>10004328.SH</t>
  </si>
  <si>
    <t>10004331.SH</t>
  </si>
  <si>
    <t>10004332.SH</t>
  </si>
  <si>
    <t>10004339.SH</t>
  </si>
  <si>
    <t>10004340.SH</t>
  </si>
  <si>
    <t>10004389.SH</t>
  </si>
  <si>
    <t>10004390.SH</t>
  </si>
  <si>
    <t>10004401.SH</t>
  </si>
  <si>
    <t>10004402.SH</t>
  </si>
  <si>
    <t>数据来源：Wind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</si>
</sst>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</font>
    <font>
      <b/>
      <sz val="11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b/>
      <sz val="11"/>
      <color rgb="FF000000"/>
      <name val="等线"/>
      <family val="3"/>
      <charset val="134"/>
    </font>
    <font>
      <b/>
      <sz val="11"/>
      <color rgb="FF008000"/>
      <name val="等线"/>
      <family val="3"/>
      <charset val="134"/>
    </font>
    <font>
      <sz val="11"/>
      <color rgb="FFFF0000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8.5000000000000006E-3</v>
        <stp/>
        <stp>10004378.SH</stp>
        <stp>rt_iv_change</stp>
        <stp>RT_Price</stp>
        <tr r="Q30" s="1"/>
      </tp>
      <tp>
        <v>-3.9000000000000003E-3</v>
        <stp/>
        <stp>10003978.SH</stp>
        <stp>rt_iv_change</stp>
        <stp>RT_Price</stp>
        <tr r="H45" s="1"/>
      </tp>
      <tp>
        <v>-4.5000000000000005E-3</v>
        <stp/>
        <stp>10003979.SH</stp>
        <stp>rt_iv_change</stp>
        <stp>RT_Price</stp>
        <tr r="H46" s="1"/>
      </tp>
      <tp>
        <v>-5.2000000000000006E-3</v>
        <stp/>
        <stp>10004273.SH</stp>
        <stp>rt_iv_change</stp>
        <stp>RT_Price</stp>
        <tr r="H61" s="1"/>
      </tp>
      <tp>
        <v>-1.0800000000000001E-2</v>
        <stp/>
        <stp>10004276.SH</stp>
        <stp>rt_iv_change</stp>
        <stp>RT_Price</stp>
        <tr r="Q62" s="1"/>
      </tp>
      <tp>
        <v>-2.2000000000000001E-3</v>
        <stp/>
        <stp>10003976.SH</stp>
        <stp>rt_iv_change</stp>
        <stp>RT_Price</stp>
        <tr r="H43" s="1"/>
      </tp>
      <tp>
        <v>2.7400000000000001E-2</v>
        <stp/>
        <stp>10004377.SH</stp>
        <stp>rt_iv_change</stp>
        <stp>RT_Price</stp>
        <tr r="H30" s="1"/>
      </tp>
      <tp>
        <v>-6.1000000000000004E-3</v>
        <stp/>
        <stp>10003977.SH</stp>
        <stp>rt_iv_change</stp>
        <stp>RT_Price</stp>
        <tr r="H44" s="1"/>
      </tp>
      <tp>
        <v>-2.23E-2</v>
        <stp/>
        <stp>10004274.SH</stp>
        <stp>rt_iv_change</stp>
        <stp>RT_Price</stp>
        <tr r="Q61" s="1"/>
      </tp>
      <tp>
        <v>-1.2500000000000001E-2</v>
        <stp/>
        <stp>10004275.SH</stp>
        <stp>rt_iv_change</stp>
        <stp>RT_Price</stp>
        <tr r="H62" s="1"/>
      </tp>
      <tp>
        <v>-5.3E-3</v>
        <stp/>
        <stp>10003975.SH</stp>
        <stp>rt_iv_change</stp>
        <stp>RT_Price</stp>
        <tr r="H42" s="1"/>
      </tp>
      <tp>
        <v>6.4000000000000003E-3</v>
        <stp/>
        <stp>10004358.SH</stp>
        <stp>rt_iv_change</stp>
        <stp>RT_Price</stp>
        <tr r="Q29" s="1"/>
      </tp>
      <tp>
        <v>1.0200000000000001E-2</v>
        <stp/>
        <stp>10004352.SH</stp>
        <stp>rt_iv_change</stp>
        <stp>RT_Price</stp>
        <tr r="Q23" s="1"/>
      </tp>
      <tp>
        <v>-1.7000000000000001E-2</v>
        <stp/>
        <stp>10004252.SH</stp>
        <stp>rt_iv_change</stp>
        <stp>RT_Price</stp>
        <tr r="Q58" s="1"/>
      </tp>
      <tp>
        <v>2.2000000000000001E-3</v>
        <stp/>
        <stp>10004353.SH</stp>
        <stp>rt_iv_change</stp>
        <stp>RT_Price</stp>
        <tr r="Q24" s="1"/>
      </tp>
      <tp>
        <v>-1.37E-2</v>
        <stp/>
        <stp>10004253.SH</stp>
        <stp>rt_iv_change</stp>
        <stp>RT_Price</stp>
        <tr r="Q59" s="1"/>
      </tp>
      <tp>
        <v>-3.6000000000000003E-3</v>
        <stp/>
        <stp>10004350.SH</stp>
        <stp>rt_iv_change</stp>
        <stp>RT_Price</stp>
        <tr r="Q21" s="1"/>
      </tp>
      <tp>
        <v>-8.7000000000000011E-3</v>
        <stp/>
        <stp>10004250.SH</stp>
        <stp>rt_iv_change</stp>
        <stp>RT_Price</stp>
        <tr r="Q56" s="1"/>
      </tp>
      <tp>
        <v>-4.1000000000000003E-3</v>
        <stp/>
        <stp>10004351.SH</stp>
        <stp>rt_iv_change</stp>
        <stp>RT_Price</stp>
        <tr r="Q22" s="1"/>
      </tp>
      <tp>
        <v>-2.7300000000000001E-2</v>
        <stp/>
        <stp>10004251.SH</stp>
        <stp>rt_iv_change</stp>
        <stp>RT_Price</stp>
        <tr r="Q57" s="1"/>
      </tp>
      <tp>
        <v>9.3400000000000011E-2</v>
        <stp/>
        <stp>10004356.SH</stp>
        <stp>rt_iv_change</stp>
        <stp>RT_Price</stp>
        <tr r="Q27" s="1"/>
      </tp>
      <tp>
        <v>0.13120000000000001</v>
        <stp/>
        <stp>10004357.SH</stp>
        <stp>rt_iv_change</stp>
        <stp>RT_Price</stp>
        <tr r="Q28" s="1"/>
      </tp>
      <tp>
        <v>-9.9000000000000008E-3</v>
        <stp/>
        <stp>10004354.SH</stp>
        <stp>rt_iv_change</stp>
        <stp>RT_Price</stp>
        <tr r="Q25" s="1"/>
      </tp>
      <tp>
        <v>-8.8999999999999999E-3</v>
        <stp/>
        <stp>10004254.SH</stp>
        <stp>rt_iv_change</stp>
        <stp>RT_Price</stp>
        <tr r="Q60" s="1"/>
      </tp>
      <tp>
        <v>2.41E-2</v>
        <stp/>
        <stp>10004355.SH</stp>
        <stp>rt_iv_change</stp>
        <stp>RT_Price</stp>
        <tr r="Q26" s="1"/>
      </tp>
      <tp>
        <v>1.5600000000000001E-2</v>
        <stp/>
        <stp>10004348.SH</stp>
        <stp>rt_iv_change</stp>
        <stp>RT_Price</stp>
        <tr r="H28" s="1"/>
      </tp>
      <tp>
        <v>-1.5000000000000001E-2</v>
        <stp/>
        <stp>10004248.SH</stp>
        <stp>rt_iv_change</stp>
        <stp>RT_Price</stp>
        <tr r="Q54" s="1"/>
      </tp>
      <tp>
        <v>4.2599999999999999E-2</v>
        <stp/>
        <stp>10004349.SH</stp>
        <stp>rt_iv_change</stp>
        <stp>RT_Price</stp>
        <tr r="H29" s="1"/>
      </tp>
      <tp>
        <v>-0.01</v>
        <stp/>
        <stp>10004249.SH</stp>
        <stp>rt_iv_change</stp>
        <stp>RT_Price</stp>
        <tr r="Q55" s="1"/>
      </tp>
      <tp>
        <v>3.1300000000000001E-2</v>
        <stp/>
        <stp>10004142.SH</stp>
        <stp>rt_iv_change</stp>
        <stp>RT_Price</stp>
        <tr r="H36" s="1"/>
      </tp>
      <tp>
        <v>-3.1E-2</v>
        <stp/>
        <stp>10004342.SH</stp>
        <stp>rt_iv_change</stp>
        <stp>RT_Price</stp>
        <tr r="H22" s="1"/>
      </tp>
      <tp>
        <v>-1.7899999999999999E-2</v>
        <stp/>
        <stp>10004242.SH</stp>
        <stp>rt_iv_change</stp>
        <stp>RT_Price</stp>
        <tr r="H57" s="1"/>
      </tp>
      <tp>
        <v>-2.7E-2</v>
        <stp/>
        <stp>10004143.SH</stp>
        <stp>rt_iv_change</stp>
        <stp>RT_Price</stp>
        <tr r="H37" s="1"/>
      </tp>
      <tp>
        <v>-3.8300000000000001E-2</v>
        <stp/>
        <stp>10004343.SH</stp>
        <stp>rt_iv_change</stp>
        <stp>RT_Price</stp>
        <tr r="H23" s="1"/>
      </tp>
      <tp>
        <v>4.0000000000000002E-4</v>
        <stp/>
        <stp>10004243.SH</stp>
        <stp>rt_iv_change</stp>
        <stp>RT_Price</stp>
        <tr r="H58" s="1"/>
      </tp>
      <tp>
        <v>-1.3800000000000002E-2</v>
        <stp/>
        <stp>10004340.SH</stp>
        <stp>rt_iv_change</stp>
        <stp>RT_Price</stp>
        <tr r="Q65" s="1"/>
      </tp>
      <tp>
        <v>-2.3E-3</v>
        <stp/>
        <stp>10004240.SH</stp>
        <stp>rt_iv_change</stp>
        <stp>RT_Price</stp>
        <tr r="H55" s="1"/>
      </tp>
      <tp>
        <v>-0.1188</v>
        <stp/>
        <stp>10004141.SH</stp>
        <stp>rt_iv_change</stp>
        <stp>RT_Price</stp>
        <tr r="H35" s="1"/>
      </tp>
      <tp>
        <v>1.67E-2</v>
        <stp/>
        <stp>10004341.SH</stp>
        <stp>rt_iv_change</stp>
        <stp>RT_Price</stp>
        <tr r="H21" s="1"/>
      </tp>
      <tp>
        <v>-2.1000000000000001E-2</v>
        <stp/>
        <stp>10004241.SH</stp>
        <stp>rt_iv_change</stp>
        <stp>RT_Price</stp>
        <tr r="H56" s="1"/>
      </tp>
      <tp>
        <v>-6.2000000000000006E-3</v>
        <stp/>
        <stp>10004146.SH</stp>
        <stp>rt_iv_change</stp>
        <stp>RT_Price</stp>
        <tr r="Q37" s="1"/>
      </tp>
      <tp>
        <v>-3.85E-2</v>
        <stp/>
        <stp>10004346.SH</stp>
        <stp>rt_iv_change</stp>
        <stp>RT_Price</stp>
        <tr r="H26" s="1"/>
      </tp>
      <tp>
        <v>-1.1900000000000001E-2</v>
        <stp/>
        <stp>10004246.SH</stp>
        <stp>rt_iv_change</stp>
        <stp>RT_Price</stp>
        <tr r="Q52" s="1"/>
      </tp>
      <tp>
        <v>-3.3E-3</v>
        <stp/>
        <stp>10004347.SH</stp>
        <stp>rt_iv_change</stp>
        <stp>RT_Price</stp>
        <tr r="H27" s="1"/>
      </tp>
      <tp>
        <v>-9.4000000000000004E-3</v>
        <stp/>
        <stp>10004247.SH</stp>
        <stp>rt_iv_change</stp>
        <stp>RT_Price</stp>
        <tr r="Q53" s="1"/>
      </tp>
      <tp>
        <v>-2.1299999999999999E-2</v>
        <stp/>
        <stp>10004144.SH</stp>
        <stp>rt_iv_change</stp>
        <stp>RT_Price</stp>
        <tr r="Q35" s="1"/>
      </tp>
      <tp>
        <v>9.9000000000000008E-3</v>
        <stp/>
        <stp>10004344.SH</stp>
        <stp>rt_iv_change</stp>
        <stp>RT_Price</stp>
        <tr r="H24" s="1"/>
      </tp>
      <tp>
        <v>-1.23E-2</v>
        <stp/>
        <stp>10004244.SH</stp>
        <stp>rt_iv_change</stp>
        <stp>RT_Price</stp>
        <tr r="H59" s="1"/>
      </tp>
      <tp>
        <v>-1.8500000000000003E-2</v>
        <stp/>
        <stp>10004145.SH</stp>
        <stp>rt_iv_change</stp>
        <stp>RT_Price</stp>
        <tr r="Q36" s="1"/>
      </tp>
      <tp>
        <v>-9.7000000000000003E-3</v>
        <stp/>
        <stp>10004345.SH</stp>
        <stp>rt_iv_change</stp>
        <stp>RT_Price</stp>
        <tr r="H25" s="1"/>
      </tp>
      <tp>
        <v>-9.9000000000000008E-3</v>
        <stp/>
        <stp>10004245.SH</stp>
        <stp>rt_iv_change</stp>
        <stp>RT_Price</stp>
        <tr r="H60" s="1"/>
      </tp>
      <tp>
        <v>0.3488</v>
        <stp/>
        <stp>10004338.SH</stp>
        <stp>rt_iv_change</stp>
        <stp>RT_Price</stp>
        <tr r="Q16" s="1"/>
      </tp>
      <tp>
        <v>5.2000000000000006E-3</v>
        <stp/>
        <stp>10004238.SH</stp>
        <stp>rt_iv_change</stp>
        <stp>RT_Price</stp>
        <tr r="H53" s="1"/>
      </tp>
      <tp>
        <v>-4.8000000000000004E-3</v>
        <stp/>
        <stp>10004339.SH</stp>
        <stp>rt_iv_change</stp>
        <stp>RT_Price</stp>
        <tr r="H65" s="1"/>
      </tp>
      <tp>
        <v>-1.3900000000000001E-2</v>
        <stp/>
        <stp>10004239.SH</stp>
        <stp>rt_iv_change</stp>
        <stp>RT_Price</stp>
        <tr r="H54" s="1"/>
      </tp>
      <tp>
        <v>-7.3000000000000001E-3</v>
        <stp/>
        <stp>10004332.SH</stp>
        <stp>rt_iv_change</stp>
        <stp>RT_Price</stp>
        <tr r="Q64" s="1"/>
      </tp>
      <tp>
        <v>-0.1565</v>
        <stp/>
        <stp>10004330.SH</stp>
        <stp>rt_iv_change</stp>
        <stp>RT_Price</stp>
        <tr r="Q15" s="1"/>
      </tp>
      <tp>
        <v>-8.3000000000000001E-3</v>
        <stp/>
        <stp>10004331.SH</stp>
        <stp>rt_iv_change</stp>
        <stp>RT_Price</stp>
        <tr r="H64" s="1"/>
      </tp>
      <tp>
        <v>5.6500000000000002E-2</v>
        <stp/>
        <stp>10004337.SH</stp>
        <stp>rt_iv_change</stp>
        <stp>RT_Price</stp>
        <tr r="H16" s="1"/>
      </tp>
      <tp>
        <v>-8.7000000000000011E-3</v>
        <stp/>
        <stp>10004237.SH</stp>
        <stp>rt_iv_change</stp>
        <stp>RT_Price</stp>
        <tr r="H52" s="1"/>
      </tp>
      <tp>
        <v>-1.66E-2</v>
        <stp/>
        <stp>10004328.SH</stp>
        <stp>rt_iv_change</stp>
        <stp>RT_Price</stp>
        <tr r="Q63" s="1"/>
      </tp>
      <tp>
        <v>0.25700000000000001</v>
        <stp/>
        <stp>10004329.SH</stp>
        <stp>rt_iv_change</stp>
        <stp>RT_Price</stp>
        <tr r="H15" s="1"/>
      </tp>
      <tp>
        <v>-4.0000000000000001E-3</v>
        <stp/>
        <stp>10004122.SH</stp>
        <stp>rt_iv_change</stp>
        <stp>RT_Price</stp>
        <tr r="Q38" s="1"/>
      </tp>
      <tp>
        <v>-1.0700000000000001E-2</v>
        <stp/>
        <stp>10004220.SH</stp>
        <stp>rt_iv_change</stp>
        <stp>RT_Price</stp>
        <tr r="Q34" s="1"/>
      </tp>
      <tp>
        <v>-2.7100000000000003E-2</v>
        <stp/>
        <stp>10004121.SH</stp>
        <stp>rt_iv_change</stp>
        <stp>RT_Price</stp>
        <tr r="H38" s="1"/>
      </tp>
      <tp>
        <v>6.3E-3</v>
        <stp/>
        <stp>10004026.SH</stp>
        <stp>rt_iv_change</stp>
        <stp>RT_Price</stp>
        <tr r="Q41" s="1"/>
      </tp>
      <tp>
        <v>-9.4800000000000009E-2</v>
        <stp/>
        <stp>10004326.SH</stp>
        <stp>rt_iv_change</stp>
        <stp>RT_Price</stp>
        <tr r="Q14" s="1"/>
      </tp>
      <tp>
        <v>-2.8E-3</v>
        <stp/>
        <stp>10004327.SH</stp>
        <stp>rt_iv_change</stp>
        <stp>RT_Price</stp>
        <tr r="H63" s="1"/>
      </tp>
      <tp>
        <v>-1.6000000000000001E-3</v>
        <stp/>
        <stp>10004025.SH</stp>
        <stp>rt_iv_change</stp>
        <stp>RT_Price</stp>
        <tr r="H41" s="1"/>
      </tp>
      <tp>
        <v>0.22570000000000001</v>
        <stp/>
        <stp>10004325.SH</stp>
        <stp>rt_iv_change</stp>
        <stp>RT_Price</stp>
        <tr r="H14" s="1"/>
      </tp>
      <tp>
        <v>0.34520000000000001</v>
        <stp/>
        <stp>10004318.SH</stp>
        <stp>rt_iv_change</stp>
        <stp>RT_Price</stp>
        <tr r="Q13" s="1"/>
      </tp>
      <tp>
        <v>5.8000000000000005E-3</v>
        <stp/>
        <stp>10004219.SH</stp>
        <stp>rt_iv_change</stp>
        <stp>RT_Price</stp>
        <tr r="H34" s="1"/>
      </tp>
      <tp>
        <v>0.1943</v>
        <stp/>
        <stp>10004317.SH</stp>
        <stp>rt_iv_change</stp>
        <stp>RT_Price</stp>
        <tr r="H13" s="1"/>
      </tp>
      <tp>
        <v>1.03E-2</v>
        <stp/>
        <stp>10004402.SH</stp>
        <stp>rt_iv_change</stp>
        <stp>RT_Price</stp>
        <tr r="Q67" s="1"/>
      </tp>
      <tp>
        <v>2.6000000000000003E-3</v>
        <stp/>
        <stp>10004403.SH</stp>
        <stp>rt_iv_change</stp>
        <stp>RT_Price</stp>
        <tr r="H20" s="1"/>
      </tp>
      <tp>
        <v>5.7700000000000001E-2</v>
        <stp/>
        <stp>10004400.SH</stp>
        <stp>rt_iv_change</stp>
        <stp>RT_Price</stp>
        <tr r="Q32" s="1"/>
      </tp>
      <tp>
        <v>-4.8000000000000004E-3</v>
        <stp/>
        <stp>10004401.SH</stp>
        <stp>rt_iv_change</stp>
        <stp>RT_Price</stp>
        <tr r="H67" s="1"/>
      </tp>
      <tp>
        <v>-3.3E-3</v>
        <stp/>
        <stp>10004106.SH</stp>
        <stp>rt_iv_change</stp>
        <stp>RT_Price</stp>
        <tr r="Q39" s="1"/>
      </tp>
      <tp>
        <v>-1.7899999999999999E-2</v>
        <stp/>
        <stp>10004404.SH</stp>
        <stp>rt_iv_change</stp>
        <stp>RT_Price</stp>
        <tr r="Q20" s="1"/>
      </tp>
      <tp>
        <v>-1.17E-2</v>
        <stp/>
        <stp>10004105.SH</stp>
        <stp>rt_iv_change</stp>
        <stp>RT_Price</stp>
        <tr r="H39" s="1"/>
      </tp>
      <tp>
        <v>0.30020000000000002</v>
        <stp/>
        <stp>10004398.SH</stp>
        <stp>rt_iv_change</stp>
        <stp>RT_Price</stp>
        <tr r="Q18" s="1"/>
      </tp>
      <tp>
        <v>0.17680000000000001</v>
        <stp/>
        <stp>10004298.SH</stp>
        <stp>rt_iv_change</stp>
        <stp>RT_Price</stp>
        <tr r="Q12" s="1"/>
      </tp>
      <tp>
        <v>1.5900000000000001E-2</v>
        <stp/>
        <stp>10004399.SH</stp>
        <stp>rt_iv_change</stp>
        <stp>RT_Price</stp>
        <tr r="H32" s="1"/>
      </tp>
      <tp>
        <v>0.1769</v>
        <stp/>
        <stp>10004292.SH</stp>
        <stp>rt_iv_change</stp>
        <stp>RT_Price</stp>
        <tr r="Q6" s="1"/>
      </tp>
      <tp>
        <v>0.10200000000000001</v>
        <stp/>
        <stp>10003992.SH</stp>
        <stp>rt_iv_change</stp>
        <stp>RT_Price</stp>
        <tr r="Q50" s="1"/>
      </tp>
      <tp>
        <v>8.4000000000000005E-2</v>
        <stp/>
        <stp>10004293.SH</stp>
        <stp>rt_iv_change</stp>
        <stp>RT_Price</stp>
        <tr r="Q7" s="1"/>
      </tp>
      <tp>
        <v>5.5000000000000005E-3</v>
        <stp/>
        <stp>10004390.SH</stp>
        <stp>rt_iv_change</stp>
        <stp>RT_Price</stp>
        <tr r="Q66" s="1"/>
      </tp>
      <tp>
        <v>-99999999</v>
        <stp/>
        <stp>10004290.SH</stp>
        <stp>rt_iv_change</stp>
        <stp>RT_Price</stp>
        <tr r="Q4" s="1"/>
      </tp>
      <tp>
        <v>1.0500000000000001E-2</v>
        <stp/>
        <stp>10003990.SH</stp>
        <stp>rt_iv_change</stp>
        <stp>RT_Price</stp>
        <tr r="Q48" s="1"/>
      </tp>
      <tp>
        <v>4.3900000000000002E-2</v>
        <stp/>
        <stp>10004291.SH</stp>
        <stp>rt_iv_change</stp>
        <stp>RT_Price</stp>
        <tr r="Q5" s="1"/>
      </tp>
      <tp>
        <v>-2.1600000000000001E-2</v>
        <stp/>
        <stp>10003991.SH</stp>
        <stp>rt_iv_change</stp>
        <stp>RT_Price</stp>
        <tr r="Q49" s="1"/>
      </tp>
      <tp>
        <v>-2.87E-2</v>
        <stp/>
        <stp>10004296.SH</stp>
        <stp>rt_iv_change</stp>
        <stp>RT_Price</stp>
        <tr r="Q10" s="1"/>
      </tp>
      <tp>
        <v>0</v>
        <stp/>
        <stp>10004397.SH</stp>
        <stp>rt_iv_change</stp>
        <stp>RT_Price</stp>
        <tr r="H18" s="1"/>
      </tp>
      <tp>
        <v>3.1300000000000001E-2</v>
        <stp/>
        <stp>10004297.SH</stp>
        <stp>rt_iv_change</stp>
        <stp>RT_Price</stp>
        <tr r="Q11" s="1"/>
      </tp>
      <tp>
        <v>-2.3100000000000002E-2</v>
        <stp/>
        <stp>10004294.SH</stp>
        <stp>rt_iv_change</stp>
        <stp>RT_Price</stp>
        <tr r="Q8" s="1"/>
      </tp>
      <tp>
        <v>3.0800000000000001E-2</v>
        <stp/>
        <stp>10004295.SH</stp>
        <stp>rt_iv_change</stp>
        <stp>RT_Price</stp>
        <tr r="Q9" s="1"/>
      </tp>
      <tp>
        <v>-8.3900000000000002E-2</v>
        <stp/>
        <stp>10004388.SH</stp>
        <stp>rt_iv_change</stp>
        <stp>RT_Price</stp>
        <tr r="Q31" s="1"/>
      </tp>
      <tp>
        <v>3.61E-2</v>
        <stp/>
        <stp>10004288.SH</stp>
        <stp>rt_iv_change</stp>
        <stp>RT_Price</stp>
        <tr r="H11" s="1"/>
      </tp>
      <tp>
        <v>-7.3000000000000001E-3</v>
        <stp/>
        <stp>10003988.SH</stp>
        <stp>rt_iv_change</stp>
        <stp>RT_Price</stp>
        <tr r="Q46" s="1"/>
      </tp>
      <tp>
        <v>-3.3E-3</v>
        <stp/>
        <stp>10004389.SH</stp>
        <stp>rt_iv_change</stp>
        <stp>RT_Price</stp>
        <tr r="H66" s="1"/>
      </tp>
      <tp>
        <v>4.1800000000000004E-2</v>
        <stp/>
        <stp>10004289.SH</stp>
        <stp>rt_iv_change</stp>
        <stp>RT_Price</stp>
        <tr r="H12" s="1"/>
      </tp>
      <tp>
        <v>2.98E-2</v>
        <stp/>
        <stp>10003989.SH</stp>
        <stp>rt_iv_change</stp>
        <stp>RT_Price</stp>
        <tr r="Q47" s="1"/>
      </tp>
      <tp>
        <v>-5.2000000000000006E-3</v>
        <stp/>
        <stp>10004082.SH</stp>
        <stp>rt_iv_change</stp>
        <stp>RT_Price</stp>
        <tr r="Q40" s="1"/>
      </tp>
      <tp>
        <v>-0.1313</v>
        <stp/>
        <stp>10004282.SH</stp>
        <stp>rt_iv_change</stp>
        <stp>RT_Price</stp>
        <tr r="H5" s="1"/>
      </tp>
      <tp>
        <v>-3.8E-3</v>
        <stp/>
        <stp>10003982.SH</stp>
        <stp>rt_iv_change</stp>
        <stp>RT_Price</stp>
        <tr r="H49" s="1"/>
      </tp>
      <tp>
        <v>-1.15E-2</v>
        <stp/>
        <stp>10004283.SH</stp>
        <stp>rt_iv_change</stp>
        <stp>RT_Price</stp>
        <tr r="H6" s="1"/>
      </tp>
      <tp>
        <v>1.95E-2</v>
        <stp/>
        <stp>10003983.SH</stp>
        <stp>rt_iv_change</stp>
        <stp>RT_Price</stp>
        <tr r="H50" s="1"/>
      </tp>
      <tp>
        <v>-5.1000000000000004E-3</v>
        <stp/>
        <stp>10003980.SH</stp>
        <stp>rt_iv_change</stp>
        <stp>RT_Price</stp>
        <tr r="H47" s="1"/>
      </tp>
      <tp>
        <v>5.5999999999999999E-3</v>
        <stp/>
        <stp>10004081.SH</stp>
        <stp>rt_iv_change</stp>
        <stp>RT_Price</stp>
        <tr r="H40" s="1"/>
      </tp>
      <tp>
        <v>1.72E-2</v>
        <stp/>
        <stp>10004281.SH</stp>
        <stp>rt_iv_change</stp>
        <stp>RT_Price</stp>
        <tr r="H4" s="1"/>
      </tp>
      <tp>
        <v>-1.2100000000000001E-2</v>
        <stp/>
        <stp>10003981.SH</stp>
        <stp>rt_iv_change</stp>
        <stp>RT_Price</stp>
        <tr r="H48" s="1"/>
      </tp>
      <tp>
        <v>0.1893</v>
        <stp/>
        <stp>10004386.SH</stp>
        <stp>rt_iv_change</stp>
        <stp>RT_Price</stp>
        <tr r="Q17" s="1"/>
      </tp>
      <tp>
        <v>-0.40310000000000001</v>
        <stp/>
        <stp>10004286.SH</stp>
        <stp>rt_iv_change</stp>
        <stp>RT_Price</stp>
        <tr r="H9" s="1"/>
      </tp>
      <tp>
        <v>4.0000000000000002E-4</v>
        <stp/>
        <stp>10003986.SH</stp>
        <stp>rt_iv_change</stp>
        <stp>RT_Price</stp>
        <tr r="Q44" s="1"/>
      </tp>
      <tp>
        <v>1.32E-2</v>
        <stp/>
        <stp>10004387.SH</stp>
        <stp>rt_iv_change</stp>
        <stp>RT_Price</stp>
        <tr r="H31" s="1"/>
      </tp>
      <tp>
        <v>-4.9800000000000004E-2</v>
        <stp/>
        <stp>10004287.SH</stp>
        <stp>rt_iv_change</stp>
        <stp>RT_Price</stp>
        <tr r="H10" s="1"/>
      </tp>
      <tp>
        <v>-8.5000000000000006E-3</v>
        <stp/>
        <stp>10003987.SH</stp>
        <stp>rt_iv_change</stp>
        <stp>RT_Price</stp>
        <tr r="Q45" s="1"/>
      </tp>
      <tp>
        <v>0.29650000000000004</v>
        <stp/>
        <stp>10004284.SH</stp>
        <stp>rt_iv_change</stp>
        <stp>RT_Price</stp>
        <tr r="H7" s="1"/>
      </tp>
      <tp>
        <v>-1.5E-3</v>
        <stp/>
        <stp>10003984.SH</stp>
        <stp>rt_iv_change</stp>
        <stp>RT_Price</stp>
        <tr r="Q42" s="1"/>
      </tp>
      <tp>
        <v>7.2500000000000009E-2</v>
        <stp/>
        <stp>10004385.SH</stp>
        <stp>rt_iv_change</stp>
        <stp>RT_Price</stp>
        <tr r="H17" s="1"/>
      </tp>
      <tp>
        <v>0.29930000000000001</v>
        <stp/>
        <stp>10004285.SH</stp>
        <stp>rt_iv_change</stp>
        <stp>RT_Price</stp>
        <tr r="H8" s="1"/>
      </tp>
      <tp>
        <v>-1.3000000000000002E-3</v>
        <stp/>
        <stp>10003985.SH</stp>
        <stp>rt_iv_change</stp>
        <stp>RT_Price</stp>
        <tr r="Q43" s="1"/>
      </tp>
      <tp>
        <v>0.19070000000000001</v>
        <stp/>
        <stp>10003978.SH</stp>
        <stp>ImpliedVol</stp>
        <tr r="G45" s="1"/>
      </tp>
      <tp>
        <v>0.19010000000000002</v>
        <stp/>
        <stp>10003988.SH</stp>
        <stp>ImpliedVol</stp>
        <tr r="P46" s="1"/>
      </tp>
      <tp>
        <v>0.21050000000000002</v>
        <stp/>
        <stp>10004248.SH</stp>
        <stp>ImpliedVol</stp>
        <tr r="P54" s="1"/>
      </tp>
      <tp>
        <v>0.21330000000000002</v>
        <stp/>
        <stp>10004238.SH</stp>
        <stp>ImpliedVol</stp>
        <tr r="G53" s="1"/>
      </tp>
      <tp>
        <v>0.2089</v>
        <stp/>
        <stp>10004298.SH</stp>
        <stp>ImpliedVol</stp>
        <tr r="P12" s="1"/>
      </tp>
      <tp>
        <v>0.17370000000000002</v>
        <stp/>
        <stp>10004288.SH</stp>
        <stp>ImpliedVol</stp>
        <tr r="G11" s="1"/>
      </tp>
      <tp>
        <v>0.2114</v>
        <stp/>
        <stp>10004358.SH</stp>
        <stp>ImpliedVol</stp>
        <tr r="P29" s="1"/>
      </tp>
      <tp>
        <v>0.18340000000000001</v>
        <stp/>
        <stp>10004348.SH</stp>
        <stp>ImpliedVol</stp>
        <tr r="G28" s="1"/>
      </tp>
      <tp>
        <v>0.2223</v>
        <stp/>
        <stp>10004378.SH</stp>
        <stp>ImpliedVol</stp>
        <tr r="P30" s="1"/>
      </tp>
      <tp>
        <v>0.2747</v>
        <stp/>
        <stp>10004318.SH</stp>
        <stp>ImpliedVol</stp>
        <tr r="P13" s="1"/>
      </tp>
      <tp>
        <v>0.73040000000000005</v>
        <stp/>
        <stp>10004338.SH</stp>
        <stp>ImpliedVol</stp>
        <tr r="P16" s="1"/>
      </tp>
      <tp>
        <v>0.20320000000000002</v>
        <stp/>
        <stp>10004328.SH</stp>
        <stp>ImpliedVol</stp>
        <tr r="P63" s="1"/>
      </tp>
      <tp>
        <v>0.86030000000000006</v>
        <stp/>
        <stp>10004398.SH</stp>
        <stp>ImpliedVol</stp>
        <tr r="P18" s="1"/>
      </tp>
      <tp>
        <v>0.2472</v>
        <stp/>
        <stp>10004388.SH</stp>
        <stp>ImpliedVol</stp>
        <tr r="P31" s="1"/>
      </tp>
      <tp>
        <v>0.19070000000000001</v>
        <stp/>
        <stp>10003979.SH</stp>
        <stp>ImpliedVol</stp>
        <tr r="G46" s="1"/>
      </tp>
      <tp>
        <v>0.19800000000000001</v>
        <stp/>
        <stp>10003989.SH</stp>
        <stp>ImpliedVol</stp>
        <tr r="P47" s="1"/>
      </tp>
      <tp>
        <v>0.20750000000000002</v>
        <stp/>
        <stp>10004249.SH</stp>
        <stp>ImpliedVol</stp>
        <tr r="P55" s="1"/>
      </tp>
      <tp>
        <v>0.23860000000000001</v>
        <stp/>
        <stp>10004219.SH</stp>
        <stp>ImpliedVol</stp>
        <tr r="G34" s="1"/>
      </tp>
      <tp>
        <v>0.2112</v>
        <stp/>
        <stp>10004239.SH</stp>
        <stp>ImpliedVol</stp>
        <tr r="G54" s="1"/>
      </tp>
      <tp>
        <v>0.1792</v>
        <stp/>
        <stp>10004289.SH</stp>
        <stp>ImpliedVol</stp>
        <tr r="G12" s="1"/>
      </tp>
      <tp>
        <v>0.2031</v>
        <stp/>
        <stp>10004349.SH</stp>
        <stp>ImpliedVol</stp>
        <tr r="G29" s="1"/>
      </tp>
      <tp>
        <v>0.20300000000000001</v>
        <stp/>
        <stp>10004339.SH</stp>
        <stp>ImpliedVol</stp>
        <tr r="G65" s="1"/>
      </tp>
      <tp>
        <v>0.45440000000000003</v>
        <stp/>
        <stp>10004329.SH</stp>
        <stp>ImpliedVol</stp>
        <tr r="G15" s="1"/>
      </tp>
      <tp>
        <v>0.28610000000000002</v>
        <stp/>
        <stp>10004399.SH</stp>
        <stp>ImpliedVol</stp>
        <tr r="G32" s="1"/>
      </tp>
      <tp>
        <v>0.2039</v>
        <stp/>
        <stp>10004389.SH</stp>
        <stp>ImpliedVol</stp>
        <tr r="G66" s="1"/>
      </tp>
      <tp>
        <v>0.19320000000000001</v>
        <stp/>
        <stp>10003976.SH</stp>
        <stp>ImpliedVol</stp>
        <tr r="G43" s="1"/>
      </tp>
      <tp>
        <v>0.19240000000000002</v>
        <stp/>
        <stp>10003986.SH</stp>
        <stp>ImpliedVol</stp>
        <tr r="P44" s="1"/>
      </tp>
      <tp>
        <v>0.20020000000000002</v>
        <stp/>
        <stp>10004026.SH</stp>
        <stp>ImpliedVol</stp>
        <tr r="P41" s="1"/>
      </tp>
      <tp>
        <v>0.21190000000000001</v>
        <stp/>
        <stp>10004146.SH</stp>
        <stp>ImpliedVol</stp>
        <tr r="P37" s="1"/>
      </tp>
      <tp>
        <v>0.20420000000000002</v>
        <stp/>
        <stp>10004106.SH</stp>
        <stp>ImpliedVol</stp>
        <tr r="P39" s="1"/>
      </tp>
      <tp>
        <v>0.21360000000000001</v>
        <stp/>
        <stp>10004246.SH</stp>
        <stp>ImpliedVol</stp>
        <tr r="P52" s="1"/>
      </tp>
      <tp>
        <v>0.2026</v>
        <stp/>
        <stp>10004276.SH</stp>
        <stp>ImpliedVol</stp>
        <tr r="P62" s="1"/>
      </tp>
      <tp>
        <v>0.1827</v>
        <stp/>
        <stp>10004296.SH</stp>
        <stp>ImpliedVol</stp>
        <tr r="P10" s="1"/>
      </tp>
      <tp>
        <v>0.10830000000000001</v>
        <stp/>
        <stp>10004286.SH</stp>
        <stp>ImpliedVol</stp>
        <tr r="G9" s="1"/>
      </tp>
      <tp>
        <v>0.1825</v>
        <stp/>
        <stp>10004356.SH</stp>
        <stp>ImpliedVol</stp>
        <tr r="P27" s="1"/>
      </tp>
      <tp>
        <v>0.17700000000000002</v>
        <stp/>
        <stp>10004346.SH</stp>
        <stp>ImpliedVol</stp>
        <tr r="G26" s="1"/>
      </tp>
      <tp>
        <v>0.39090000000000003</v>
        <stp/>
        <stp>10004326.SH</stp>
        <stp>ImpliedVol</stp>
        <tr r="P14" s="1"/>
      </tp>
      <tp>
        <v>0.75519999999999998</v>
        <stp/>
        <stp>10004386.SH</stp>
        <stp>ImpliedVol</stp>
        <tr r="P17" s="1"/>
      </tp>
      <tp>
        <v>0.19140000000000001</v>
        <stp/>
        <stp>10003977.SH</stp>
        <stp>ImpliedVol</stp>
        <tr r="G44" s="1"/>
      </tp>
      <tp>
        <v>0.18990000000000001</v>
        <stp/>
        <stp>10003987.SH</stp>
        <stp>ImpliedVol</stp>
        <tr r="P45" s="1"/>
      </tp>
      <tp>
        <v>0.21280000000000002</v>
        <stp/>
        <stp>10004247.SH</stp>
        <stp>ImpliedVol</stp>
        <tr r="P53" s="1"/>
      </tp>
      <tp>
        <v>0.21480000000000002</v>
        <stp/>
        <stp>10004237.SH</stp>
        <stp>ImpliedVol</stp>
        <tr r="G52" s="1"/>
      </tp>
      <tp>
        <v>0.17380000000000001</v>
        <stp/>
        <stp>10004297.SH</stp>
        <stp>ImpliedVol</stp>
        <tr r="P11" s="1"/>
      </tp>
      <tp>
        <v>0.16740000000000002</v>
        <stp/>
        <stp>10004287.SH</stp>
        <stp>ImpliedVol</stp>
        <tr r="G10" s="1"/>
      </tp>
      <tp>
        <v>0.18720000000000001</v>
        <stp/>
        <stp>10004357.SH</stp>
        <stp>ImpliedVol</stp>
        <tr r="P28" s="1"/>
      </tp>
      <tp>
        <v>0.17700000000000002</v>
        <stp/>
        <stp>10004347.SH</stp>
        <stp>ImpliedVol</stp>
        <tr r="G27" s="1"/>
      </tp>
      <tp>
        <v>0.22890000000000002</v>
        <stp/>
        <stp>10004377.SH</stp>
        <stp>ImpliedVol</stp>
        <tr r="G30" s="1"/>
      </tp>
      <tp>
        <v>0.21860000000000002</v>
        <stp/>
        <stp>10004317.SH</stp>
        <stp>ImpliedVol</stp>
        <tr r="G13" s="1"/>
      </tp>
      <tp>
        <v>0.45520000000000005</v>
        <stp/>
        <stp>10004337.SH</stp>
        <stp>ImpliedVol</stp>
        <tr r="G16" s="1"/>
      </tp>
      <tp>
        <v>0.20320000000000002</v>
        <stp/>
        <stp>10004327.SH</stp>
        <stp>ImpliedVol</stp>
        <tr r="G63" s="1"/>
      </tp>
      <tp>
        <v>0</v>
        <stp/>
        <stp>10004397.SH</stp>
        <stp>ImpliedVol</stp>
        <tr r="G18" s="1"/>
      </tp>
      <tp>
        <v>0.25950000000000001</v>
        <stp/>
        <stp>10004387.SH</stp>
        <stp>ImpliedVol</stp>
        <tr r="G31" s="1"/>
      </tp>
      <tp>
        <v>0.19570000000000001</v>
        <stp/>
        <stp>10003984.SH</stp>
        <stp>ImpliedVol</stp>
        <tr r="P42" s="1"/>
      </tp>
      <tp>
        <v>0.2185</v>
        <stp/>
        <stp>10004144.SH</stp>
        <stp>ImpliedVol</stp>
        <tr r="P35" s="1"/>
      </tp>
      <tp>
        <v>0.20470000000000002</v>
        <stp/>
        <stp>10004254.SH</stp>
        <stp>ImpliedVol</stp>
        <tr r="P60" s="1"/>
      </tp>
      <tp>
        <v>0.20580000000000001</v>
        <stp/>
        <stp>10004244.SH</stp>
        <stp>ImpliedVol</stp>
        <tr r="G59" s="1"/>
      </tp>
      <tp>
        <v>0.20500000000000002</v>
        <stp/>
        <stp>10004274.SH</stp>
        <stp>ImpliedVol</stp>
        <tr r="P61" s="1"/>
      </tp>
      <tp>
        <v>0.23380000000000001</v>
        <stp/>
        <stp>10004294.SH</stp>
        <stp>ImpliedVol</stp>
        <tr r="P8" s="1"/>
      </tp>
      <tp>
        <v>0.32320000000000004</v>
        <stp/>
        <stp>10004284.SH</stp>
        <stp>ImpliedVol</stp>
        <tr r="G7" s="1"/>
      </tp>
      <tp>
        <v>0.18260000000000001</v>
        <stp/>
        <stp>10004354.SH</stp>
        <stp>ImpliedVol</stp>
        <tr r="P25" s="1"/>
      </tp>
      <tp>
        <v>0.18640000000000001</v>
        <stp/>
        <stp>10004344.SH</stp>
        <stp>ImpliedVol</stp>
        <tr r="G24" s="1"/>
      </tp>
      <tp>
        <v>0.21490000000000001</v>
        <stp/>
        <stp>10004404.SH</stp>
        <stp>ImpliedVol</stp>
        <tr r="P20" s="1"/>
      </tp>
      <tp>
        <v>0.19550000000000001</v>
        <stp/>
        <stp>10003975.SH</stp>
        <stp>ImpliedVol</stp>
        <tr r="G42" s="1"/>
      </tp>
      <tp>
        <v>0.1933</v>
        <stp/>
        <stp>10003985.SH</stp>
        <stp>ImpliedVol</stp>
        <tr r="P43" s="1"/>
      </tp>
      <tp>
        <v>0.19820000000000002</v>
        <stp/>
        <stp>10004025.SH</stp>
        <stp>ImpliedVol</stp>
        <tr r="G41" s="1"/>
      </tp>
      <tp>
        <v>0.21510000000000001</v>
        <stp/>
        <stp>10004145.SH</stp>
        <stp>ImpliedVol</stp>
        <tr r="P36" s="1"/>
      </tp>
      <tp>
        <v>0.2054</v>
        <stp/>
        <stp>10004105.SH</stp>
        <stp>ImpliedVol</stp>
        <tr r="G39" s="1"/>
      </tp>
      <tp>
        <v>0.20400000000000001</v>
        <stp/>
        <stp>10004245.SH</stp>
        <stp>ImpliedVol</stp>
        <tr r="G60" s="1"/>
      </tp>
      <tp>
        <v>0.20280000000000001</v>
        <stp/>
        <stp>10004275.SH</stp>
        <stp>ImpliedVol</stp>
        <tr r="G62" s="1"/>
      </tp>
      <tp>
        <v>0.20860000000000001</v>
        <stp/>
        <stp>10004295.SH</stp>
        <stp>ImpliedVol</stp>
        <tr r="P9" s="1"/>
      </tp>
      <tp>
        <v>0.22800000000000001</v>
        <stp/>
        <stp>10004285.SH</stp>
        <stp>ImpliedVol</stp>
        <tr r="G8" s="1"/>
      </tp>
      <tp>
        <v>0.1792</v>
        <stp/>
        <stp>10004355.SH</stp>
        <stp>ImpliedVol</stp>
        <tr r="P26" s="1"/>
      </tp>
      <tp>
        <v>0.1825</v>
        <stp/>
        <stp>10004345.SH</stp>
        <stp>ImpliedVol</stp>
        <tr r="G25" s="1"/>
      </tp>
      <tp>
        <v>0.33080000000000004</v>
        <stp/>
        <stp>10004325.SH</stp>
        <stp>ImpliedVol</stp>
        <tr r="G14" s="1"/>
      </tp>
      <tp>
        <v>0.52190000000000003</v>
        <stp/>
        <stp>10004385.SH</stp>
        <stp>ImpliedVol</stp>
        <tr r="G17" s="1"/>
      </tp>
      <tp>
        <v>0.22130000000000002</v>
        <stp/>
        <stp>10003992.SH</stp>
        <stp>ImpliedVol</stp>
        <tr r="P50" s="1"/>
      </tp>
      <tp>
        <v>0.2142</v>
        <stp/>
        <stp>10003982.SH</stp>
        <stp>ImpliedVol</stp>
        <tr r="G49" s="1"/>
      </tp>
      <tp>
        <v>0.20080000000000001</v>
        <stp/>
        <stp>10004082.SH</stp>
        <stp>ImpliedVol</stp>
        <tr r="P40" s="1"/>
      </tp>
      <tp>
        <v>0.22</v>
        <stp/>
        <stp>10004142.SH</stp>
        <stp>ImpliedVol</stp>
        <tr r="G36" s="1"/>
      </tp>
      <tp>
        <v>0.20810000000000001</v>
        <stp/>
        <stp>10004122.SH</stp>
        <stp>ImpliedVol</stp>
        <tr r="P38" s="1"/>
      </tp>
      <tp>
        <v>0.2051</v>
        <stp/>
        <stp>10004252.SH</stp>
        <stp>ImpliedVol</stp>
        <tr r="P58" s="1"/>
      </tp>
      <tp>
        <v>0.20520000000000002</v>
        <stp/>
        <stp>10004242.SH</stp>
        <stp>ImpliedVol</stp>
        <tr r="G57" s="1"/>
      </tp>
      <tp>
        <v>0.35239999999999999</v>
        <stp/>
        <stp>10004292.SH</stp>
        <stp>ImpliedVol</stp>
        <tr r="P6" s="1"/>
      </tp>
      <tp>
        <v>0.36410000000000003</v>
        <stp/>
        <stp>10004282.SH</stp>
        <stp>ImpliedVol</stp>
        <tr r="G5" s="1"/>
      </tp>
      <tp>
        <v>0.1951</v>
        <stp/>
        <stp>10004352.SH</stp>
        <stp>ImpliedVol</stp>
        <tr r="P23" s="1"/>
      </tp>
      <tp>
        <v>0.20020000000000002</v>
        <stp/>
        <stp>10004342.SH</stp>
        <stp>ImpliedVol</stp>
        <tr r="G22" s="1"/>
      </tp>
      <tp>
        <v>0.2039</v>
        <stp/>
        <stp>10004332.SH</stp>
        <stp>ImpliedVol</stp>
        <tr r="P64" s="1"/>
      </tp>
      <tp>
        <v>0.20580000000000001</v>
        <stp/>
        <stp>10004402.SH</stp>
        <stp>ImpliedVol</stp>
        <tr r="P67" s="1"/>
      </tp>
      <tp>
        <v>0.23820000000000002</v>
        <stp/>
        <stp>10003983.SH</stp>
        <stp>ImpliedVol</stp>
        <tr r="G50" s="1"/>
      </tp>
      <tp>
        <v>0.2107</v>
        <stp/>
        <stp>10004143.SH</stp>
        <stp>ImpliedVol</stp>
        <tr r="G37" s="1"/>
      </tp>
      <tp>
        <v>0.2041</v>
        <stp/>
        <stp>10004253.SH</stp>
        <stp>ImpliedVol</stp>
        <tr r="P59" s="1"/>
      </tp>
      <tp>
        <v>0.20650000000000002</v>
        <stp/>
        <stp>10004243.SH</stp>
        <stp>ImpliedVol</stp>
        <tr r="G58" s="1"/>
      </tp>
      <tp>
        <v>0.20400000000000001</v>
        <stp/>
        <stp>10004273.SH</stp>
        <stp>ImpliedVol</stp>
        <tr r="G61" s="1"/>
      </tp>
      <tp>
        <v>0.27640000000000003</v>
        <stp/>
        <stp>10004293.SH</stp>
        <stp>ImpliedVol</stp>
        <tr r="P7" s="1"/>
      </tp>
      <tp>
        <v>0.30649999999999999</v>
        <stp/>
        <stp>10004283.SH</stp>
        <stp>ImpliedVol</stp>
        <tr r="G6" s="1"/>
      </tp>
      <tp>
        <v>0.18920000000000001</v>
        <stp/>
        <stp>10004353.SH</stp>
        <stp>ImpliedVol</stp>
        <tr r="P24" s="1"/>
      </tp>
      <tp>
        <v>0.19390000000000002</v>
        <stp/>
        <stp>10004343.SH</stp>
        <stp>ImpliedVol</stp>
        <tr r="G23" s="1"/>
      </tp>
      <tp>
        <v>0.22170000000000001</v>
        <stp/>
        <stp>10004403.SH</stp>
        <stp>ImpliedVol</stp>
        <tr r="G20" s="1"/>
      </tp>
      <tp>
        <v>0.20430000000000001</v>
        <stp/>
        <stp>10003990.SH</stp>
        <stp>ImpliedVol</stp>
        <tr r="P48" s="1"/>
      </tp>
      <tp>
        <v>0.19650000000000001</v>
        <stp/>
        <stp>10003980.SH</stp>
        <stp>ImpliedVol</stp>
        <tr r="G47" s="1"/>
      </tp>
      <tp>
        <v>0.2059</v>
        <stp/>
        <stp>10004250.SH</stp>
        <stp>ImpliedVol</stp>
        <tr r="P56" s="1"/>
      </tp>
      <tp>
        <v>0.21010000000000001</v>
        <stp/>
        <stp>10004240.SH</stp>
        <stp>ImpliedVol</stp>
        <tr r="G55" s="1"/>
      </tp>
      <tp>
        <v>0.22990000000000002</v>
        <stp/>
        <stp>10004220.SH</stp>
        <stp>ImpliedVol</stp>
        <tr r="P34" s="1"/>
      </tp>
      <tp>
        <v>0.4284</v>
        <stp/>
        <stp>10004290.SH</stp>
        <stp>ImpliedVol</stp>
        <tr r="P4" s="1"/>
      </tp>
      <tp>
        <v>0.2094</v>
        <stp/>
        <stp>10004350.SH</stp>
        <stp>ImpliedVol</stp>
        <tr r="P21" s="1"/>
      </tp>
      <tp>
        <v>0.20280000000000001</v>
        <stp/>
        <stp>10004340.SH</stp>
        <stp>ImpliedVol</stp>
        <tr r="P65" s="1"/>
      </tp>
      <tp>
        <v>0.54849999999999999</v>
        <stp/>
        <stp>10004330.SH</stp>
        <stp>ImpliedVol</stp>
        <tr r="P15" s="1"/>
      </tp>
      <tp>
        <v>0.20220000000000002</v>
        <stp/>
        <stp>10004390.SH</stp>
        <stp>ImpliedVol</stp>
        <tr r="P66" s="1"/>
      </tp>
      <tp>
        <v>0.26790000000000003</v>
        <stp/>
        <stp>10004400.SH</stp>
        <stp>ImpliedVol</stp>
        <tr r="P32" s="1"/>
      </tp>
      <tp>
        <v>0.20270000000000002</v>
        <stp/>
        <stp>10003991.SH</stp>
        <stp>ImpliedVol</stp>
        <tr r="P49" s="1"/>
      </tp>
      <tp>
        <v>0.20090000000000002</v>
        <stp/>
        <stp>10003981.SH</stp>
        <stp>ImpliedVol</stp>
        <tr r="G48" s="1"/>
      </tp>
      <tp>
        <v>0.2026</v>
        <stp/>
        <stp>10004081.SH</stp>
        <stp>ImpliedVol</stp>
        <tr r="G40" s="1"/>
      </tp>
      <tp>
        <v>0.20040000000000002</v>
        <stp/>
        <stp>10004141.SH</stp>
        <stp>ImpliedVol</stp>
        <tr r="G35" s="1"/>
      </tp>
      <tp>
        <v>0.20770000000000002</v>
        <stp/>
        <stp>10004121.SH</stp>
        <stp>ImpliedVol</stp>
        <tr r="G38" s="1"/>
      </tp>
      <tp>
        <v>0.2056</v>
        <stp/>
        <stp>10004251.SH</stp>
        <stp>ImpliedVol</stp>
        <tr r="P57" s="1"/>
      </tp>
      <tp>
        <v>0.20750000000000002</v>
        <stp/>
        <stp>10004241.SH</stp>
        <stp>ImpliedVol</stp>
        <tr r="G56" s="1"/>
      </tp>
      <tp>
        <v>0.33390000000000003</v>
        <stp/>
        <stp>10004291.SH</stp>
        <stp>ImpliedVol</stp>
        <tr r="P5" s="1"/>
      </tp>
      <tp>
        <v>0.55230000000000001</v>
        <stp/>
        <stp>10004281.SH</stp>
        <stp>ImpliedVol</stp>
        <tr r="G4" s="1"/>
      </tp>
      <tp>
        <v>0.20130000000000001</v>
        <stp/>
        <stp>10004351.SH</stp>
        <stp>ImpliedVol</stp>
        <tr r="P22" s="1"/>
      </tp>
      <tp>
        <v>0.20780000000000001</v>
        <stp/>
        <stp>10004341.SH</stp>
        <stp>ImpliedVol</stp>
        <tr r="G21" s="1"/>
      </tp>
      <tp>
        <v>0.20250000000000001</v>
        <stp/>
        <stp>10004331.SH</stp>
        <stp>ImpliedVol</stp>
        <tr r="G64" s="1"/>
      </tp>
      <tp>
        <v>0.20600000000000002</v>
        <stp/>
        <stp>10004401.SH</stp>
        <stp>ImpliedVol</stp>
        <tr r="G67" s="1"/>
      </tp>
      <tp>
        <v>1.9</v>
        <stp/>
        <stp>10004249.SH</stp>
        <stp>PctChg</stp>
        <tr r="M55" s="1"/>
      </tp>
      <tp>
        <v>-2.35</v>
        <stp/>
        <stp>10004219.SH</stp>
        <stp>PctChg</stp>
        <tr r="D34" s="1"/>
      </tp>
      <tp>
        <v>-2.9000000000000004</v>
        <stp/>
        <stp>10004239.SH</stp>
        <stp>PctChg</stp>
        <tr r="D54" s="1"/>
      </tp>
      <tp>
        <v>-65.850000000000009</v>
        <stp/>
        <stp>10004289.SH</stp>
        <stp>PctChg</stp>
        <tr r="D12" s="1"/>
      </tp>
      <tp>
        <v>-2.7800000000000002</v>
        <stp/>
        <stp>10004349.SH</stp>
        <stp>PctChg</stp>
        <tr r="D29" s="1"/>
      </tp>
      <tp>
        <v>-8.35</v>
        <stp/>
        <stp>10004339.SH</stp>
        <stp>PctChg</stp>
        <tr r="D65" s="1"/>
      </tp>
      <tp>
        <v>-33.330000000000005</v>
        <stp/>
        <stp>10004329.SH</stp>
        <stp>PctChg</stp>
        <tr r="D15" s="1"/>
      </tp>
      <tp>
        <v>-14.29</v>
        <stp/>
        <stp>10004399.SH</stp>
        <stp>PctChg</stp>
        <tr r="D32" s="1"/>
      </tp>
      <tp>
        <v>-7.95</v>
        <stp/>
        <stp>10004389.SH</stp>
        <stp>PctChg</stp>
        <tr r="D66" s="1"/>
      </tp>
      <tp>
        <v>-10.930000000000001</v>
        <stp/>
        <stp>10003979.SH</stp>
        <stp>PctChg</stp>
        <tr r="D46" s="1"/>
      </tp>
      <tp>
        <v>2.11</v>
        <stp/>
        <stp>10003989.SH</stp>
        <stp>PctChg</stp>
        <tr r="M47" s="1"/>
      </tp>
      <tp>
        <v>1.9200000000000002</v>
        <stp/>
        <stp>10004248.SH</stp>
        <stp>PctChg</stp>
        <tr r="M54" s="1"/>
      </tp>
      <tp>
        <v>-4.2300000000000004</v>
        <stp/>
        <stp>10004238.SH</stp>
        <stp>PctChg</stp>
        <tr r="D53" s="1"/>
      </tp>
      <tp>
        <v>14.82</v>
        <stp/>
        <stp>10004298.SH</stp>
        <stp>PctChg</stp>
        <tr r="M12" s="1"/>
      </tp>
      <tp>
        <v>-43.860000000000007</v>
        <stp/>
        <stp>10004288.SH</stp>
        <stp>PctChg</stp>
        <tr r="D11" s="1"/>
      </tp>
      <tp>
        <v>0.38</v>
        <stp/>
        <stp>10004358.SH</stp>
        <stp>PctChg</stp>
        <tr r="M29" s="1"/>
      </tp>
      <tp>
        <v>-13.639999999999999</v>
        <stp/>
        <stp>10004348.SH</stp>
        <stp>PctChg</stp>
        <tr r="D28" s="1"/>
      </tp>
      <tp>
        <v>1.31</v>
        <stp/>
        <stp>10004378.SH</stp>
        <stp>PctChg</stp>
        <tr r="M30" s="1"/>
      </tp>
      <tp>
        <v>8.41</v>
        <stp/>
        <stp>10004318.SH</stp>
        <stp>PctChg</stp>
        <tr r="M13" s="1"/>
      </tp>
      <tp>
        <v>1.67</v>
        <stp/>
        <stp>10004338.SH</stp>
        <stp>PctChg</stp>
        <tr r="M16" s="1"/>
      </tp>
      <tp>
        <v>2.6</v>
        <stp/>
        <stp>10004328.SH</stp>
        <stp>PctChg</stp>
        <tr r="M63" s="1"/>
      </tp>
      <tp>
        <v>1.55</v>
        <stp/>
        <stp>10004398.SH</stp>
        <stp>PctChg</stp>
        <tr r="M18" s="1"/>
      </tp>
      <tp>
        <v>-0.96000000000000008</v>
        <stp/>
        <stp>10004388.SH</stp>
        <stp>PctChg</stp>
        <tr r="M31" s="1"/>
      </tp>
      <tp>
        <v>-9.06</v>
        <stp/>
        <stp>10003978.SH</stp>
        <stp>PctChg</stp>
        <tr r="D45" s="1"/>
      </tp>
      <tp>
        <v>3.0500000000000003</v>
        <stp/>
        <stp>10003988.SH</stp>
        <stp>PctChg</stp>
        <tr r="M46" s="1"/>
      </tp>
      <tp>
        <v>-3.3800000000000003</v>
        <stp/>
        <stp>10004143.SH</stp>
        <stp>PctChg</stp>
        <tr r="D37" s="1"/>
      </tp>
      <tp>
        <v>1.3</v>
        <stp/>
        <stp>10004253.SH</stp>
        <stp>PctChg</stp>
        <tr r="M59" s="1"/>
      </tp>
      <tp>
        <v>-4.17</v>
        <stp/>
        <stp>10004243.SH</stp>
        <stp>PctChg</stp>
        <tr r="D58" s="1"/>
      </tp>
      <tp>
        <v>-5.36</v>
        <stp/>
        <stp>10004273.SH</stp>
        <stp>PctChg</stp>
        <tr r="D61" s="1"/>
      </tp>
      <tp>
        <v>-33.330000000000005</v>
        <stp/>
        <stp>10004293.SH</stp>
        <stp>PctChg</stp>
        <tr r="M7" s="1"/>
      </tp>
      <tp>
        <v>-5.12</v>
        <stp/>
        <stp>10004283.SH</stp>
        <stp>PctChg</stp>
        <tr r="D6" s="1"/>
      </tp>
      <tp>
        <v>4.95</v>
        <stp/>
        <stp>10004353.SH</stp>
        <stp>PctChg</stp>
        <tr r="M24" s="1"/>
      </tp>
      <tp>
        <v>-7.9</v>
        <stp/>
        <stp>10004343.SH</stp>
        <stp>PctChg</stp>
        <tr r="D23" s="1"/>
      </tp>
      <tp>
        <v>-4.0600000000000005</v>
        <stp/>
        <stp>10004403.SH</stp>
        <stp>PctChg</stp>
        <tr r="D20" s="1"/>
      </tp>
      <tp>
        <v>-4.55</v>
        <stp/>
        <stp>10003983.SH</stp>
        <stp>PctChg</stp>
        <tr r="D50" s="1"/>
      </tp>
      <tp>
        <v>4.0199999999999996</v>
        <stp/>
        <stp>10004082.SH</stp>
        <stp>PctChg</stp>
        <tr r="M40" s="1"/>
      </tp>
      <tp>
        <v>-2.27</v>
        <stp/>
        <stp>10004142.SH</stp>
        <stp>PctChg</stp>
        <tr r="D36" s="1"/>
      </tp>
      <tp>
        <v>4.1100000000000003</v>
        <stp/>
        <stp>10004122.SH</stp>
        <stp>PctChg</stp>
        <tr r="M38" s="1"/>
      </tp>
      <tp>
        <v>2.52</v>
        <stp/>
        <stp>10004252.SH</stp>
        <stp>PctChg</stp>
        <tr r="M58" s="1"/>
      </tp>
      <tp>
        <v>-4.66</v>
        <stp/>
        <stp>10004242.SH</stp>
        <stp>PctChg</stp>
        <tr r="D57" s="1"/>
      </tp>
      <tp>
        <v>-50</v>
        <stp/>
        <stp>10004292.SH</stp>
        <stp>PctChg</stp>
        <tr r="M6" s="1"/>
      </tp>
      <tp>
        <v>-3.2300000000000004</v>
        <stp/>
        <stp>10004282.SH</stp>
        <stp>PctChg</stp>
        <tr r="D5" s="1"/>
      </tp>
      <tp>
        <v>6.25</v>
        <stp/>
        <stp>10004352.SH</stp>
        <stp>PctChg</stp>
        <tr r="M23" s="1"/>
      </tp>
      <tp>
        <v>-6.5299999999999994</v>
        <stp/>
        <stp>10004342.SH</stp>
        <stp>PctChg</stp>
        <tr r="D22" s="1"/>
      </tp>
      <tp>
        <v>3.29</v>
        <stp/>
        <stp>10004332.SH</stp>
        <stp>PctChg</stp>
        <tr r="M64" s="1"/>
      </tp>
      <tp>
        <v>-0.65</v>
        <stp/>
        <stp>10004402.SH</stp>
        <stp>PctChg</stp>
        <tr r="M67" s="1"/>
      </tp>
      <tp>
        <v>-0.26</v>
        <stp/>
        <stp>10003992.SH</stp>
        <stp>PctChg</stp>
        <tr r="M50" s="1"/>
      </tp>
      <tp>
        <v>-15.52</v>
        <stp/>
        <stp>10003982.SH</stp>
        <stp>PctChg</stp>
        <tr r="D49" s="1"/>
      </tp>
      <tp>
        <v>-4.05</v>
        <stp/>
        <stp>10004081.SH</stp>
        <stp>PctChg</stp>
        <tr r="D40" s="1"/>
      </tp>
      <tp>
        <v>-2.8400000000000003</v>
        <stp/>
        <stp>10004141.SH</stp>
        <stp>PctChg</stp>
        <tr r="D35" s="1"/>
      </tp>
      <tp>
        <v>-4.1100000000000003</v>
        <stp/>
        <stp>10004121.SH</stp>
        <stp>PctChg</stp>
        <tr r="D38" s="1"/>
      </tp>
      <tp>
        <v>-0.66</v>
        <stp/>
        <stp>10004251.SH</stp>
        <stp>PctChg</stp>
        <tr r="M57" s="1"/>
      </tp>
      <tp>
        <v>-2.93</v>
        <stp/>
        <stp>10004241.SH</stp>
        <stp>PctChg</stp>
        <tr r="D56" s="1"/>
      </tp>
      <tp>
        <v>0</v>
        <stp/>
        <stp>10004291.SH</stp>
        <stp>PctChg</stp>
        <tr r="M5" s="1"/>
      </tp>
      <tp>
        <v>-2.2500000000000004</v>
        <stp/>
        <stp>10004281.SH</stp>
        <stp>PctChg</stp>
        <tr r="D4" s="1"/>
      </tp>
      <tp>
        <v>2.4800000000000004</v>
        <stp/>
        <stp>10004351.SH</stp>
        <stp>PctChg</stp>
        <tr r="M22" s="1"/>
      </tp>
      <tp>
        <v>-5.08</v>
        <stp/>
        <stp>10004341.SH</stp>
        <stp>PctChg</stp>
        <tr r="D21" s="1"/>
      </tp>
      <tp>
        <v>-7.7700000000000005</v>
        <stp/>
        <stp>10004331.SH</stp>
        <stp>PctChg</stp>
        <tr r="D64" s="1"/>
      </tp>
      <tp>
        <v>-10</v>
        <stp/>
        <stp>10004401.SH</stp>
        <stp>PctChg</stp>
        <tr r="D67" s="1"/>
      </tp>
      <tp>
        <v>-0.37</v>
        <stp/>
        <stp>10003991.SH</stp>
        <stp>PctChg</stp>
        <tr r="M49" s="1"/>
      </tp>
      <tp>
        <v>-18.09</v>
        <stp/>
        <stp>10003981.SH</stp>
        <stp>PctChg</stp>
        <tr r="D48" s="1"/>
      </tp>
      <tp>
        <v>2.0900000000000003</v>
        <stp/>
        <stp>10004250.SH</stp>
        <stp>PctChg</stp>
        <tr r="M56" s="1"/>
      </tp>
      <tp>
        <v>-2.62</v>
        <stp/>
        <stp>10004240.SH</stp>
        <stp>PctChg</stp>
        <tr r="D55" s="1"/>
      </tp>
      <tp>
        <v>-3.51</v>
        <stp/>
        <stp>10004220.SH</stp>
        <stp>PctChg</stp>
        <tr r="M34" s="1"/>
      </tp>
      <tp>
        <v>0</v>
        <stp/>
        <stp>10004290.SH</stp>
        <stp>PctChg</stp>
        <tr r="M4" s="1"/>
      </tp>
      <tp>
        <v>1.54</v>
        <stp/>
        <stp>10004350.SH</stp>
        <stp>PctChg</stp>
        <tr r="M21" s="1"/>
      </tp>
      <tp>
        <v>1.29</v>
        <stp/>
        <stp>10004340.SH</stp>
        <stp>PctChg</stp>
        <tr r="M65" s="1"/>
      </tp>
      <tp>
        <v>1.5700000000000003</v>
        <stp/>
        <stp>10004330.SH</stp>
        <stp>PctChg</stp>
        <tr r="M15" s="1"/>
      </tp>
      <tp>
        <v>2.34</v>
        <stp/>
        <stp>10004390.SH</stp>
        <stp>PctChg</stp>
        <tr r="M66" s="1"/>
      </tp>
      <tp>
        <v>-0.24000000000000002</v>
        <stp/>
        <stp>10004400.SH</stp>
        <stp>PctChg</stp>
        <tr r="M32" s="1"/>
      </tp>
      <tp>
        <v>1.31</v>
        <stp/>
        <stp>10003990.SH</stp>
        <stp>PctChg</stp>
        <tr r="M48" s="1"/>
      </tp>
      <tp>
        <v>-14.37</v>
        <stp/>
        <stp>10003980.SH</stp>
        <stp>PctChg</stp>
        <tr r="D47" s="1"/>
      </tp>
      <tp>
        <v>1.6099999999999999</v>
        <stp/>
        <stp>10004247.SH</stp>
        <stp>PctChg</stp>
        <tr r="M53" s="1"/>
      </tp>
      <tp>
        <v>-2.74</v>
        <stp/>
        <stp>10004237.SH</stp>
        <stp>PctChg</stp>
        <tr r="D52" s="1"/>
      </tp>
      <tp>
        <v>14.180000000000001</v>
        <stp/>
        <stp>10004297.SH</stp>
        <stp>PctChg</stp>
        <tr r="M11" s="1"/>
      </tp>
      <tp>
        <v>-26.14</v>
        <stp/>
        <stp>10004287.SH</stp>
        <stp>PctChg</stp>
        <tr r="D10" s="1"/>
      </tp>
      <tp>
        <v>4.0600000000000005</v>
        <stp/>
        <stp>10004357.SH</stp>
        <stp>PctChg</stp>
        <tr r="M28" s="1"/>
      </tp>
      <tp>
        <v>-14.400000000000002</v>
        <stp/>
        <stp>10004347.SH</stp>
        <stp>PctChg</stp>
        <tr r="D27" s="1"/>
      </tp>
      <tp>
        <v>-8.7000000000000011</v>
        <stp/>
        <stp>10004377.SH</stp>
        <stp>PctChg</stp>
        <tr r="D30" s="1"/>
      </tp>
      <tp>
        <v>-50</v>
        <stp/>
        <stp>10004317.SH</stp>
        <stp>PctChg</stp>
        <tr r="D13" s="1"/>
      </tp>
      <tp>
        <v>-50</v>
        <stp/>
        <stp>10004337.SH</stp>
        <stp>PctChg</stp>
        <tr r="D16" s="1"/>
      </tp>
      <tp>
        <v>-5.99</v>
        <stp/>
        <stp>10004327.SH</stp>
        <stp>PctChg</stp>
        <tr r="D63" s="1"/>
      </tp>
      <tp>
        <v>0</v>
        <stp/>
        <stp>10004397.SH</stp>
        <stp>PctChg</stp>
        <tr r="D18" s="1"/>
      </tp>
      <tp>
        <v>-15.790000000000001</v>
        <stp/>
        <stp>10004387.SH</stp>
        <stp>PctChg</stp>
        <tr r="D31" s="1"/>
      </tp>
      <tp>
        <v>-8.14</v>
        <stp/>
        <stp>10003977.SH</stp>
        <stp>PctChg</stp>
        <tr r="D44" s="1"/>
      </tp>
      <tp>
        <v>3.39</v>
        <stp/>
        <stp>10003987.SH</stp>
        <stp>PctChg</stp>
        <tr r="M45" s="1"/>
      </tp>
      <tp>
        <v>5.0599999999999996</v>
        <stp/>
        <stp>10004026.SH</stp>
        <stp>PctChg</stp>
        <tr r="M41" s="1"/>
      </tp>
      <tp>
        <v>2.56</v>
        <stp/>
        <stp>10004146.SH</stp>
        <stp>PctChg</stp>
        <tr r="M37" s="1"/>
      </tp>
      <tp>
        <v>3.5700000000000003</v>
        <stp/>
        <stp>10004106.SH</stp>
        <stp>PctChg</stp>
        <tr r="M39" s="1"/>
      </tp>
      <tp>
        <v>-0.68</v>
        <stp/>
        <stp>10004246.SH</stp>
        <stp>PctChg</stp>
        <tr r="M52" s="1"/>
      </tp>
      <tp>
        <v>1.6199999999999999</v>
        <stp/>
        <stp>10004276.SH</stp>
        <stp>PctChg</stp>
        <tr r="M62" s="1"/>
      </tp>
      <tp>
        <v>-12.22</v>
        <stp/>
        <stp>10004296.SH</stp>
        <stp>PctChg</stp>
        <tr r="M10" s="1"/>
      </tp>
      <tp>
        <v>-13.94</v>
        <stp/>
        <stp>10004286.SH</stp>
        <stp>PctChg</stp>
        <tr r="D9" s="1"/>
      </tp>
      <tp>
        <v>7.9700000000000006</v>
        <stp/>
        <stp>10004356.SH</stp>
        <stp>PctChg</stp>
        <tr r="M27" s="1"/>
      </tp>
      <tp>
        <v>-16.590000000000003</v>
        <stp/>
        <stp>10004346.SH</stp>
        <stp>PctChg</stp>
        <tr r="D26" s="1"/>
      </tp>
      <tp>
        <v>3.8700000000000006</v>
        <stp/>
        <stp>10004326.SH</stp>
        <stp>PctChg</stp>
        <tr r="M14" s="1"/>
      </tp>
      <tp>
        <v>1.4000000000000001</v>
        <stp/>
        <stp>10004386.SH</stp>
        <stp>PctChg</stp>
        <tr r="M17" s="1"/>
      </tp>
      <tp>
        <v>-6.88</v>
        <stp/>
        <stp>10003976.SH</stp>
        <stp>PctChg</stp>
        <tr r="D43" s="1"/>
      </tp>
      <tp>
        <v>4.3099999999999996</v>
        <stp/>
        <stp>10003986.SH</stp>
        <stp>PctChg</stp>
        <tr r="M44" s="1"/>
      </tp>
      <tp>
        <v>-4.5999999999999996</v>
        <stp/>
        <stp>10004025.SH</stp>
        <stp>PctChg</stp>
        <tr r="D41" s="1"/>
      </tp>
      <tp>
        <v>-4.46</v>
        <stp/>
        <stp>10004145.SH</stp>
        <stp>PctChg</stp>
        <tr r="M36" s="1"/>
      </tp>
      <tp>
        <v>-5.0500000000000007</v>
        <stp/>
        <stp>10004105.SH</stp>
        <stp>PctChg</stp>
        <tr r="D39" s="1"/>
      </tp>
      <tp>
        <v>-5.2700000000000005</v>
        <stp/>
        <stp>10004245.SH</stp>
        <stp>PctChg</stp>
        <tr r="D60" s="1"/>
      </tp>
      <tp>
        <v>-6.68</v>
        <stp/>
        <stp>10004275.SH</stp>
        <stp>PctChg</stp>
        <tr r="D62" s="1"/>
      </tp>
      <tp>
        <v>-26.090000000000003</v>
        <stp/>
        <stp>10004295.SH</stp>
        <stp>PctChg</stp>
        <tr r="M9" s="1"/>
      </tp>
      <tp>
        <v>-5.91</v>
        <stp/>
        <stp>10004285.SH</stp>
        <stp>PctChg</stp>
        <tr r="D8" s="1"/>
      </tp>
      <tp>
        <v>6.2800000000000011</v>
        <stp/>
        <stp>10004355.SH</stp>
        <stp>PctChg</stp>
        <tr r="M26" s="1"/>
      </tp>
      <tp>
        <v>-10.3</v>
        <stp/>
        <stp>10004345.SH</stp>
        <stp>PctChg</stp>
        <tr r="D25" s="1"/>
      </tp>
      <tp>
        <v>-33.330000000000005</v>
        <stp/>
        <stp>10004325.SH</stp>
        <stp>PctChg</stp>
        <tr r="D14" s="1"/>
      </tp>
      <tp>
        <v>-50</v>
        <stp/>
        <stp>10004385.SH</stp>
        <stp>PctChg</stp>
        <tr r="D17" s="1"/>
      </tp>
      <tp>
        <v>-6.25</v>
        <stp/>
        <stp>10003975.SH</stp>
        <stp>PctChg</stp>
        <tr r="D42" s="1"/>
      </tp>
      <tp>
        <v>4.1900000000000004</v>
        <stp/>
        <stp>10003985.SH</stp>
        <stp>PctChg</stp>
        <tr r="M43" s="1"/>
      </tp>
      <tp>
        <v>-6.58</v>
        <stp/>
        <stp>10004144.SH</stp>
        <stp>PctChg</stp>
        <tr r="M35" s="1"/>
      </tp>
      <tp>
        <v>1.6099999999999999</v>
        <stp/>
        <stp>10004254.SH</stp>
        <stp>PctChg</stp>
        <tr r="M60" s="1"/>
      </tp>
      <tp>
        <v>-5.3500000000000005</v>
        <stp/>
        <stp>10004244.SH</stp>
        <stp>PctChg</stp>
        <tr r="D59" s="1"/>
      </tp>
      <tp>
        <v>1.26</v>
        <stp/>
        <stp>10004274.SH</stp>
        <stp>PctChg</stp>
        <tr r="M61" s="1"/>
      </tp>
      <tp>
        <v>-44.440000000000005</v>
        <stp/>
        <stp>10004294.SH</stp>
        <stp>PctChg</stp>
        <tr r="M8" s="1"/>
      </tp>
      <tp>
        <v>-5.5600000000000005</v>
        <stp/>
        <stp>10004284.SH</stp>
        <stp>PctChg</stp>
        <tr r="D7" s="1"/>
      </tp>
      <tp>
        <v>3.8200000000000003</v>
        <stp/>
        <stp>10004354.SH</stp>
        <stp>PctChg</stp>
        <tr r="M25" s="1"/>
      </tp>
      <tp>
        <v>-7.0000000000000009</v>
        <stp/>
        <stp>10004344.SH</stp>
        <stp>PctChg</stp>
        <tr r="D24" s="1"/>
      </tp>
      <tp>
        <v>-2.41</v>
        <stp/>
        <stp>10004404.SH</stp>
        <stp>PctChg</stp>
        <tr r="M20" s="1"/>
      </tp>
      <tp>
        <v>4.63</v>
        <stp/>
        <stp>10003984.SH</stp>
        <stp>PctChg</stp>
        <tr r="M42" s="1"/>
      </tp>
      <tp>
        <v>5842</v>
        <stp/>
        <stp>10003989.SH</stp>
        <stp>rt_oi</stp>
        <stp>RT_Price</stp>
        <tr r="O47" s="1"/>
      </tp>
      <tp>
        <v>28607</v>
        <stp/>
        <stp>10003979.SH</stp>
        <stp>rt_oi</stp>
        <stp>RT_Price</stp>
        <tr r="F46" s="1"/>
      </tp>
      <tp>
        <v>7304</v>
        <stp/>
        <stp>10004389.SH</stp>
        <stp>rt_oi</stp>
        <stp>RT_Price</stp>
        <tr r="F66" s="1"/>
      </tp>
      <tp>
        <v>23777</v>
        <stp/>
        <stp>10004399.SH</stp>
        <stp>rt_oi</stp>
        <stp>RT_Price</stp>
        <tr r="F32" s="1"/>
      </tp>
      <tp>
        <v>43812</v>
        <stp/>
        <stp>10004349.SH</stp>
        <stp>rt_oi</stp>
        <stp>RT_Price</stp>
        <tr r="F29" s="1"/>
      </tp>
      <tp>
        <v>109234</v>
        <stp/>
        <stp>10004329.SH</stp>
        <stp>rt_oi</stp>
        <stp>RT_Price</stp>
        <tr r="F15" s="1"/>
      </tp>
      <tp>
        <v>6875</v>
        <stp/>
        <stp>10004339.SH</stp>
        <stp>rt_oi</stp>
        <stp>RT_Price</stp>
        <tr r="F65" s="1"/>
      </tp>
      <tp>
        <v>100949</v>
        <stp/>
        <stp>10004289.SH</stp>
        <stp>rt_oi</stp>
        <stp>RT_Price</stp>
        <tr r="F12" s="1"/>
      </tp>
      <tp>
        <v>4374</v>
        <stp/>
        <stp>10004249.SH</stp>
        <stp>rt_oi</stp>
        <stp>RT_Price</stp>
        <tr r="O55" s="1"/>
      </tp>
      <tp>
        <v>420</v>
        <stp/>
        <stp>10004239.SH</stp>
        <stp>rt_oi</stp>
        <stp>RT_Price</stp>
        <tr r="F54" s="1"/>
      </tp>
      <tp>
        <v>702</v>
        <stp/>
        <stp>10004219.SH</stp>
        <stp>rt_oi</stp>
        <stp>RT_Price</stp>
        <tr r="F34" s="1"/>
      </tp>
      <tp>
        <v>6752</v>
        <stp/>
        <stp>10003988.SH</stp>
        <stp>rt_oi</stp>
        <stp>RT_Price</stp>
        <tr r="O46" s="1"/>
      </tp>
      <tp>
        <v>22228</v>
        <stp/>
        <stp>10003978.SH</stp>
        <stp>rt_oi</stp>
        <stp>RT_Price</stp>
        <tr r="F45" s="1"/>
      </tp>
      <tp>
        <v>918</v>
        <stp/>
        <stp>10004388.SH</stp>
        <stp>rt_oi</stp>
        <stp>RT_Price</stp>
        <tr r="O31" s="1"/>
      </tp>
      <tp>
        <v>198</v>
        <stp/>
        <stp>10004398.SH</stp>
        <stp>rt_oi</stp>
        <stp>RT_Price</stp>
        <tr r="O18" s="1"/>
      </tp>
      <tp>
        <v>1240</v>
        <stp/>
        <stp>10004378.SH</stp>
        <stp>rt_oi</stp>
        <stp>RT_Price</stp>
        <tr r="O30" s="1"/>
      </tp>
      <tp>
        <v>70417</v>
        <stp/>
        <stp>10004348.SH</stp>
        <stp>rt_oi</stp>
        <stp>RT_Price</stp>
        <tr r="F28" s="1"/>
      </tp>
      <tp>
        <v>4686</v>
        <stp/>
        <stp>10004358.SH</stp>
        <stp>rt_oi</stp>
        <stp>RT_Price</stp>
        <tr r="O29" s="1"/>
      </tp>
      <tp>
        <v>2374</v>
        <stp/>
        <stp>10004328.SH</stp>
        <stp>rt_oi</stp>
        <stp>RT_Price</stp>
        <tr r="O63" s="1"/>
      </tp>
      <tp>
        <v>3003</v>
        <stp/>
        <stp>10004338.SH</stp>
        <stp>rt_oi</stp>
        <stp>RT_Price</stp>
        <tr r="O16" s="1"/>
      </tp>
      <tp>
        <v>23578</v>
        <stp/>
        <stp>10004318.SH</stp>
        <stp>rt_oi</stp>
        <stp>RT_Price</stp>
        <tr r="O13" s="1"/>
      </tp>
      <tp>
        <v>111341</v>
        <stp/>
        <stp>10004288.SH</stp>
        <stp>rt_oi</stp>
        <stp>RT_Price</stp>
        <tr r="F11" s="1"/>
      </tp>
      <tp>
        <v>35076</v>
        <stp/>
        <stp>10004298.SH</stp>
        <stp>rt_oi</stp>
        <stp>RT_Price</stp>
        <tr r="O12" s="1"/>
      </tp>
      <tp>
        <v>8813</v>
        <stp/>
        <stp>10004248.SH</stp>
        <stp>rt_oi</stp>
        <stp>RT_Price</stp>
        <tr r="O54" s="1"/>
      </tp>
      <tp>
        <v>515</v>
        <stp/>
        <stp>10004238.SH</stp>
        <stp>rt_oi</stp>
        <stp>RT_Price</stp>
        <tr r="F53" s="1"/>
      </tp>
      <tp>
        <v>35253</v>
        <stp/>
        <stp>10003981.SH</stp>
        <stp>rt_oi</stp>
        <stp>RT_Price</stp>
        <tr r="F48" s="1"/>
      </tp>
      <tp>
        <v>2915</v>
        <stp/>
        <stp>10003991.SH</stp>
        <stp>rt_oi</stp>
        <stp>RT_Price</stp>
        <tr r="O49" s="1"/>
      </tp>
      <tp>
        <v>8703</v>
        <stp/>
        <stp>10004401.SH</stp>
        <stp>rt_oi</stp>
        <stp>RT_Price</stp>
        <tr r="F67" s="1"/>
      </tp>
      <tp>
        <v>5386</v>
        <stp/>
        <stp>10004141.SH</stp>
        <stp>rt_oi</stp>
        <stp>RT_Price</stp>
        <tr r="F35" s="1"/>
      </tp>
      <tp>
        <v>1015</v>
        <stp/>
        <stp>10004121.SH</stp>
        <stp>rt_oi</stp>
        <stp>RT_Price</stp>
        <tr r="F38" s="1"/>
      </tp>
      <tp>
        <v>5622</v>
        <stp/>
        <stp>10004081.SH</stp>
        <stp>rt_oi</stp>
        <stp>RT_Price</stp>
        <tr r="F40" s="1"/>
      </tp>
      <tp>
        <v>2388</v>
        <stp/>
        <stp>10004341.SH</stp>
        <stp>rt_oi</stp>
        <stp>RT_Price</stp>
        <tr r="F21" s="1"/>
      </tp>
      <tp>
        <v>31145</v>
        <stp/>
        <stp>10004351.SH</stp>
        <stp>rt_oi</stp>
        <stp>RT_Price</stp>
        <tr r="O22" s="1"/>
      </tp>
      <tp>
        <v>11190</v>
        <stp/>
        <stp>10004331.SH</stp>
        <stp>rt_oi</stp>
        <stp>RT_Price</stp>
        <tr r="F64" s="1"/>
      </tp>
      <tp>
        <v>831</v>
        <stp/>
        <stp>10004281.SH</stp>
        <stp>rt_oi</stp>
        <stp>RT_Price</stp>
        <tr r="F4" s="1"/>
      </tp>
      <tp>
        <v>29802</v>
        <stp/>
        <stp>10004291.SH</stp>
        <stp>rt_oi</stp>
        <stp>RT_Price</stp>
        <tr r="O5" s="1"/>
      </tp>
      <tp>
        <v>1152</v>
        <stp/>
        <stp>10004241.SH</stp>
        <stp>rt_oi</stp>
        <stp>RT_Price</stp>
        <tr r="F56" s="1"/>
      </tp>
      <tp>
        <v>4000</v>
        <stp/>
        <stp>10004251.SH</stp>
        <stp>rt_oi</stp>
        <stp>RT_Price</stp>
        <tr r="O57" s="1"/>
      </tp>
      <tp>
        <v>30489</v>
        <stp/>
        <stp>10003980.SH</stp>
        <stp>rt_oi</stp>
        <stp>RT_Price</stp>
        <tr r="F47" s="1"/>
      </tp>
      <tp>
        <v>4272</v>
        <stp/>
        <stp>10003990.SH</stp>
        <stp>rt_oi</stp>
        <stp>RT_Price</stp>
        <tr r="O48" s="1"/>
      </tp>
      <tp>
        <v>1099</v>
        <stp/>
        <stp>10004400.SH</stp>
        <stp>rt_oi</stp>
        <stp>RT_Price</stp>
        <tr r="O32" s="1"/>
      </tp>
      <tp>
        <v>753</v>
        <stp/>
        <stp>10004390.SH</stp>
        <stp>rt_oi</stp>
        <stp>RT_Price</stp>
        <tr r="O66" s="1"/>
      </tp>
      <tp>
        <v>1384</v>
        <stp/>
        <stp>10004340.SH</stp>
        <stp>rt_oi</stp>
        <stp>RT_Price</stp>
        <tr r="O65" s="1"/>
      </tp>
      <tp>
        <v>35434</v>
        <stp/>
        <stp>10004350.SH</stp>
        <stp>rt_oi</stp>
        <stp>RT_Price</stp>
        <tr r="O21" s="1"/>
      </tp>
      <tp>
        <v>7885</v>
        <stp/>
        <stp>10004330.SH</stp>
        <stp>rt_oi</stp>
        <stp>RT_Price</stp>
        <tr r="O15" s="1"/>
      </tp>
      <tp>
        <v>37344</v>
        <stp/>
        <stp>10004290.SH</stp>
        <stp>rt_oi</stp>
        <stp>RT_Price</stp>
        <tr r="O4" s="1"/>
      </tp>
      <tp>
        <v>654</v>
        <stp/>
        <stp>10004240.SH</stp>
        <stp>rt_oi</stp>
        <stp>RT_Price</stp>
        <tr r="F55" s="1"/>
      </tp>
      <tp>
        <v>10205</v>
        <stp/>
        <stp>10004250.SH</stp>
        <stp>rt_oi</stp>
        <stp>RT_Price</stp>
        <tr r="O56" s="1"/>
      </tp>
      <tp>
        <v>21162</v>
        <stp/>
        <stp>10004220.SH</stp>
        <stp>rt_oi</stp>
        <stp>RT_Price</stp>
        <tr r="O34" s="1"/>
      </tp>
      <tp>
        <v>63035</v>
        <stp/>
        <stp>10003983.SH</stp>
        <stp>rt_oi</stp>
        <stp>RT_Price</stp>
        <tr r="F50" s="1"/>
      </tp>
      <tp>
        <v>966</v>
        <stp/>
        <stp>10004403.SH</stp>
        <stp>rt_oi</stp>
        <stp>RT_Price</stp>
        <tr r="F20" s="1"/>
      </tp>
      <tp>
        <v>3347</v>
        <stp/>
        <stp>10004143.SH</stp>
        <stp>rt_oi</stp>
        <stp>RT_Price</stp>
        <tr r="F37" s="1"/>
      </tp>
      <tp>
        <v>8923</v>
        <stp/>
        <stp>10004343.SH</stp>
        <stp>rt_oi</stp>
        <stp>RT_Price</stp>
        <tr r="F23" s="1"/>
      </tp>
      <tp>
        <v>60796</v>
        <stp/>
        <stp>10004353.SH</stp>
        <stp>rt_oi</stp>
        <stp>RT_Price</stp>
        <tr r="O24" s="1"/>
      </tp>
      <tp>
        <v>1513</v>
        <stp/>
        <stp>10004283.SH</stp>
        <stp>rt_oi</stp>
        <stp>RT_Price</stp>
        <tr r="F6" s="1"/>
      </tp>
      <tp>
        <v>38454</v>
        <stp/>
        <stp>10004293.SH</stp>
        <stp>rt_oi</stp>
        <stp>RT_Price</stp>
        <tr r="O7" s="1"/>
      </tp>
      <tp>
        <v>5317</v>
        <stp/>
        <stp>10004273.SH</stp>
        <stp>rt_oi</stp>
        <stp>RT_Price</stp>
        <tr r="F61" s="1"/>
      </tp>
      <tp>
        <v>4625</v>
        <stp/>
        <stp>10004243.SH</stp>
        <stp>rt_oi</stp>
        <stp>RT_Price</stp>
        <tr r="F58" s="1"/>
      </tp>
      <tp>
        <v>4237</v>
        <stp/>
        <stp>10004253.SH</stp>
        <stp>rt_oi</stp>
        <stp>RT_Price</stp>
        <tr r="O59" s="1"/>
      </tp>
      <tp>
        <v>49513</v>
        <stp/>
        <stp>10003982.SH</stp>
        <stp>rt_oi</stp>
        <stp>RT_Price</stp>
        <tr r="F49" s="1"/>
      </tp>
      <tp>
        <v>4019</v>
        <stp/>
        <stp>10003992.SH</stp>
        <stp>rt_oi</stp>
        <stp>RT_Price</stp>
        <tr r="O50" s="1"/>
      </tp>
      <tp>
        <v>1405</v>
        <stp/>
        <stp>10004402.SH</stp>
        <stp>rt_oi</stp>
        <stp>RT_Price</stp>
        <tr r="O67" s="1"/>
      </tp>
      <tp>
        <v>405</v>
        <stp/>
        <stp>10004142.SH</stp>
        <stp>rt_oi</stp>
        <stp>RT_Price</stp>
        <tr r="F36" s="1"/>
      </tp>
      <tp>
        <v>8356</v>
        <stp/>
        <stp>10004122.SH</stp>
        <stp>rt_oi</stp>
        <stp>RT_Price</stp>
        <tr r="O38" s="1"/>
      </tp>
      <tp>
        <v>13412</v>
        <stp/>
        <stp>10004082.SH</stp>
        <stp>rt_oi</stp>
        <stp>RT_Price</stp>
        <tr r="O40" s="1"/>
      </tp>
      <tp>
        <v>9516</v>
        <stp/>
        <stp>10004342.SH</stp>
        <stp>rt_oi</stp>
        <stp>RT_Price</stp>
        <tr r="F22" s="1"/>
      </tp>
      <tp>
        <v>38711</v>
        <stp/>
        <stp>10004352.SH</stp>
        <stp>rt_oi</stp>
        <stp>RT_Price</stp>
        <tr r="O23" s="1"/>
      </tp>
      <tp>
        <v>2125</v>
        <stp/>
        <stp>10004332.SH</stp>
        <stp>rt_oi</stp>
        <stp>RT_Price</stp>
        <tr r="O64" s="1"/>
      </tp>
      <tp>
        <v>640</v>
        <stp/>
        <stp>10004282.SH</stp>
        <stp>rt_oi</stp>
        <stp>RT_Price</stp>
        <tr r="F5" s="1"/>
      </tp>
      <tp>
        <v>23154</v>
        <stp/>
        <stp>10004292.SH</stp>
        <stp>rt_oi</stp>
        <stp>RT_Price</stp>
        <tr r="O6" s="1"/>
      </tp>
      <tp>
        <v>1631</v>
        <stp/>
        <stp>10004242.SH</stp>
        <stp>rt_oi</stp>
        <stp>RT_Price</stp>
        <tr r="F57" s="1"/>
      </tp>
      <tp>
        <v>3533</v>
        <stp/>
        <stp>10004252.SH</stp>
        <stp>rt_oi</stp>
        <stp>RT_Price</stp>
        <tr r="O58" s="1"/>
      </tp>
      <tp>
        <v>14168</v>
        <stp/>
        <stp>10003985.SH</stp>
        <stp>rt_oi</stp>
        <stp>RT_Price</stp>
        <tr r="O43" s="1"/>
      </tp>
      <tp>
        <v>9107</v>
        <stp/>
        <stp>10003975.SH</stp>
        <stp>rt_oi</stp>
        <stp>RT_Price</stp>
        <tr r="F42" s="1"/>
      </tp>
      <tp>
        <v>27338</v>
        <stp/>
        <stp>10004145.SH</stp>
        <stp>rt_oi</stp>
        <stp>RT_Price</stp>
        <tr r="O36" s="1"/>
      </tp>
      <tp>
        <v>2441</v>
        <stp/>
        <stp>10004105.SH</stp>
        <stp>rt_oi</stp>
        <stp>RT_Price</stp>
        <tr r="F39" s="1"/>
      </tp>
      <tp>
        <v>4751</v>
        <stp/>
        <stp>10004025.SH</stp>
        <stp>rt_oi</stp>
        <stp>RT_Price</stp>
        <tr r="F41" s="1"/>
      </tp>
      <tp>
        <v>58601</v>
        <stp/>
        <stp>10004385.SH</stp>
        <stp>rt_oi</stp>
        <stp>RT_Price</stp>
        <tr r="F17" s="1"/>
      </tp>
      <tp>
        <v>66853</v>
        <stp/>
        <stp>10004345.SH</stp>
        <stp>rt_oi</stp>
        <stp>RT_Price</stp>
        <tr r="F25" s="1"/>
      </tp>
      <tp>
        <v>30665</v>
        <stp/>
        <stp>10004355.SH</stp>
        <stp>rt_oi</stp>
        <stp>RT_Price</stp>
        <tr r="O26" s="1"/>
      </tp>
      <tp>
        <v>134079</v>
        <stp/>
        <stp>10004325.SH</stp>
        <stp>rt_oi</stp>
        <stp>RT_Price</stp>
        <tr r="F14" s="1"/>
      </tp>
      <tp>
        <v>3655</v>
        <stp/>
        <stp>10004285.SH</stp>
        <stp>rt_oi</stp>
        <stp>RT_Price</stp>
        <tr r="F8" s="1"/>
      </tp>
      <tp>
        <v>82180</v>
        <stp/>
        <stp>10004295.SH</stp>
        <stp>rt_oi</stp>
        <stp>RT_Price</stp>
        <tr r="O9" s="1"/>
      </tp>
      <tp>
        <v>9523</v>
        <stp/>
        <stp>10004275.SH</stp>
        <stp>rt_oi</stp>
        <stp>RT_Price</stp>
        <tr r="F62" s="1"/>
      </tp>
      <tp>
        <v>4535</v>
        <stp/>
        <stp>10004245.SH</stp>
        <stp>rt_oi</stp>
        <stp>RT_Price</stp>
        <tr r="F60" s="1"/>
      </tp>
      <tp>
        <v>14353</v>
        <stp/>
        <stp>10003984.SH</stp>
        <stp>rt_oi</stp>
        <stp>RT_Price</stp>
        <tr r="O42" s="1"/>
      </tp>
      <tp>
        <v>23331</v>
        <stp/>
        <stp>10004404.SH</stp>
        <stp>rt_oi</stp>
        <stp>RT_Price</stp>
        <tr r="O20" s="1"/>
      </tp>
      <tp>
        <v>34690</v>
        <stp/>
        <stp>10004144.SH</stp>
        <stp>rt_oi</stp>
        <stp>RT_Price</stp>
        <tr r="O35" s="1"/>
      </tp>
      <tp>
        <v>22029</v>
        <stp/>
        <stp>10004344.SH</stp>
        <stp>rt_oi</stp>
        <stp>RT_Price</stp>
        <tr r="F24" s="1"/>
      </tp>
      <tp>
        <v>78141</v>
        <stp/>
        <stp>10004354.SH</stp>
        <stp>rt_oi</stp>
        <stp>RT_Price</stp>
        <tr r="O25" s="1"/>
      </tp>
      <tp>
        <v>1833</v>
        <stp/>
        <stp>10004284.SH</stp>
        <stp>rt_oi</stp>
        <stp>RT_Price</stp>
        <tr r="F7" s="1"/>
      </tp>
      <tp>
        <v>46689</v>
        <stp/>
        <stp>10004294.SH</stp>
        <stp>rt_oi</stp>
        <stp>RT_Price</stp>
        <tr r="O8" s="1"/>
      </tp>
      <tp>
        <v>6835</v>
        <stp/>
        <stp>10004274.SH</stp>
        <stp>rt_oi</stp>
        <stp>RT_Price</stp>
        <tr r="O61" s="1"/>
      </tp>
      <tp>
        <v>5086</v>
        <stp/>
        <stp>10004244.SH</stp>
        <stp>rt_oi</stp>
        <stp>RT_Price</stp>
        <tr r="F59" s="1"/>
      </tp>
      <tp>
        <v>5676</v>
        <stp/>
        <stp>10004254.SH</stp>
        <stp>rt_oi</stp>
        <stp>RT_Price</stp>
        <tr r="O60" s="1"/>
      </tp>
      <tp>
        <v>8854</v>
        <stp/>
        <stp>10003987.SH</stp>
        <stp>rt_oi</stp>
        <stp>RT_Price</stp>
        <tr r="O45" s="1"/>
      </tp>
      <tp>
        <v>14478</v>
        <stp/>
        <stp>10003977.SH</stp>
        <stp>rt_oi</stp>
        <stp>RT_Price</stp>
        <tr r="F44" s="1"/>
      </tp>
      <tp>
        <v>21703</v>
        <stp/>
        <stp>10004387.SH</stp>
        <stp>rt_oi</stp>
        <stp>RT_Price</stp>
        <tr r="F31" s="1"/>
      </tp>
      <tp>
        <v>23475</v>
        <stp/>
        <stp>10004397.SH</stp>
        <stp>rt_oi</stp>
        <stp>RT_Price</stp>
        <tr r="F18" s="1"/>
      </tp>
      <tp>
        <v>30573</v>
        <stp/>
        <stp>10004377.SH</stp>
        <stp>rt_oi</stp>
        <stp>RT_Price</stp>
        <tr r="F30" s="1"/>
      </tp>
      <tp>
        <v>89489</v>
        <stp/>
        <stp>10004347.SH</stp>
        <stp>rt_oi</stp>
        <stp>RT_Price</stp>
        <tr r="F27" s="1"/>
      </tp>
      <tp>
        <v>10175</v>
        <stp/>
        <stp>10004357.SH</stp>
        <stp>rt_oi</stp>
        <stp>RT_Price</stp>
        <tr r="O28" s="1"/>
      </tp>
      <tp>
        <v>7153</v>
        <stp/>
        <stp>10004327.SH</stp>
        <stp>rt_oi</stp>
        <stp>RT_Price</stp>
        <tr r="F63" s="1"/>
      </tp>
      <tp>
        <v>72539</v>
        <stp/>
        <stp>10004337.SH</stp>
        <stp>rt_oi</stp>
        <stp>RT_Price</stp>
        <tr r="F16" s="1"/>
      </tp>
      <tp>
        <v>128749</v>
        <stp/>
        <stp>10004317.SH</stp>
        <stp>rt_oi</stp>
        <stp>RT_Price</stp>
        <tr r="F13" s="1"/>
      </tp>
      <tp>
        <v>47045</v>
        <stp/>
        <stp>10004287.SH</stp>
        <stp>rt_oi</stp>
        <stp>RT_Price</stp>
        <tr r="F10" s="1"/>
      </tp>
      <tp>
        <v>66402</v>
        <stp/>
        <stp>10004297.SH</stp>
        <stp>rt_oi</stp>
        <stp>RT_Price</stp>
        <tr r="O11" s="1"/>
      </tp>
      <tp>
        <v>16284</v>
        <stp/>
        <stp>10004247.SH</stp>
        <stp>rt_oi</stp>
        <stp>RT_Price</stp>
        <tr r="O53" s="1"/>
      </tp>
      <tp>
        <v>1498</v>
        <stp/>
        <stp>10004237.SH</stp>
        <stp>rt_oi</stp>
        <stp>RT_Price</stp>
        <tr r="F52" s="1"/>
      </tp>
      <tp>
        <v>11268</v>
        <stp/>
        <stp>10003986.SH</stp>
        <stp>rt_oi</stp>
        <stp>RT_Price</stp>
        <tr r="O44" s="1"/>
      </tp>
      <tp>
        <v>14752</v>
        <stp/>
        <stp>10003976.SH</stp>
        <stp>rt_oi</stp>
        <stp>RT_Price</stp>
        <tr r="F43" s="1"/>
      </tp>
      <tp>
        <v>14230</v>
        <stp/>
        <stp>10004146.SH</stp>
        <stp>rt_oi</stp>
        <stp>RT_Price</stp>
        <tr r="O37" s="1"/>
      </tp>
      <tp>
        <v>19392</v>
        <stp/>
        <stp>10004106.SH</stp>
        <stp>rt_oi</stp>
        <stp>RT_Price</stp>
        <tr r="O39" s="1"/>
      </tp>
      <tp>
        <v>16517</v>
        <stp/>
        <stp>10004026.SH</stp>
        <stp>rt_oi</stp>
        <stp>RT_Price</stp>
        <tr r="O41" s="1"/>
      </tp>
      <tp>
        <v>723</v>
        <stp/>
        <stp>10004386.SH</stp>
        <stp>rt_oi</stp>
        <stp>RT_Price</stp>
        <tr r="O17" s="1"/>
      </tp>
      <tp>
        <v>71075</v>
        <stp/>
        <stp>10004346.SH</stp>
        <stp>rt_oi</stp>
        <stp>RT_Price</stp>
        <tr r="F26" s="1"/>
      </tp>
      <tp>
        <v>26632</v>
        <stp/>
        <stp>10004356.SH</stp>
        <stp>rt_oi</stp>
        <stp>RT_Price</stp>
        <tr r="O27" s="1"/>
      </tp>
      <tp>
        <v>20189</v>
        <stp/>
        <stp>10004326.SH</stp>
        <stp>rt_oi</stp>
        <stp>RT_Price</stp>
        <tr r="O14" s="1"/>
      </tp>
      <tp>
        <v>22131</v>
        <stp/>
        <stp>10004286.SH</stp>
        <stp>rt_oi</stp>
        <stp>RT_Price</stp>
        <tr r="F9" s="1"/>
      </tp>
      <tp>
        <v>73707</v>
        <stp/>
        <stp>10004296.SH</stp>
        <stp>rt_oi</stp>
        <stp>RT_Price</stp>
        <tr r="O10" s="1"/>
      </tp>
      <tp>
        <v>5481</v>
        <stp/>
        <stp>10004276.SH</stp>
        <stp>rt_oi</stp>
        <stp>RT_Price</stp>
        <tr r="O62" s="1"/>
      </tp>
      <tp>
        <v>18807</v>
        <stp/>
        <stp>10004246.SH</stp>
        <stp>rt_oi</stp>
        <stp>RT_Price</stp>
        <tr r="O52" s="1"/>
      </tp>
      <tp>
        <v>-6.8000000000000005E-3</v>
        <stp/>
        <stp>10003976.SH</stp>
        <stp>Change</stp>
        <tr r="C43" s="1"/>
      </tp>
      <tp>
        <v>5.4000000000000003E-3</v>
        <stp/>
        <stp>10003986.SH</stp>
        <stp>Change</stp>
        <tr r="L44" s="1"/>
      </tp>
      <tp>
        <v>1.1000000000000001E-3</v>
        <stp/>
        <stp>10004106.SH</stp>
        <stp>Change</stp>
        <tr r="L39" s="1"/>
      </tp>
      <tp>
        <v>4.0000000000000002E-4</v>
        <stp/>
        <stp>10004146.SH</stp>
        <stp>Change</stp>
        <tr r="L37" s="1"/>
      </tp>
      <tp>
        <v>2.9000000000000002E-3</v>
        <stp/>
        <stp>10004026.SH</stp>
        <stp>Change</stp>
        <tr r="L41" s="1"/>
      </tp>
      <tp>
        <v>8.3000000000000001E-3</v>
        <stp/>
        <stp>10004326.SH</stp>
        <stp>Change</stp>
        <tr r="L14" s="1"/>
      </tp>
      <tp>
        <v>-7.0000000000000001E-3</v>
        <stp/>
        <stp>10004346.SH</stp>
        <stp>Change</stp>
        <tr r="C26" s="1"/>
      </tp>
      <tp>
        <v>1.0100000000000001E-2</v>
        <stp/>
        <stp>10004356.SH</stp>
        <stp>Change</stp>
        <tr r="L27" s="1"/>
      </tp>
      <tp>
        <v>7.2000000000000007E-3</v>
        <stp/>
        <stp>10004386.SH</stp>
        <stp>Change</stp>
        <tr r="L17" s="1"/>
      </tp>
      <tp>
        <v>-2.0000000000000001E-4</v>
        <stp/>
        <stp>10004246.SH</stp>
        <stp>Change</stp>
        <tr r="L52" s="1"/>
      </tp>
      <tp>
        <v>3.4000000000000002E-3</v>
        <stp/>
        <stp>10004276.SH</stp>
        <stp>Change</stp>
        <tr r="L62" s="1"/>
      </tp>
      <tp>
        <v>-1.2800000000000001E-2</v>
        <stp/>
        <stp>10004286.SH</stp>
        <stp>Change</stp>
        <tr r="C9" s="1"/>
      </tp>
      <tp>
        <v>-1.1000000000000001E-3</v>
        <stp/>
        <stp>10004296.SH</stp>
        <stp>Change</stp>
        <tr r="L10" s="1"/>
      </tp>
      <tp>
        <v>-6.2000000000000006E-3</v>
        <stp/>
        <stp>10003977.SH</stp>
        <stp>Change</stp>
        <tr r="C44" s="1"/>
      </tp>
      <tp>
        <v>5.3E-3</v>
        <stp/>
        <stp>10003987.SH</stp>
        <stp>Change</stp>
        <tr r="L45" s="1"/>
      </tp>
      <tp>
        <v>-4.0000000000000002E-4</v>
        <stp/>
        <stp>10004317.SH</stp>
        <stp>Change</stp>
        <tr r="C13" s="1"/>
      </tp>
      <tp>
        <v>-5.0000000000000001E-3</v>
        <stp/>
        <stp>10004327.SH</stp>
        <stp>Change</stp>
        <tr r="C63" s="1"/>
      </tp>
      <tp>
        <v>-1E-4</v>
        <stp/>
        <stp>10004337.SH</stp>
        <stp>Change</stp>
        <tr r="C16" s="1"/>
      </tp>
      <tp>
        <v>-3.6000000000000003E-3</v>
        <stp/>
        <stp>10004347.SH</stp>
        <stp>Change</stp>
        <tr r="C27" s="1"/>
      </tp>
      <tp>
        <v>8.7000000000000011E-3</v>
        <stp/>
        <stp>10004357.SH</stp>
        <stp>Change</stp>
        <tr r="L28" s="1"/>
      </tp>
      <tp>
        <v>-2.0000000000000001E-4</v>
        <stp/>
        <stp>10004377.SH</stp>
        <stp>Change</stp>
        <tr r="C30" s="1"/>
      </tp>
      <tp>
        <v>-3.0000000000000003E-4</v>
        <stp/>
        <stp>10004387.SH</stp>
        <stp>Change</stp>
        <tr r="C31" s="1"/>
      </tp>
      <tp>
        <v>0</v>
        <stp/>
        <stp>10004397.SH</stp>
        <stp>Change</stp>
        <tr r="C18" s="1"/>
      </tp>
      <tp>
        <v>-1.1900000000000001E-2</v>
        <stp/>
        <stp>10004237.SH</stp>
        <stp>Change</stp>
        <tr r="C52" s="1"/>
      </tp>
      <tp>
        <v>6.0000000000000006E-4</v>
        <stp/>
        <stp>10004247.SH</stp>
        <stp>Change</stp>
        <tr r="L53" s="1"/>
      </tp>
      <tp>
        <v>-1.26E-2</v>
        <stp/>
        <stp>10004287.SH</stp>
        <stp>Change</stp>
        <tr r="C10" s="1"/>
      </tp>
      <tp>
        <v>3.8E-3</v>
        <stp/>
        <stp>10004297.SH</stp>
        <stp>Change</stp>
        <tr r="L11" s="1"/>
      </tp>
      <tp>
        <v>3.5000000000000001E-3</v>
        <stp/>
        <stp>10003984.SH</stp>
        <stp>Change</stp>
        <tr r="L42" s="1"/>
      </tp>
      <tp>
        <v>-5.0000000000000001E-4</v>
        <stp/>
        <stp>10004144.SH</stp>
        <stp>Change</stp>
        <tr r="L35" s="1"/>
      </tp>
      <tp>
        <v>-6.3E-3</v>
        <stp/>
        <stp>10004344.SH</stp>
        <stp>Change</stp>
        <tr r="C24" s="1"/>
      </tp>
      <tp>
        <v>2.6000000000000003E-3</v>
        <stp/>
        <stp>10004354.SH</stp>
        <stp>Change</stp>
        <tr r="L25" s="1"/>
      </tp>
      <tp>
        <v>-1.0100000000000001E-2</v>
        <stp/>
        <stp>10004244.SH</stp>
        <stp>Change</stp>
        <tr r="C59" s="1"/>
      </tp>
      <tp>
        <v>2.5000000000000001E-3</v>
        <stp/>
        <stp>10004254.SH</stp>
        <stp>Change</stp>
        <tr r="L60" s="1"/>
      </tp>
      <tp>
        <v>2.3E-3</v>
        <stp/>
        <stp>10004274.SH</stp>
        <stp>Change</stp>
        <tr r="L61" s="1"/>
      </tp>
      <tp>
        <v>-1.0500000000000001E-2</v>
        <stp/>
        <stp>10004284.SH</stp>
        <stp>Change</stp>
        <tr r="C7" s="1"/>
      </tp>
      <tp>
        <v>-4.0000000000000002E-4</v>
        <stp/>
        <stp>10004294.SH</stp>
        <stp>Change</stp>
        <tr r="L8" s="1"/>
      </tp>
      <tp>
        <v>-2.0000000000000001E-4</v>
        <stp/>
        <stp>10004404.SH</stp>
        <stp>Change</stp>
        <tr r="L20" s="1"/>
      </tp>
      <tp>
        <v>-7.9000000000000008E-3</v>
        <stp/>
        <stp>10003975.SH</stp>
        <stp>Change</stp>
        <tr r="C42" s="1"/>
      </tp>
      <tp>
        <v>4.1000000000000003E-3</v>
        <stp/>
        <stp>10003985.SH</stp>
        <stp>Change</stp>
        <tr r="L43" s="1"/>
      </tp>
      <tp>
        <v>-1.17E-2</v>
        <stp/>
        <stp>10004105.SH</stp>
        <stp>Change</stp>
        <tr r="C39" s="1"/>
      </tp>
      <tp>
        <v>-5.0000000000000001E-4</v>
        <stp/>
        <stp>10004145.SH</stp>
        <stp>Change</stp>
        <tr r="L36" s="1"/>
      </tp>
      <tp>
        <v>-7.2000000000000007E-3</v>
        <stp/>
        <stp>10004025.SH</stp>
        <stp>Change</stp>
        <tr r="C41" s="1"/>
      </tp>
      <tp>
        <v>-1E-4</v>
        <stp/>
        <stp>10004325.SH</stp>
        <stp>Change</stp>
        <tr r="C14" s="1"/>
      </tp>
      <tp>
        <v>-6.5000000000000006E-3</v>
        <stp/>
        <stp>10004345.SH</stp>
        <stp>Change</stp>
        <tr r="C25" s="1"/>
      </tp>
      <tp>
        <v>5.8999999999999999E-3</v>
        <stp/>
        <stp>10004355.SH</stp>
        <stp>Change</stp>
        <tr r="L26" s="1"/>
      </tp>
      <tp>
        <v>-1E-4</v>
        <stp/>
        <stp>10004385.SH</stp>
        <stp>Change</stp>
        <tr r="C17" s="1"/>
      </tp>
      <tp>
        <v>-8.5000000000000006E-3</v>
        <stp/>
        <stp>10004245.SH</stp>
        <stp>Change</stp>
        <tr r="C60" s="1"/>
      </tp>
      <tp>
        <v>-7.9000000000000008E-3</v>
        <stp/>
        <stp>10004275.SH</stp>
        <stp>Change</stp>
        <tr r="C62" s="1"/>
      </tp>
      <tp>
        <v>-8.0999999999999996E-3</v>
        <stp/>
        <stp>10004285.SH</stp>
        <stp>Change</stp>
        <tr r="C8" s="1"/>
      </tp>
      <tp>
        <v>-6.0000000000000006E-4</v>
        <stp/>
        <stp>10004295.SH</stp>
        <stp>Change</stp>
        <tr r="L9" s="1"/>
      </tp>
      <tp>
        <v>-9.0000000000000008E-4</v>
        <stp/>
        <stp>10003982.SH</stp>
        <stp>Change</stp>
        <tr r="C49" s="1"/>
      </tp>
      <tp>
        <v>-1.6000000000000001E-3</v>
        <stp/>
        <stp>10003992.SH</stp>
        <stp>Change</stp>
        <tr r="L50" s="1"/>
      </tp>
      <tp>
        <v>9.0000000000000008E-4</v>
        <stp/>
        <stp>10004122.SH</stp>
        <stp>Change</stp>
        <tr r="L38" s="1"/>
      </tp>
      <tp>
        <v>-8.2000000000000007E-3</v>
        <stp/>
        <stp>10004142.SH</stp>
        <stp>Change</stp>
        <tr r="C36" s="1"/>
      </tp>
      <tp>
        <v>1.7000000000000001E-3</v>
        <stp/>
        <stp>10004082.SH</stp>
        <stp>Change</stp>
        <tr r="L40" s="1"/>
      </tp>
      <tp>
        <v>1.14E-2</v>
        <stp/>
        <stp>10004332.SH</stp>
        <stp>Change</stp>
        <tr r="L64" s="1"/>
      </tp>
      <tp>
        <v>-1.09E-2</v>
        <stp/>
        <stp>10004342.SH</stp>
        <stp>Change</stp>
        <tr r="C22" s="1"/>
      </tp>
      <tp>
        <v>1.9E-3</v>
        <stp/>
        <stp>10004352.SH</stp>
        <stp>Change</stp>
        <tr r="L23" s="1"/>
      </tp>
      <tp>
        <v>-1.15E-2</v>
        <stp/>
        <stp>10004242.SH</stp>
        <stp>Change</stp>
        <tr r="C57" s="1"/>
      </tp>
      <tp>
        <v>2.7000000000000001E-3</v>
        <stp/>
        <stp>10004252.SH</stp>
        <stp>Change</stp>
        <tr r="L58" s="1"/>
      </tp>
      <tp>
        <v>-9.300000000000001E-3</v>
        <stp/>
        <stp>10004282.SH</stp>
        <stp>Change</stp>
        <tr r="C5" s="1"/>
      </tp>
      <tp>
        <v>-1E-4</v>
        <stp/>
        <stp>10004292.SH</stp>
        <stp>Change</stp>
        <tr r="L6" s="1"/>
      </tp>
      <tp>
        <v>-4.0000000000000001E-3</v>
        <stp/>
        <stp>10004402.SH</stp>
        <stp>Change</stp>
        <tr r="L67" s="1"/>
      </tp>
      <tp>
        <v>-2.0000000000000001E-4</v>
        <stp/>
        <stp>10003983.SH</stp>
        <stp>Change</stp>
        <tr r="C50" s="1"/>
      </tp>
      <tp>
        <v>-1.0700000000000001E-2</v>
        <stp/>
        <stp>10004143.SH</stp>
        <stp>Change</stp>
        <tr r="C37" s="1"/>
      </tp>
      <tp>
        <v>-1.0100000000000001E-2</v>
        <stp/>
        <stp>10004343.SH</stp>
        <stp>Change</stp>
        <tr r="C23" s="1"/>
      </tp>
      <tp>
        <v>2.3E-3</v>
        <stp/>
        <stp>10004353.SH</stp>
        <stp>Change</stp>
        <tr r="L24" s="1"/>
      </tp>
      <tp>
        <v>-9.0000000000000011E-3</v>
        <stp/>
        <stp>10004243.SH</stp>
        <stp>Change</stp>
        <tr r="C58" s="1"/>
      </tp>
      <tp>
        <v>1.7000000000000001E-3</v>
        <stp/>
        <stp>10004253.SH</stp>
        <stp>Change</stp>
        <tr r="L59" s="1"/>
      </tp>
      <tp>
        <v>-7.4000000000000003E-3</v>
        <stp/>
        <stp>10004273.SH</stp>
        <stp>Change</stp>
        <tr r="C61" s="1"/>
      </tp>
      <tp>
        <v>-1.23E-2</v>
        <stp/>
        <stp>10004283.SH</stp>
        <stp>Change</stp>
        <tr r="C6" s="1"/>
      </tp>
      <tp>
        <v>-1E-4</v>
        <stp/>
        <stp>10004293.SH</stp>
        <stp>Change</stp>
        <tr r="L7" s="1"/>
      </tp>
      <tp>
        <v>-1.03E-2</v>
        <stp/>
        <stp>10004403.SH</stp>
        <stp>Change</stp>
        <tr r="C20" s="1"/>
      </tp>
      <tp>
        <v>-2.5000000000000001E-3</v>
        <stp/>
        <stp>10003980.SH</stp>
        <stp>Change</stp>
        <tr r="C47" s="1"/>
      </tp>
      <tp>
        <v>5.4000000000000003E-3</v>
        <stp/>
        <stp>10003990.SH</stp>
        <stp>Change</stp>
        <tr r="L48" s="1"/>
      </tp>
      <tp>
        <v>5.0000000000000001E-3</v>
        <stp/>
        <stp>10004330.SH</stp>
        <stp>Change</stp>
        <tr r="L15" s="1"/>
      </tp>
      <tp>
        <v>5.5000000000000005E-3</v>
        <stp/>
        <stp>10004340.SH</stp>
        <stp>Change</stp>
        <tr r="L65" s="1"/>
      </tp>
      <tp>
        <v>2.0000000000000001E-4</v>
        <stp/>
        <stp>10004350.SH</stp>
        <stp>Change</stp>
        <tr r="L21" s="1"/>
      </tp>
      <tp>
        <v>1.2E-2</v>
        <stp/>
        <stp>10004390.SH</stp>
        <stp>Change</stp>
        <tr r="L66" s="1"/>
      </tp>
      <tp>
        <v>-2.0000000000000001E-4</v>
        <stp/>
        <stp>10004220.SH</stp>
        <stp>Change</stp>
        <tr r="L34" s="1"/>
      </tp>
      <tp>
        <v>-8.2000000000000007E-3</v>
        <stp/>
        <stp>10004240.SH</stp>
        <stp>Change</stp>
        <tr r="C55" s="1"/>
      </tp>
      <tp>
        <v>1.5E-3</v>
        <stp/>
        <stp>10004250.SH</stp>
        <stp>Change</stp>
        <tr r="L56" s="1"/>
      </tp>
      <tp>
        <v>0</v>
        <stp/>
        <stp>10004290.SH</stp>
        <stp>Change</stp>
        <tr r="L4" s="1"/>
      </tp>
      <tp>
        <v>-1.5E-3</v>
        <stp/>
        <stp>10004400.SH</stp>
        <stp>Change</stp>
        <tr r="L32" s="1"/>
      </tp>
      <tp>
        <v>-1.7000000000000001E-3</v>
        <stp/>
        <stp>10003981.SH</stp>
        <stp>Change</stp>
        <tr r="C48" s="1"/>
      </tp>
      <tp>
        <v>-1.9E-3</v>
        <stp/>
        <stp>10003991.SH</stp>
        <stp>Change</stp>
        <tr r="L49" s="1"/>
      </tp>
      <tp>
        <v>-1.12E-2</v>
        <stp/>
        <stp>10004121.SH</stp>
        <stp>Change</stp>
        <tr r="C38" s="1"/>
      </tp>
      <tp>
        <v>-1.15E-2</v>
        <stp/>
        <stp>10004141.SH</stp>
        <stp>Change</stp>
        <tr r="C35" s="1"/>
      </tp>
      <tp>
        <v>-7.8000000000000005E-3</v>
        <stp/>
        <stp>10004081.SH</stp>
        <stp>Change</stp>
        <tr r="C40" s="1"/>
      </tp>
      <tp>
        <v>-4.5000000000000005E-3</v>
        <stp/>
        <stp>10004331.SH</stp>
        <stp>Change</stp>
        <tr r="C64" s="1"/>
      </tp>
      <tp>
        <v>-1.06E-2</v>
        <stp/>
        <stp>10004341.SH</stp>
        <stp>Change</stp>
        <tr r="C21" s="1"/>
      </tp>
      <tp>
        <v>5.0000000000000001E-4</v>
        <stp/>
        <stp>10004351.SH</stp>
        <stp>Change</stp>
        <tr r="L22" s="1"/>
      </tp>
      <tp>
        <v>-8.0999999999999996E-3</v>
        <stp/>
        <stp>10004241.SH</stp>
        <stp>Change</stp>
        <tr r="C56" s="1"/>
      </tp>
      <tp>
        <v>-6.0000000000000006E-4</v>
        <stp/>
        <stp>10004251.SH</stp>
        <stp>Change</stp>
        <tr r="L57" s="1"/>
      </tp>
      <tp>
        <v>-7.6E-3</v>
        <stp/>
        <stp>10004281.SH</stp>
        <stp>Change</stp>
        <tr r="C4" s="1"/>
      </tp>
      <tp>
        <v>0</v>
        <stp/>
        <stp>10004291.SH</stp>
        <stp>Change</stp>
        <tr r="L5" s="1"/>
      </tp>
      <tp>
        <v>-1.8000000000000002E-3</v>
        <stp/>
        <stp>10004401.SH</stp>
        <stp>Change</stp>
        <tr r="C67" s="1"/>
      </tp>
      <tp>
        <v>-5.2000000000000006E-3</v>
        <stp/>
        <stp>10003978.SH</stp>
        <stp>Change</stp>
        <tr r="C45" s="1"/>
      </tp>
      <tp>
        <v>7.0000000000000001E-3</v>
        <stp/>
        <stp>10003988.SH</stp>
        <stp>Change</stp>
        <tr r="L46" s="1"/>
      </tp>
      <tp>
        <v>9.4999999999999998E-3</v>
        <stp/>
        <stp>10004318.SH</stp>
        <stp>Change</stp>
        <tr r="L13" s="1"/>
      </tp>
      <tp>
        <v>7.1000000000000004E-3</v>
        <stp/>
        <stp>10004328.SH</stp>
        <stp>Change</stp>
        <tr r="L63" s="1"/>
      </tp>
      <tp>
        <v>6.9000000000000008E-3</v>
        <stp/>
        <stp>10004338.SH</stp>
        <stp>Change</stp>
        <tr r="L16" s="1"/>
      </tp>
      <tp>
        <v>-1.2000000000000001E-3</v>
        <stp/>
        <stp>10004348.SH</stp>
        <stp>Change</stp>
        <tr r="C28" s="1"/>
      </tp>
      <tp>
        <v>1.2000000000000001E-3</v>
        <stp/>
        <stp>10004358.SH</stp>
        <stp>Change</stp>
        <tr r="L29" s="1"/>
      </tp>
      <tp>
        <v>5.4000000000000003E-3</v>
        <stp/>
        <stp>10004378.SH</stp>
        <stp>Change</stp>
        <tr r="L30" s="1"/>
      </tp>
      <tp>
        <v>-4.8999999999999998E-3</v>
        <stp/>
        <stp>10004388.SH</stp>
        <stp>Change</stp>
        <tr r="L31" s="1"/>
      </tp>
      <tp>
        <v>9.4999999999999998E-3</v>
        <stp/>
        <stp>10004398.SH</stp>
        <stp>Change</stp>
        <tr r="L18" s="1"/>
      </tp>
      <tp>
        <v>-1.66E-2</v>
        <stp/>
        <stp>10004238.SH</stp>
        <stp>Change</stp>
        <tr r="C53" s="1"/>
      </tp>
      <tp>
        <v>9.0000000000000008E-4</v>
        <stp/>
        <stp>10004248.SH</stp>
        <stp>Change</stp>
        <tr r="L54" s="1"/>
      </tp>
      <tp>
        <v>-7.5000000000000006E-3</v>
        <stp/>
        <stp>10004288.SH</stp>
        <stp>Change</stp>
        <tr r="C11" s="1"/>
      </tp>
      <tp>
        <v>9.4999999999999998E-3</v>
        <stp/>
        <stp>10004298.SH</stp>
        <stp>Change</stp>
        <tr r="L12" s="1"/>
      </tp>
      <tp>
        <v>-3.4000000000000002E-3</v>
        <stp/>
        <stp>10003979.SH</stp>
        <stp>Change</stp>
        <tr r="C46" s="1"/>
      </tp>
      <tp>
        <v>6.7000000000000002E-3</v>
        <stp/>
        <stp>10003989.SH</stp>
        <stp>Change</stp>
        <tr r="L47" s="1"/>
      </tp>
      <tp>
        <v>-1E-4</v>
        <stp/>
        <stp>10004329.SH</stp>
        <stp>Change</stp>
        <tr r="C15" s="1"/>
      </tp>
      <tp>
        <v>-3.3E-3</v>
        <stp/>
        <stp>10004339.SH</stp>
        <stp>Change</stp>
        <tr r="C65" s="1"/>
      </tp>
      <tp>
        <v>-1E-4</v>
        <stp/>
        <stp>10004349.SH</stp>
        <stp>Change</stp>
        <tr r="C29" s="1"/>
      </tp>
      <tp>
        <v>-2.1000000000000003E-3</v>
        <stp/>
        <stp>10004389.SH</stp>
        <stp>Change</stp>
        <tr r="C66" s="1"/>
      </tp>
      <tp>
        <v>-2.0000000000000001E-4</v>
        <stp/>
        <stp>10004399.SH</stp>
        <stp>Change</stp>
        <tr r="C32" s="1"/>
      </tp>
      <tp>
        <v>-1.0700000000000001E-2</v>
        <stp/>
        <stp>10004219.SH</stp>
        <stp>Change</stp>
        <tr r="C34" s="1"/>
      </tp>
      <tp>
        <v>-1.0200000000000001E-2</v>
        <stp/>
        <stp>10004239.SH</stp>
        <stp>Change</stp>
        <tr r="C54" s="1"/>
      </tp>
      <tp>
        <v>1.1000000000000001E-3</v>
        <stp/>
        <stp>10004249.SH</stp>
        <stp>Change</stp>
        <tr r="L55" s="1"/>
      </tp>
      <tp>
        <v>-2.7000000000000001E-3</v>
        <stp/>
        <stp>10004289.SH</stp>
        <stp>Change</stp>
        <tr r="C12" s="1"/>
      </tp>
      <tp>
        <v>0.52500000000000002</v>
        <stp/>
        <stp>10004390.SH</stp>
        <stp>LastPrice</stp>
        <tr r="K66" s="1"/>
      </tp>
      <tp>
        <v>1E-4</v>
        <stp/>
        <stp>10004290.SH</stp>
        <stp>LastPrice</stp>
        <tr r="K4" s="1"/>
      </tp>
      <tp>
        <v>0.41839999999999999</v>
        <stp/>
        <stp>10003990.SH</stp>
        <stp>LastPrice</stp>
        <tr r="K48" s="1"/>
      </tp>
      <tp>
        <v>1E-4</v>
        <stp/>
        <stp>10004291.SH</stp>
        <stp>LastPrice</stp>
        <tr r="K5" s="1"/>
      </tp>
      <tp>
        <v>0.5111</v>
        <stp/>
        <stp>10003991.SH</stp>
        <stp>LastPrice</stp>
        <tr r="K49" s="1"/>
      </tp>
      <tp>
        <v>1E-4</v>
        <stp/>
        <stp>10004292.SH</stp>
        <stp>LastPrice</stp>
        <tr r="K6" s="1"/>
      </tp>
      <tp>
        <v>0.61140000000000005</v>
        <stp/>
        <stp>10003992.SH</stp>
        <stp>LastPrice</stp>
        <tr r="K50" s="1"/>
      </tp>
      <tp>
        <v>2.0000000000000001E-4</v>
        <stp/>
        <stp>10004293.SH</stp>
        <stp>LastPrice</stp>
        <tr r="K7" s="1"/>
      </tp>
      <tp>
        <v>5.0000000000000001E-4</v>
        <stp/>
        <stp>10004294.SH</stp>
        <stp>LastPrice</stp>
        <tr r="K8" s="1"/>
      </tp>
      <tp>
        <v>1.7000000000000001E-3</v>
        <stp/>
        <stp>10004295.SH</stp>
        <stp>LastPrice</stp>
        <tr r="K9" s="1"/>
      </tp>
      <tp>
        <v>7.9000000000000008E-3</v>
        <stp/>
        <stp>10004296.SH</stp>
        <stp>LastPrice</stp>
        <tr r="K10" s="1"/>
      </tp>
      <tp>
        <v>1E-4</v>
        <stp/>
        <stp>10004397.SH</stp>
        <stp>LastPrice</stp>
        <tr r="B18" s="1"/>
      </tp>
      <tp>
        <v>3.0600000000000002E-2</v>
        <stp/>
        <stp>10004297.SH</stp>
        <stp>LastPrice</stp>
        <tr r="K11" s="1"/>
      </tp>
      <tp>
        <v>0.62250000000000005</v>
        <stp/>
        <stp>10004398.SH</stp>
        <stp>LastPrice</stp>
        <tr r="K18" s="1"/>
      </tp>
      <tp>
        <v>7.3599999999999999E-2</v>
        <stp/>
        <stp>10004298.SH</stp>
        <stp>LastPrice</stp>
        <tr r="K12" s="1"/>
      </tp>
      <tp>
        <v>1.2000000000000001E-3</v>
        <stp/>
        <stp>10004399.SH</stp>
        <stp>LastPrice</stp>
        <tr r="B32" s="1"/>
      </tp>
      <tp>
        <v>1.49E-2</v>
        <stp/>
        <stp>10003980.SH</stp>
        <stp>LastPrice</stp>
        <tr r="B47" s="1"/>
      </tp>
      <tp>
        <v>0.32980000000000004</v>
        <stp/>
        <stp>10004281.SH</stp>
        <stp>LastPrice</stp>
        <tr r="B4" s="1"/>
      </tp>
      <tp>
        <v>0.1847</v>
        <stp/>
        <stp>10004081.SH</stp>
        <stp>LastPrice</stp>
        <tr r="B40" s="1"/>
      </tp>
      <tp>
        <v>7.7000000000000002E-3</v>
        <stp/>
        <stp>10003981.SH</stp>
        <stp>LastPrice</stp>
        <tr r="B48" s="1"/>
      </tp>
      <tp>
        <v>0.27900000000000003</v>
        <stp/>
        <stp>10004282.SH</stp>
        <stp>LastPrice</stp>
        <tr r="B5" s="1"/>
      </tp>
      <tp>
        <v>4.4000000000000004E-2</v>
        <stp/>
        <stp>10004082.SH</stp>
        <stp>LastPrice</stp>
        <tr r="K40" s="1"/>
      </tp>
      <tp>
        <v>4.8999999999999998E-3</v>
        <stp/>
        <stp>10003982.SH</stp>
        <stp>LastPrice</stp>
        <tr r="B49" s="1"/>
      </tp>
      <tp>
        <v>0.22800000000000001</v>
        <stp/>
        <stp>10004283.SH</stp>
        <stp>LastPrice</stp>
        <tr r="B6" s="1"/>
      </tp>
      <tp>
        <v>4.2000000000000006E-3</v>
        <stp/>
        <stp>10003983.SH</stp>
        <stp>LastPrice</stp>
        <tr r="B50" s="1"/>
      </tp>
      <tp>
        <v>0.17850000000000002</v>
        <stp/>
        <stp>10004284.SH</stp>
        <stp>LastPrice</stp>
        <tr r="B7" s="1"/>
      </tp>
      <tp>
        <v>7.9100000000000004E-2</v>
        <stp/>
        <stp>10003984.SH</stp>
        <stp>LastPrice</stp>
        <tr r="K42" s="1"/>
      </tp>
      <tp>
        <v>1E-4</v>
        <stp/>
        <stp>10004385.SH</stp>
        <stp>LastPrice</stp>
        <tr r="B17" s="1"/>
      </tp>
      <tp>
        <v>0.12890000000000001</v>
        <stp/>
        <stp>10004285.SH</stp>
        <stp>LastPrice</stp>
        <tr r="B8" s="1"/>
      </tp>
      <tp>
        <v>0.1019</v>
        <stp/>
        <stp>10003985.SH</stp>
        <stp>LastPrice</stp>
        <tr r="K43" s="1"/>
      </tp>
      <tp>
        <v>0.5202</v>
        <stp/>
        <stp>10004386.SH</stp>
        <stp>LastPrice</stp>
        <tr r="K17" s="1"/>
      </tp>
      <tp>
        <v>7.9000000000000001E-2</v>
        <stp/>
        <stp>10004286.SH</stp>
        <stp>LastPrice</stp>
        <tr r="B9" s="1"/>
      </tp>
      <tp>
        <v>0.13059999999999999</v>
        <stp/>
        <stp>10003986.SH</stp>
        <stp>LastPrice</stp>
        <tr r="K44" s="1"/>
      </tp>
      <tp>
        <v>1.6000000000000001E-3</v>
        <stp/>
        <stp>10004387.SH</stp>
        <stp>LastPrice</stp>
        <tr r="B31" s="1"/>
      </tp>
      <tp>
        <v>3.56E-2</v>
        <stp/>
        <stp>10004287.SH</stp>
        <stp>LastPrice</stp>
        <tr r="B10" s="1"/>
      </tp>
      <tp>
        <v>0.1618</v>
        <stp/>
        <stp>10003987.SH</stp>
        <stp>LastPrice</stp>
        <tr r="K45" s="1"/>
      </tp>
      <tp>
        <v>0.5081</v>
        <stp/>
        <stp>10004388.SH</stp>
        <stp>LastPrice</stp>
        <tr r="K31" s="1"/>
      </tp>
      <tp>
        <v>9.6000000000000009E-3</v>
        <stp/>
        <stp>10004288.SH</stp>
        <stp>LastPrice</stp>
        <tr r="B11" s="1"/>
      </tp>
      <tp>
        <v>0.23630000000000001</v>
        <stp/>
        <stp>10003988.SH</stp>
        <stp>LastPrice</stp>
        <tr r="K46" s="1"/>
      </tp>
      <tp>
        <v>2.4300000000000002E-2</v>
        <stp/>
        <stp>10004389.SH</stp>
        <stp>LastPrice</stp>
        <tr r="B66" s="1"/>
      </tp>
      <tp>
        <v>1.4E-3</v>
        <stp/>
        <stp>10004289.SH</stp>
        <stp>LastPrice</stp>
        <tr r="B12" s="1"/>
      </tp>
      <tp>
        <v>0.32419999999999999</v>
        <stp/>
        <stp>10003989.SH</stp>
        <stp>LastPrice</stp>
        <tr r="K47" s="1"/>
      </tp>
      <tp>
        <v>62307</v>
        <stp/>
        <stp>10004289.SH</stp>
        <stp>Volume</stp>
        <tr r="E12" s="1"/>
      </tp>
      <tp>
        <v>858</v>
        <stp/>
        <stp>10004249.SH</stp>
        <stp>Volume</stp>
        <tr r="N55" s="1"/>
      </tp>
      <tp>
        <v>30</v>
        <stp/>
        <stp>10004219.SH</stp>
        <stp>Volume</stp>
        <tr r="E34" s="1"/>
      </tp>
      <tp>
        <v>35</v>
        <stp/>
        <stp>10004239.SH</stp>
        <stp>Volume</stp>
        <tr r="E54" s="1"/>
      </tp>
      <tp>
        <v>3970</v>
        <stp/>
        <stp>10004399.SH</stp>
        <stp>Volume</stp>
        <tr r="E32" s="1"/>
      </tp>
      <tp>
        <v>1644</v>
        <stp/>
        <stp>10004389.SH</stp>
        <stp>Volume</stp>
        <tr r="E66" s="1"/>
      </tp>
      <tp>
        <v>6180</v>
        <stp/>
        <stp>10004349.SH</stp>
        <stp>Volume</stp>
        <tr r="E29" s="1"/>
      </tp>
      <tp>
        <v>873</v>
        <stp/>
        <stp>10004339.SH</stp>
        <stp>Volume</stp>
        <tr r="E65" s="1"/>
      </tp>
      <tp>
        <v>3244</v>
        <stp/>
        <stp>10004329.SH</stp>
        <stp>Volume</stp>
        <tr r="E15" s="1"/>
      </tp>
      <tp>
        <v>101</v>
        <stp/>
        <stp>10003989.SH</stp>
        <stp>Volume</stp>
        <tr r="N47" s="1"/>
      </tp>
      <tp>
        <v>11945</v>
        <stp/>
        <stp>10003979.SH</stp>
        <stp>Volume</stp>
        <tr r="E46" s="1"/>
      </tp>
      <tp>
        <v>81439</v>
        <stp/>
        <stp>10004298.SH</stp>
        <stp>Volume</stp>
        <tr r="N12" s="1"/>
      </tp>
      <tp>
        <v>235922</v>
        <stp/>
        <stp>10004288.SH</stp>
        <stp>Volume</stp>
        <tr r="E11" s="1"/>
      </tp>
      <tp>
        <v>1347</v>
        <stp/>
        <stp>10004248.SH</stp>
        <stp>Volume</stp>
        <tr r="N54" s="1"/>
      </tp>
      <tp>
        <v>42</v>
        <stp/>
        <stp>10004238.SH</stp>
        <stp>Volume</stp>
        <tr r="E53" s="1"/>
      </tp>
      <tp>
        <v>26</v>
        <stp/>
        <stp>10004398.SH</stp>
        <stp>Volume</stp>
        <tr r="N18" s="1"/>
      </tp>
      <tp>
        <v>28</v>
        <stp/>
        <stp>10004388.SH</stp>
        <stp>Volume</stp>
        <tr r="N31" s="1"/>
      </tp>
      <tp>
        <v>760</v>
        <stp/>
        <stp>10004358.SH</stp>
        <stp>Volume</stp>
        <tr r="N29" s="1"/>
      </tp>
      <tp>
        <v>17475</v>
        <stp/>
        <stp>10004348.SH</stp>
        <stp>Volume</stp>
        <tr r="E28" s="1"/>
      </tp>
      <tp>
        <v>143</v>
        <stp/>
        <stp>10004378.SH</stp>
        <stp>Volume</stp>
        <tr r="N30" s="1"/>
      </tp>
      <tp>
        <v>32540</v>
        <stp/>
        <stp>10004318.SH</stp>
        <stp>Volume</stp>
        <tr r="N13" s="1"/>
      </tp>
      <tp>
        <v>154</v>
        <stp/>
        <stp>10004338.SH</stp>
        <stp>Volume</stp>
        <tr r="N16" s="1"/>
      </tp>
      <tp>
        <v>239</v>
        <stp/>
        <stp>10004328.SH</stp>
        <stp>Volume</stp>
        <tr r="N63" s="1"/>
      </tp>
      <tp>
        <v>1325</v>
        <stp/>
        <stp>10003988.SH</stp>
        <stp>Volume</stp>
        <tr r="N46" s="1"/>
      </tp>
      <tp>
        <v>11322</v>
        <stp/>
        <stp>10003978.SH</stp>
        <stp>Volume</stp>
        <tr r="E45" s="1"/>
      </tp>
      <tp>
        <v>53233</v>
        <stp/>
        <stp>10004295.SH</stp>
        <stp>Volume</stp>
        <tr r="N9" s="1"/>
      </tp>
      <tp>
        <v>12588</v>
        <stp/>
        <stp>10004285.SH</stp>
        <stp>Volume</stp>
        <tr r="E8" s="1"/>
      </tp>
      <tp>
        <v>1189</v>
        <stp/>
        <stp>10004245.SH</stp>
        <stp>Volume</stp>
        <tr r="E60" s="1"/>
      </tp>
      <tp>
        <v>4249</v>
        <stp/>
        <stp>10004275.SH</stp>
        <stp>Volume</stp>
        <tr r="E62" s="1"/>
      </tp>
      <tp>
        <v>1289</v>
        <stp/>
        <stp>10004385.SH</stp>
        <stp>Volume</stp>
        <tr r="E17" s="1"/>
      </tp>
      <tp>
        <v>29966</v>
        <stp/>
        <stp>10004355.SH</stp>
        <stp>Volume</stp>
        <tr r="N26" s="1"/>
      </tp>
      <tp>
        <v>78216</v>
        <stp/>
        <stp>10004345.SH</stp>
        <stp>Volume</stp>
        <tr r="E25" s="1"/>
      </tp>
      <tp>
        <v>8754</v>
        <stp/>
        <stp>10004325.SH</stp>
        <stp>Volume</stp>
        <tr r="E14" s="1"/>
      </tp>
      <tp>
        <v>1379</v>
        <stp/>
        <stp>10004025.SH</stp>
        <stp>Volume</stp>
        <tr r="E41" s="1"/>
      </tp>
      <tp>
        <v>33135</v>
        <stp/>
        <stp>10004145.SH</stp>
        <stp>Volume</stp>
        <tr r="N36" s="1"/>
      </tp>
      <tp>
        <v>176</v>
        <stp/>
        <stp>10004105.SH</stp>
        <stp>Volume</stp>
        <tr r="E39" s="1"/>
      </tp>
      <tp>
        <v>15983</v>
        <stp/>
        <stp>10003985.SH</stp>
        <stp>Volume</stp>
        <tr r="N43" s="1"/>
      </tp>
      <tp>
        <v>4485</v>
        <stp/>
        <stp>10003975.SH</stp>
        <stp>Volume</stp>
        <tr r="E42" s="1"/>
      </tp>
      <tp>
        <v>0.32250000000000001</v>
        <stp/>
        <stp>10004330.SH</stp>
        <stp>LastPrice</stp>
        <tr r="K15" s="1"/>
      </tp>
      <tp>
        <v>5.3400000000000003E-2</v>
        <stp/>
        <stp>10004331.SH</stp>
        <stp>LastPrice</stp>
        <tr r="B64" s="1"/>
      </tp>
      <tp>
        <v>0.35750000000000004</v>
        <stp/>
        <stp>10004332.SH</stp>
        <stp>LastPrice</stp>
        <tr r="K64" s="1"/>
      </tp>
      <tp>
        <v>1E-4</v>
        <stp/>
        <stp>10004337.SH</stp>
        <stp>LastPrice</stp>
        <tr r="B16" s="1"/>
      </tp>
      <tp>
        <v>0.42200000000000004</v>
        <stp/>
        <stp>10004237.SH</stp>
        <stp>LastPrice</stp>
        <tr r="B52" s="1"/>
      </tp>
      <tp>
        <v>0.4199</v>
        <stp/>
        <stp>10004338.SH</stp>
        <stp>LastPrice</stp>
        <tr r="K16" s="1"/>
      </tp>
      <tp>
        <v>0.3755</v>
        <stp/>
        <stp>10004238.SH</stp>
        <stp>LastPrice</stp>
        <tr r="B53" s="1"/>
      </tp>
      <tp>
        <v>3.6200000000000003E-2</v>
        <stp/>
        <stp>10004339.SH</stp>
        <stp>LastPrice</stp>
        <tr r="B65" s="1"/>
      </tp>
      <tp>
        <v>0.34200000000000003</v>
        <stp/>
        <stp>10004239.SH</stp>
        <stp>LastPrice</stp>
        <tr r="B54" s="1"/>
      </tp>
      <tp>
        <v>4355</v>
        <stp/>
        <stp>10004404.SH</stp>
        <stp>Volume</stp>
        <tr r="N20" s="1"/>
      </tp>
      <tp>
        <v>7072</v>
        <stp/>
        <stp>10004294.SH</stp>
        <stp>Volume</stp>
        <tr r="N8" s="1"/>
      </tp>
      <tp>
        <v>1320</v>
        <stp/>
        <stp>10004284.SH</stp>
        <stp>Volume</stp>
        <tr r="E7" s="1"/>
      </tp>
      <tp>
        <v>493</v>
        <stp/>
        <stp>10004254.SH</stp>
        <stp>Volume</stp>
        <tr r="N60" s="1"/>
      </tp>
      <tp>
        <v>1017</v>
        <stp/>
        <stp>10004244.SH</stp>
        <stp>Volume</stp>
        <tr r="E59" s="1"/>
      </tp>
      <tp>
        <v>307</v>
        <stp/>
        <stp>10004274.SH</stp>
        <stp>Volume</stp>
        <tr r="N61" s="1"/>
      </tp>
      <tp>
        <v>96466</v>
        <stp/>
        <stp>10004354.SH</stp>
        <stp>Volume</stp>
        <tr r="N25" s="1"/>
      </tp>
      <tp>
        <v>36358</v>
        <stp/>
        <stp>10004344.SH</stp>
        <stp>Volume</stp>
        <tr r="E24" s="1"/>
      </tp>
      <tp>
        <v>14292</v>
        <stp/>
        <stp>10004144.SH</stp>
        <stp>Volume</stp>
        <tr r="N35" s="1"/>
      </tp>
      <tp>
        <v>16883</v>
        <stp/>
        <stp>10003984.SH</stp>
        <stp>Volume</stp>
        <tr r="N42" s="1"/>
      </tp>
      <tp>
        <v>5.5000000000000005E-3</v>
        <stp/>
        <stp>10004220.SH</stp>
        <stp>LastPrice</stp>
        <tr r="K34" s="1"/>
      </tp>
      <tp>
        <v>0.26150000000000001</v>
        <stp/>
        <stp>10004121.SH</stp>
        <stp>LastPrice</stp>
        <tr r="B38" s="1"/>
      </tp>
      <tp>
        <v>2.2800000000000001E-2</v>
        <stp/>
        <stp>10004122.SH</stp>
        <stp>LastPrice</stp>
        <tr r="K38" s="1"/>
      </tp>
      <tp>
        <v>2.0000000000000001E-4</v>
        <stp/>
        <stp>10004325.SH</stp>
        <stp>LastPrice</stp>
        <tr r="B14" s="1"/>
      </tp>
      <tp>
        <v>0.14930000000000002</v>
        <stp/>
        <stp>10004025.SH</stp>
        <stp>LastPrice</stp>
        <tr r="B41" s="1"/>
      </tp>
      <tp>
        <v>0.2225</v>
        <stp/>
        <stp>10004326.SH</stp>
        <stp>LastPrice</stp>
        <tr r="K14" s="1"/>
      </tp>
      <tp>
        <v>6.0200000000000004E-2</v>
        <stp/>
        <stp>10004026.SH</stp>
        <stp>LastPrice</stp>
        <tr r="K41" s="1"/>
      </tp>
      <tp>
        <v>7.85E-2</v>
        <stp/>
        <stp>10004327.SH</stp>
        <stp>LastPrice</stp>
        <tr r="B63" s="1"/>
      </tp>
      <tp>
        <v>0.28050000000000003</v>
        <stp/>
        <stp>10004328.SH</stp>
        <stp>LastPrice</stp>
        <tr r="K63" s="1"/>
      </tp>
      <tp>
        <v>2.0000000000000001E-4</v>
        <stp/>
        <stp>10004329.SH</stp>
        <stp>LastPrice</stp>
        <tr r="B15" s="1"/>
      </tp>
      <tp>
        <v>209563</v>
        <stp/>
        <stp>10004297.SH</stp>
        <stp>Volume</stp>
        <tr r="N11" s="1"/>
      </tp>
      <tp>
        <v>212598</v>
        <stp/>
        <stp>10004287.SH</stp>
        <stp>Volume</stp>
        <tr r="E10" s="1"/>
      </tp>
      <tp>
        <v>401</v>
        <stp/>
        <stp>10004247.SH</stp>
        <stp>Volume</stp>
        <tr r="N53" s="1"/>
      </tp>
      <tp>
        <v>152</v>
        <stp/>
        <stp>10004237.SH</stp>
        <stp>Volume</stp>
        <tr r="E52" s="1"/>
      </tp>
      <tp>
        <v>122</v>
        <stp/>
        <stp>10004397.SH</stp>
        <stp>Volume</stp>
        <tr r="E18" s="1"/>
      </tp>
      <tp>
        <v>1890</v>
        <stp/>
        <stp>10004387.SH</stp>
        <stp>Volume</stp>
        <tr r="E31" s="1"/>
      </tp>
      <tp>
        <v>3439</v>
        <stp/>
        <stp>10004357.SH</stp>
        <stp>Volume</stp>
        <tr r="N28" s="1"/>
      </tp>
      <tp>
        <v>34014</v>
        <stp/>
        <stp>10004347.SH</stp>
        <stp>Volume</stp>
        <tr r="E27" s="1"/>
      </tp>
      <tp>
        <v>4087</v>
        <stp/>
        <stp>10004377.SH</stp>
        <stp>Volume</stp>
        <tr r="E30" s="1"/>
      </tp>
      <tp>
        <v>22256</v>
        <stp/>
        <stp>10004317.SH</stp>
        <stp>Volume</stp>
        <tr r="E13" s="1"/>
      </tp>
      <tp>
        <v>2443</v>
        <stp/>
        <stp>10004337.SH</stp>
        <stp>Volume</stp>
        <tr r="E16" s="1"/>
      </tp>
      <tp>
        <v>1207</v>
        <stp/>
        <stp>10004327.SH</stp>
        <stp>Volume</stp>
        <tr r="E63" s="1"/>
      </tp>
      <tp>
        <v>4021</v>
        <stp/>
        <stp>10003987.SH</stp>
        <stp>Volume</stp>
        <tr r="N45" s="1"/>
      </tp>
      <tp>
        <v>10811</v>
        <stp/>
        <stp>10003977.SH</stp>
        <stp>Volume</stp>
        <tr r="E44" s="1"/>
      </tp>
      <tp>
        <v>4.0000000000000002E-4</v>
        <stp/>
        <stp>10004317.SH</stp>
        <stp>LastPrice</stp>
        <tr r="B13" s="1"/>
      </tp>
      <tp>
        <v>0.12250000000000001</v>
        <stp/>
        <stp>10004318.SH</stp>
        <stp>LastPrice</stp>
        <tr r="K13" s="1"/>
      </tp>
      <tp>
        <v>0.4446</v>
        <stp/>
        <stp>10004219.SH</stp>
        <stp>LastPrice</stp>
        <tr r="B34" s="1"/>
      </tp>
      <tp>
        <v>160807</v>
        <stp/>
        <stp>10004296.SH</stp>
        <stp>Volume</stp>
        <tr r="N10" s="1"/>
      </tp>
      <tp>
        <v>80559</v>
        <stp/>
        <stp>10004286.SH</stp>
        <stp>Volume</stp>
        <tr r="E9" s="1"/>
      </tp>
      <tp>
        <v>862</v>
        <stp/>
        <stp>10004246.SH</stp>
        <stp>Volume</stp>
        <tr r="N52" s="1"/>
      </tp>
      <tp>
        <v>272</v>
        <stp/>
        <stp>10004276.SH</stp>
        <stp>Volume</stp>
        <tr r="N62" s="1"/>
      </tp>
      <tp>
        <v>32</v>
        <stp/>
        <stp>10004386.SH</stp>
        <stp>Volume</stp>
        <tr r="N17" s="1"/>
      </tp>
      <tp>
        <v>19170</v>
        <stp/>
        <stp>10004356.SH</stp>
        <stp>Volume</stp>
        <tr r="N27" s="1"/>
      </tp>
      <tp>
        <v>50354</v>
        <stp/>
        <stp>10004346.SH</stp>
        <stp>Volume</stp>
        <tr r="E26" s="1"/>
      </tp>
      <tp>
        <v>12463</v>
        <stp/>
        <stp>10004326.SH</stp>
        <stp>Volume</stp>
        <tr r="N14" s="1"/>
      </tp>
      <tp>
        <v>12475</v>
        <stp/>
        <stp>10004026.SH</stp>
        <stp>Volume</stp>
        <tr r="N41" s="1"/>
      </tp>
      <tp>
        <v>23809</v>
        <stp/>
        <stp>10004146.SH</stp>
        <stp>Volume</stp>
        <tr r="N37" s="1"/>
      </tp>
      <tp>
        <v>6620</v>
        <stp/>
        <stp>10004106.SH</stp>
        <stp>Volume</stp>
        <tr r="N39" s="1"/>
      </tp>
      <tp>
        <v>11603</v>
        <stp/>
        <stp>10003986.SH</stp>
        <stp>Volume</stp>
        <tr r="N44" s="1"/>
      </tp>
      <tp>
        <v>17003</v>
        <stp/>
        <stp>10003976.SH</stp>
        <stp>Volume</stp>
        <tr r="E43" s="1"/>
      </tp>
      <tp>
        <v>0.61150000000000004</v>
        <stp/>
        <stp>10004400.SH</stp>
        <stp>LastPrice</stp>
        <tr r="K32" s="1"/>
      </tp>
      <tp>
        <v>1.6199999999999999E-2</v>
        <stp/>
        <stp>10004401.SH</stp>
        <stp>LastPrice</stp>
        <tr r="B67" s="1"/>
      </tp>
      <tp>
        <v>0.60899999999999999</v>
        <stp/>
        <stp>10004402.SH</stp>
        <stp>LastPrice</stp>
        <tr r="K67" s="1"/>
      </tp>
      <tp>
        <v>0.2437</v>
        <stp/>
        <stp>10004403.SH</stp>
        <stp>LastPrice</stp>
        <tr r="B20" s="1"/>
      </tp>
      <tp>
        <v>8.0999999999999996E-3</v>
        <stp/>
        <stp>10004404.SH</stp>
        <stp>LastPrice</stp>
        <tr r="K20" s="1"/>
      </tp>
      <tp>
        <v>0.22</v>
        <stp/>
        <stp>10004105.SH</stp>
        <stp>LastPrice</stp>
        <tr r="B39" s="1"/>
      </tp>
      <tp>
        <v>3.1900000000000005E-2</v>
        <stp/>
        <stp>10004106.SH</stp>
        <stp>LastPrice</stp>
        <tr r="K39" s="1"/>
      </tp>
      <tp>
        <v>2553</v>
        <stp/>
        <stp>10004401.SH</stp>
        <stp>Volume</stp>
        <tr r="E67" s="1"/>
      </tp>
      <tp>
        <v>600</v>
        <stp/>
        <stp>10004291.SH</stp>
        <stp>Volume</stp>
        <tr r="N5" s="1"/>
      </tp>
      <tp>
        <v>156</v>
        <stp/>
        <stp>10004281.SH</stp>
        <stp>Volume</stp>
        <tr r="E4" s="1"/>
      </tp>
      <tp>
        <v>778</v>
        <stp/>
        <stp>10004251.SH</stp>
        <stp>Volume</stp>
        <tr r="N57" s="1"/>
      </tp>
      <tp>
        <v>125</v>
        <stp/>
        <stp>10004241.SH</stp>
        <stp>Volume</stp>
        <tr r="E56" s="1"/>
      </tp>
      <tp>
        <v>16608</v>
        <stp/>
        <stp>10004351.SH</stp>
        <stp>Volume</stp>
        <tr r="N22" s="1"/>
      </tp>
      <tp>
        <v>1837</v>
        <stp/>
        <stp>10004341.SH</stp>
        <stp>Volume</stp>
        <tr r="E21" s="1"/>
      </tp>
      <tp>
        <v>1399</v>
        <stp/>
        <stp>10004331.SH</stp>
        <stp>Volume</stp>
        <tr r="E64" s="1"/>
      </tp>
      <tp>
        <v>353</v>
        <stp/>
        <stp>10004081.SH</stp>
        <stp>Volume</stp>
        <tr r="E40" s="1"/>
      </tp>
      <tp>
        <v>197</v>
        <stp/>
        <stp>10004141.SH</stp>
        <stp>Volume</stp>
        <tr r="E35" s="1"/>
      </tp>
      <tp>
        <v>49</v>
        <stp/>
        <stp>10004121.SH</stp>
        <stp>Volume</stp>
        <tr r="E38" s="1"/>
      </tp>
      <tp>
        <v>28</v>
        <stp/>
        <stp>10003991.SH</stp>
        <stp>Volume</stp>
        <tr r="N49" s="1"/>
      </tp>
      <tp>
        <v>27625</v>
        <stp/>
        <stp>10003981.SH</stp>
        <stp>Volume</stp>
        <tr r="E48" s="1"/>
      </tp>
      <tp>
        <v>0.13070000000000001</v>
        <stp/>
        <stp>10004273.SH</stp>
        <stp>LastPrice</stp>
        <tr r="B61" s="1"/>
      </tp>
      <tp>
        <v>0.18530000000000002</v>
        <stp/>
        <stp>10004274.SH</stp>
        <stp>LastPrice</stp>
        <tr r="K61" s="1"/>
      </tp>
      <tp>
        <v>0.11030000000000001</v>
        <stp/>
        <stp>10004275.SH</stp>
        <stp>LastPrice</stp>
        <tr r="B62" s="1"/>
      </tp>
      <tp>
        <v>0.11860000000000001</v>
        <stp/>
        <stp>10003975.SH</stp>
        <stp>LastPrice</stp>
        <tr r="B42" s="1"/>
      </tp>
      <tp>
        <v>0.2132</v>
        <stp/>
        <stp>10004276.SH</stp>
        <stp>LastPrice</stp>
        <tr r="K62" s="1"/>
      </tp>
      <tp>
        <v>9.2100000000000001E-2</v>
        <stp/>
        <stp>10003976.SH</stp>
        <stp>LastPrice</stp>
        <tr r="B43" s="1"/>
      </tp>
      <tp>
        <v>2.1000000000000003E-3</v>
        <stp/>
        <stp>10004377.SH</stp>
        <stp>LastPrice</stp>
        <tr r="B30" s="1"/>
      </tp>
      <tp>
        <v>7.0000000000000007E-2</v>
        <stp/>
        <stp>10003977.SH</stp>
        <stp>LastPrice</stp>
        <tr r="B44" s="1"/>
      </tp>
      <tp>
        <v>0.41839999999999999</v>
        <stp/>
        <stp>10004378.SH</stp>
        <stp>LastPrice</stp>
        <tr r="K30" s="1"/>
      </tp>
      <tp>
        <v>5.2200000000000003E-2</v>
        <stp/>
        <stp>10003978.SH</stp>
        <stp>LastPrice</stp>
        <tr r="B45" s="1"/>
      </tp>
      <tp>
        <v>2.7700000000000002E-2</v>
        <stp/>
        <stp>10003979.SH</stp>
        <stp>LastPrice</stp>
        <tr r="B46" s="1"/>
      </tp>
      <tp>
        <v>28</v>
        <stp/>
        <stp>10004400.SH</stp>
        <stp>Volume</stp>
        <tr r="N32" s="1"/>
      </tp>
      <tp>
        <v>738</v>
        <stp/>
        <stp>10004290.SH</stp>
        <stp>Volume</stp>
        <tr r="N4" s="1"/>
      </tp>
      <tp>
        <v>600</v>
        <stp/>
        <stp>10004250.SH</stp>
        <stp>Volume</stp>
        <tr r="N56" s="1"/>
      </tp>
      <tp>
        <v>21</v>
        <stp/>
        <stp>10004240.SH</stp>
        <stp>Volume</stp>
        <tr r="E55" s="1"/>
      </tp>
      <tp>
        <v>8513</v>
        <stp/>
        <stp>10004220.SH</stp>
        <stp>Volume</stp>
        <tr r="N34" s="1"/>
      </tp>
      <tp>
        <v>2</v>
        <stp/>
        <stp>10004390.SH</stp>
        <stp>Volume</stp>
        <tr r="N66" s="1"/>
      </tp>
      <tp>
        <v>11482</v>
        <stp/>
        <stp>10004350.SH</stp>
        <stp>Volume</stp>
        <tr r="N21" s="1"/>
      </tp>
      <tp>
        <v>18</v>
        <stp/>
        <stp>10004340.SH</stp>
        <stp>Volume</stp>
        <tr r="N65" s="1"/>
      </tp>
      <tp>
        <v>1473</v>
        <stp/>
        <stp>10004330.SH</stp>
        <stp>Volume</stp>
        <tr r="N15" s="1"/>
      </tp>
      <tp>
        <v>82</v>
        <stp/>
        <stp>10003990.SH</stp>
        <stp>Volume</stp>
        <tr r="N48" s="1"/>
      </tp>
      <tp>
        <v>21117</v>
        <stp/>
        <stp>10003980.SH</stp>
        <stp>Volume</stp>
        <tr r="E47" s="1"/>
      </tp>
      <tp>
        <v>414</v>
        <stp/>
        <stp>10004403.SH</stp>
        <stp>Volume</stp>
        <tr r="E20" s="1"/>
      </tp>
      <tp>
        <v>2621</v>
        <stp/>
        <stp>10004293.SH</stp>
        <stp>Volume</stp>
        <tr r="N7" s="1"/>
      </tp>
      <tp>
        <v>757</v>
        <stp/>
        <stp>10004283.SH</stp>
        <stp>Volume</stp>
        <tr r="E6" s="1"/>
      </tp>
      <tp>
        <v>310</v>
        <stp/>
        <stp>10004253.SH</stp>
        <stp>Volume</stp>
        <tr r="N59" s="1"/>
      </tp>
      <tp>
        <v>199</v>
        <stp/>
        <stp>10004243.SH</stp>
        <stp>Volume</stp>
        <tr r="E58" s="1"/>
      </tp>
      <tp>
        <v>1587</v>
        <stp/>
        <stp>10004273.SH</stp>
        <stp>Volume</stp>
        <tr r="E61" s="1"/>
      </tp>
      <tp>
        <v>51191</v>
        <stp/>
        <stp>10004353.SH</stp>
        <stp>Volume</stp>
        <tr r="N24" s="1"/>
      </tp>
      <tp>
        <v>15839</v>
        <stp/>
        <stp>10004343.SH</stp>
        <stp>Volume</stp>
        <tr r="E23" s="1"/>
      </tp>
      <tp>
        <v>92</v>
        <stp/>
        <stp>10004143.SH</stp>
        <stp>Volume</stp>
        <tr r="E37" s="1"/>
      </tp>
      <tp>
        <v>9922</v>
        <stp/>
        <stp>10003983.SH</stp>
        <stp>Volume</stp>
        <tr r="E50" s="1"/>
      </tp>
      <tp>
        <v>1.32E-2</v>
        <stp/>
        <stp>10004350.SH</stp>
        <stp>LastPrice</stp>
        <tr r="K21" s="1"/>
      </tp>
      <tp>
        <v>7.3099999999999998E-2</v>
        <stp/>
        <stp>10004250.SH</stp>
        <stp>LastPrice</stp>
        <tr r="K56" s="1"/>
      </tp>
      <tp>
        <v>2.07E-2</v>
        <stp/>
        <stp>10004351.SH</stp>
        <stp>LastPrice</stp>
        <tr r="K22" s="1"/>
      </tp>
      <tp>
        <v>9.0400000000000008E-2</v>
        <stp/>
        <stp>10004251.SH</stp>
        <stp>LastPrice</stp>
        <tr r="K57" s="1"/>
      </tp>
      <tp>
        <v>3.2300000000000002E-2</v>
        <stp/>
        <stp>10004352.SH</stp>
        <stp>LastPrice</stp>
        <tr r="K23" s="1"/>
      </tp>
      <tp>
        <v>0.11</v>
        <stp/>
        <stp>10004252.SH</stp>
        <stp>LastPrice</stp>
        <tr r="K58" s="1"/>
      </tp>
      <tp>
        <v>4.8800000000000003E-2</v>
        <stp/>
        <stp>10004353.SH</stp>
        <stp>LastPrice</stp>
        <tr r="K24" s="1"/>
      </tp>
      <tp>
        <v>0.13200000000000001</v>
        <stp/>
        <stp>10004253.SH</stp>
        <stp>LastPrice</stp>
        <tr r="K59" s="1"/>
      </tp>
      <tp>
        <v>7.0699999999999999E-2</v>
        <stp/>
        <stp>10004354.SH</stp>
        <stp>LastPrice</stp>
        <tr r="K25" s="1"/>
      </tp>
      <tp>
        <v>0.1575</v>
        <stp/>
        <stp>10004254.SH</stp>
        <stp>LastPrice</stp>
        <tr r="K60" s="1"/>
      </tp>
      <tp>
        <v>9.9900000000000003E-2</v>
        <stp/>
        <stp>10004355.SH</stp>
        <stp>LastPrice</stp>
        <tr r="K26" s="1"/>
      </tp>
      <tp>
        <v>0.1368</v>
        <stp/>
        <stp>10004356.SH</stp>
        <stp>LastPrice</stp>
        <tr r="K27" s="1"/>
      </tp>
      <tp>
        <v>0.22290000000000001</v>
        <stp/>
        <stp>10004357.SH</stp>
        <stp>LastPrice</stp>
        <tr r="K28" s="1"/>
      </tp>
      <tp>
        <v>0.31870000000000004</v>
        <stp/>
        <stp>10004358.SH</stp>
        <stp>LastPrice</stp>
        <tr r="K29" s="1"/>
      </tp>
      <tp>
        <v>29</v>
        <stp/>
        <stp>10004402.SH</stp>
        <stp>Volume</stp>
        <tr r="N67" s="1"/>
      </tp>
      <tp>
        <v>600</v>
        <stp/>
        <stp>10004292.SH</stp>
        <stp>Volume</stp>
        <tr r="N6" s="1"/>
      </tp>
      <tp>
        <v>149</v>
        <stp/>
        <stp>10004282.SH</stp>
        <stp>Volume</stp>
        <tr r="E5" s="1"/>
      </tp>
      <tp>
        <v>291</v>
        <stp/>
        <stp>10004252.SH</stp>
        <stp>Volume</stp>
        <tr r="N58" s="1"/>
      </tp>
      <tp>
        <v>103</v>
        <stp/>
        <stp>10004242.SH</stp>
        <stp>Volume</stp>
        <tr r="E57" s="1"/>
      </tp>
      <tp>
        <v>26577</v>
        <stp/>
        <stp>10004352.SH</stp>
        <stp>Volume</stp>
        <tr r="N23" s="1"/>
      </tp>
      <tp>
        <v>2329</v>
        <stp/>
        <stp>10004342.SH</stp>
        <stp>Volume</stp>
        <tr r="E22" s="1"/>
      </tp>
      <tp>
        <v>172</v>
        <stp/>
        <stp>10004332.SH</stp>
        <stp>Volume</stp>
        <tr r="N64" s="1"/>
      </tp>
      <tp>
        <v>8246</v>
        <stp/>
        <stp>10004082.SH</stp>
        <stp>Volume</stp>
        <tr r="N40" s="1"/>
      </tp>
      <tp>
        <v>150</v>
        <stp/>
        <stp>10004142.SH</stp>
        <stp>Volume</stp>
        <tr r="E36" s="1"/>
      </tp>
      <tp>
        <v>4837</v>
        <stp/>
        <stp>10004122.SH</stp>
        <stp>Volume</stp>
        <tr r="N38" s="1"/>
      </tp>
      <tp>
        <v>9</v>
        <stp/>
        <stp>10003992.SH</stp>
        <stp>Volume</stp>
        <tr r="N50" s="1"/>
      </tp>
      <tp>
        <v>10814</v>
        <stp/>
        <stp>10003982.SH</stp>
        <stp>Volume</stp>
        <tr r="E49" s="1"/>
      </tp>
      <tp>
        <v>0.43240000000000001</v>
        <stp/>
        <stp>10004340.SH</stp>
        <stp>LastPrice</stp>
        <tr r="K65" s="1"/>
      </tp>
      <tp>
        <v>0.3049</v>
        <stp/>
        <stp>10004240.SH</stp>
        <stp>LastPrice</stp>
        <tr r="B55" s="1"/>
      </tp>
      <tp>
        <v>0.19800000000000001</v>
        <stp/>
        <stp>10004341.SH</stp>
        <stp>LastPrice</stp>
        <tr r="B21" s="1"/>
      </tp>
      <tp>
        <v>0.26880000000000004</v>
        <stp/>
        <stp>10004241.SH</stp>
        <stp>LastPrice</stp>
        <tr r="B56" s="1"/>
      </tp>
      <tp>
        <v>0.39350000000000002</v>
        <stp/>
        <stp>10004141.SH</stp>
        <stp>LastPrice</stp>
        <tr r="B35" s="1"/>
      </tp>
      <tp>
        <v>0.15610000000000002</v>
        <stp/>
        <stp>10004342.SH</stp>
        <stp>LastPrice</stp>
        <tr r="B22" s="1"/>
      </tp>
      <tp>
        <v>0.23520000000000002</v>
        <stp/>
        <stp>10004242.SH</stp>
        <stp>LastPrice</stp>
        <tr r="B57" s="1"/>
      </tp>
      <tp>
        <v>0.35320000000000001</v>
        <stp/>
        <stp>10004142.SH</stp>
        <stp>LastPrice</stp>
        <tr r="B36" s="1"/>
      </tp>
      <tp>
        <v>0.1177</v>
        <stp/>
        <stp>10004343.SH</stp>
        <stp>LastPrice</stp>
        <tr r="B23" s="1"/>
      </tp>
      <tp>
        <v>0.20660000000000001</v>
        <stp/>
        <stp>10004243.SH</stp>
        <stp>LastPrice</stp>
        <tr r="B58" s="1"/>
      </tp>
      <tp>
        <v>0.30560000000000004</v>
        <stp/>
        <stp>10004143.SH</stp>
        <stp>LastPrice</stp>
        <tr r="B37" s="1"/>
      </tp>
      <tp>
        <v>8.3700000000000011E-2</v>
        <stp/>
        <stp>10004344.SH</stp>
        <stp>LastPrice</stp>
        <tr r="B24" s="1"/>
      </tp>
      <tp>
        <v>0.17860000000000001</v>
        <stp/>
        <stp>10004244.SH</stp>
        <stp>LastPrice</stp>
        <tr r="B59" s="1"/>
      </tp>
      <tp>
        <v>7.1000000000000004E-3</v>
        <stp/>
        <stp>10004144.SH</stp>
        <stp>LastPrice</stp>
        <tr r="K35" s="1"/>
      </tp>
      <tp>
        <v>5.6600000000000004E-2</v>
        <stp/>
        <stp>10004345.SH</stp>
        <stp>LastPrice</stp>
        <tr r="B25" s="1"/>
      </tp>
      <tp>
        <v>0.1527</v>
        <stp/>
        <stp>10004245.SH</stp>
        <stp>LastPrice</stp>
        <tr r="B60" s="1"/>
      </tp>
      <tp>
        <v>1.0700000000000001E-2</v>
        <stp/>
        <stp>10004145.SH</stp>
        <stp>LastPrice</stp>
        <tr r="K36" s="1"/>
      </tp>
      <tp>
        <v>3.5200000000000002E-2</v>
        <stp/>
        <stp>10004346.SH</stp>
        <stp>LastPrice</stp>
        <tr r="B26" s="1"/>
      </tp>
      <tp>
        <v>2.9100000000000001E-2</v>
        <stp/>
        <stp>10004246.SH</stp>
        <stp>LastPrice</stp>
        <tr r="K52" s="1"/>
      </tp>
      <tp>
        <v>1.6E-2</v>
        <stp/>
        <stp>10004146.SH</stp>
        <stp>LastPrice</stp>
        <tr r="K37" s="1"/>
      </tp>
      <tp>
        <v>2.1400000000000002E-2</v>
        <stp/>
        <stp>10004347.SH</stp>
        <stp>LastPrice</stp>
        <tr r="B27" s="1"/>
      </tp>
      <tp>
        <v>3.7900000000000003E-2</v>
        <stp/>
        <stp>10004247.SH</stp>
        <stp>LastPrice</stp>
        <tr r="K53" s="1"/>
      </tp>
      <tp>
        <v>7.6E-3</v>
        <stp/>
        <stp>10004348.SH</stp>
        <stp>LastPrice</stp>
        <tr r="B28" s="1"/>
      </tp>
      <tp>
        <v>4.7699999999999999E-2</v>
        <stp/>
        <stp>10004248.SH</stp>
        <stp>LastPrice</stp>
        <tr r="K54" s="1"/>
      </tp>
      <tp>
        <v>3.5000000000000001E-3</v>
        <stp/>
        <stp>10004349.SH</stp>
        <stp>LastPrice</stp>
        <tr r="B29" s="1"/>
      </tp>
      <tp>
        <v>5.91E-2</v>
        <stp/>
        <stp>10004249.SH</stp>
        <stp>LastPrice</stp>
        <tr r="K5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"/>
  <sheetViews>
    <sheetView tabSelected="1" topLeftCell="A7" workbookViewId="0">
      <selection activeCell="I15" sqref="I15"/>
    </sheetView>
  </sheetViews>
  <sheetFormatPr defaultRowHeight="14" x14ac:dyDescent="0.3"/>
  <sheetData>
    <row r="1" spans="1:17" s="4" customFormat="1" x14ac:dyDescent="0.3">
      <c r="A1" s="1" t="s">
        <v>0</v>
      </c>
      <c r="B1" s="1"/>
      <c r="C1" s="1"/>
      <c r="D1" s="1"/>
      <c r="E1" s="1"/>
      <c r="F1" s="1"/>
      <c r="G1" s="1"/>
      <c r="H1" s="1"/>
      <c r="I1" s="2" t="s">
        <v>1</v>
      </c>
      <c r="J1" s="3" t="s">
        <v>2</v>
      </c>
      <c r="K1" s="3"/>
      <c r="L1" s="3"/>
      <c r="M1" s="3"/>
      <c r="N1" s="3"/>
      <c r="O1" s="3"/>
      <c r="P1" s="3"/>
      <c r="Q1" s="3"/>
    </row>
    <row r="2" spans="1:17" s="4" customFormat="1" x14ac:dyDescent="0.3">
      <c r="A2" s="5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2"/>
      <c r="J2" s="5" t="s">
        <v>3</v>
      </c>
      <c r="K2" s="5" t="s">
        <v>4</v>
      </c>
      <c r="L2" s="5" t="s">
        <v>5</v>
      </c>
      <c r="M2" s="5" t="s">
        <v>6</v>
      </c>
      <c r="N2" s="5" t="s">
        <v>7</v>
      </c>
      <c r="O2" s="5" t="s">
        <v>8</v>
      </c>
      <c r="P2" s="5" t="s">
        <v>9</v>
      </c>
      <c r="Q2" s="5" t="s">
        <v>10</v>
      </c>
    </row>
    <row r="3" spans="1:17" s="4" customFormat="1" x14ac:dyDescent="0.3">
      <c r="A3" s="6" t="s">
        <v>11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8"/>
    </row>
    <row r="4" spans="1:17" s="4" customFormat="1" x14ac:dyDescent="0.3">
      <c r="A4" s="9" t="s">
        <v>12</v>
      </c>
      <c r="B4" s="10">
        <f>RTD("wdf.rtq",,"10004281.SH","LastPrice")</f>
        <v>0.32980000000000004</v>
      </c>
      <c r="C4" s="10">
        <f>RTD("wdf.rtq",,"10004281.SH","Change")</f>
        <v>-7.6E-3</v>
      </c>
      <c r="D4" s="10">
        <f>RTD("wdf.rtq",,"10004281.SH","PctChg")</f>
        <v>-2.2500000000000004</v>
      </c>
      <c r="E4" s="10">
        <f>RTD("wdf.rtq",,"10004281.SH","Volume")</f>
        <v>156</v>
      </c>
      <c r="F4" s="10">
        <f>RTD("wdf.rtq",,"10004281.SH", "rt_oi","RT_Price")</f>
        <v>831</v>
      </c>
      <c r="G4" s="10">
        <f>RTD("wdf.rtq",,"10004281.SH","ImpliedVol")</f>
        <v>0.55230000000000001</v>
      </c>
      <c r="H4" s="10">
        <f>RTD("wdf.rtq",,"10004281.SH","rt_iv_change","RT_Price")</f>
        <v>1.72E-2</v>
      </c>
      <c r="I4" s="10">
        <v>2.5499999999999998</v>
      </c>
      <c r="J4" s="9" t="s">
        <v>13</v>
      </c>
      <c r="K4" s="10">
        <f>RTD("wdf.rtq",,"10004290.SH","LastPrice")</f>
        <v>1E-4</v>
      </c>
      <c r="L4" s="10">
        <f>RTD("wdf.rtq",,"10004290.SH","Change")</f>
        <v>0</v>
      </c>
      <c r="M4" s="10">
        <f>RTD("wdf.rtq",,"10004290.SH","PctChg")</f>
        <v>0</v>
      </c>
      <c r="N4" s="10">
        <f>RTD("wdf.rtq",,"10004290.SH","Volume")</f>
        <v>738</v>
      </c>
      <c r="O4" s="10">
        <f>RTD("wdf.rtq",,"10004290.SH", "rt_oi","RT_Price")</f>
        <v>37344</v>
      </c>
      <c r="P4" s="10">
        <f>RTD("wdf.rtq",,"10004290.SH","ImpliedVol")</f>
        <v>0.4284</v>
      </c>
      <c r="Q4" s="10">
        <f>RTD("wdf.rtq",,"10004290.SH","rt_iv_change","RT_Price")</f>
        <v>-99999999</v>
      </c>
    </row>
    <row r="5" spans="1:17" s="4" customFormat="1" x14ac:dyDescent="0.3">
      <c r="A5" s="9" t="s">
        <v>14</v>
      </c>
      <c r="B5" s="10">
        <f>RTD("wdf.rtq",,"10004282.SH","LastPrice")</f>
        <v>0.27900000000000003</v>
      </c>
      <c r="C5" s="10">
        <f>RTD("wdf.rtq",,"10004282.SH","Change")</f>
        <v>-9.300000000000001E-3</v>
      </c>
      <c r="D5" s="10">
        <f>RTD("wdf.rtq",,"10004282.SH","PctChg")</f>
        <v>-3.2300000000000004</v>
      </c>
      <c r="E5" s="10">
        <f>RTD("wdf.rtq",,"10004282.SH","Volume")</f>
        <v>149</v>
      </c>
      <c r="F5" s="10">
        <f>RTD("wdf.rtq",,"10004282.SH", "rt_oi","RT_Price")</f>
        <v>640</v>
      </c>
      <c r="G5" s="10">
        <f>RTD("wdf.rtq",,"10004282.SH","ImpliedVol")</f>
        <v>0.36410000000000003</v>
      </c>
      <c r="H5" s="10">
        <f>RTD("wdf.rtq",,"10004282.SH","rt_iv_change","RT_Price")</f>
        <v>-0.1313</v>
      </c>
      <c r="I5" s="10">
        <v>2.6</v>
      </c>
      <c r="J5" s="9" t="s">
        <v>15</v>
      </c>
      <c r="K5" s="10">
        <f>RTD("wdf.rtq",,"10004291.SH","LastPrice")</f>
        <v>1E-4</v>
      </c>
      <c r="L5" s="10">
        <f>RTD("wdf.rtq",,"10004291.SH","Change")</f>
        <v>0</v>
      </c>
      <c r="M5" s="10">
        <f>RTD("wdf.rtq",,"10004291.SH","PctChg")</f>
        <v>0</v>
      </c>
      <c r="N5" s="10">
        <f>RTD("wdf.rtq",,"10004291.SH","Volume")</f>
        <v>600</v>
      </c>
      <c r="O5" s="10">
        <f>RTD("wdf.rtq",,"10004291.SH", "rt_oi","RT_Price")</f>
        <v>29802</v>
      </c>
      <c r="P5" s="10">
        <f>RTD("wdf.rtq",,"10004291.SH","ImpliedVol")</f>
        <v>0.33390000000000003</v>
      </c>
      <c r="Q5" s="10">
        <f>RTD("wdf.rtq",,"10004291.SH","rt_iv_change","RT_Price")</f>
        <v>4.3900000000000002E-2</v>
      </c>
    </row>
    <row r="6" spans="1:17" s="4" customFormat="1" x14ac:dyDescent="0.3">
      <c r="A6" s="9" t="s">
        <v>16</v>
      </c>
      <c r="B6" s="10">
        <f>RTD("wdf.rtq",,"10004283.SH","LastPrice")</f>
        <v>0.22800000000000001</v>
      </c>
      <c r="C6" s="10">
        <f>RTD("wdf.rtq",,"10004283.SH","Change")</f>
        <v>-1.23E-2</v>
      </c>
      <c r="D6" s="10">
        <f>RTD("wdf.rtq",,"10004283.SH","PctChg")</f>
        <v>-5.12</v>
      </c>
      <c r="E6" s="10">
        <f>RTD("wdf.rtq",,"10004283.SH","Volume")</f>
        <v>757</v>
      </c>
      <c r="F6" s="10">
        <f>RTD("wdf.rtq",,"10004283.SH", "rt_oi","RT_Price")</f>
        <v>1513</v>
      </c>
      <c r="G6" s="10">
        <f>RTD("wdf.rtq",,"10004283.SH","ImpliedVol")</f>
        <v>0.30649999999999999</v>
      </c>
      <c r="H6" s="10">
        <f>RTD("wdf.rtq",,"10004283.SH","rt_iv_change","RT_Price")</f>
        <v>-1.15E-2</v>
      </c>
      <c r="I6" s="10">
        <v>2.65</v>
      </c>
      <c r="J6" s="9" t="s">
        <v>17</v>
      </c>
      <c r="K6" s="10">
        <f>RTD("wdf.rtq",,"10004292.SH","LastPrice")</f>
        <v>1E-4</v>
      </c>
      <c r="L6" s="10">
        <f>RTD("wdf.rtq",,"10004292.SH","Change")</f>
        <v>-1E-4</v>
      </c>
      <c r="M6" s="10">
        <f>RTD("wdf.rtq",,"10004292.SH","PctChg")</f>
        <v>-50</v>
      </c>
      <c r="N6" s="10">
        <f>RTD("wdf.rtq",,"10004292.SH","Volume")</f>
        <v>600</v>
      </c>
      <c r="O6" s="10">
        <f>RTD("wdf.rtq",,"10004292.SH", "rt_oi","RT_Price")</f>
        <v>23154</v>
      </c>
      <c r="P6" s="10">
        <f>RTD("wdf.rtq",,"10004292.SH","ImpliedVol")</f>
        <v>0.35239999999999999</v>
      </c>
      <c r="Q6" s="10">
        <f>RTD("wdf.rtq",,"10004292.SH","rt_iv_change","RT_Price")</f>
        <v>0.1769</v>
      </c>
    </row>
    <row r="7" spans="1:17" s="4" customFormat="1" x14ac:dyDescent="0.3">
      <c r="A7" s="9" t="s">
        <v>18</v>
      </c>
      <c r="B7" s="10">
        <f>RTD("wdf.rtq",,"10004284.SH","LastPrice")</f>
        <v>0.17850000000000002</v>
      </c>
      <c r="C7" s="10">
        <f>RTD("wdf.rtq",,"10004284.SH","Change")</f>
        <v>-1.0500000000000001E-2</v>
      </c>
      <c r="D7" s="10">
        <f>RTD("wdf.rtq",,"10004284.SH","PctChg")</f>
        <v>-5.5600000000000005</v>
      </c>
      <c r="E7" s="10">
        <f>RTD("wdf.rtq",,"10004284.SH","Volume")</f>
        <v>1320</v>
      </c>
      <c r="F7" s="10">
        <f>RTD("wdf.rtq",,"10004284.SH", "rt_oi","RT_Price")</f>
        <v>1833</v>
      </c>
      <c r="G7" s="10">
        <f>RTD("wdf.rtq",,"10004284.SH","ImpliedVol")</f>
        <v>0.32320000000000004</v>
      </c>
      <c r="H7" s="10">
        <f>RTD("wdf.rtq",,"10004284.SH","rt_iv_change","RT_Price")</f>
        <v>0.29650000000000004</v>
      </c>
      <c r="I7" s="10">
        <v>2.7</v>
      </c>
      <c r="J7" s="9" t="s">
        <v>19</v>
      </c>
      <c r="K7" s="10">
        <f>RTD("wdf.rtq",,"10004293.SH","LastPrice")</f>
        <v>2.0000000000000001E-4</v>
      </c>
      <c r="L7" s="10">
        <f>RTD("wdf.rtq",,"10004293.SH","Change")</f>
        <v>-1E-4</v>
      </c>
      <c r="M7" s="10">
        <f>RTD("wdf.rtq",,"10004293.SH","PctChg")</f>
        <v>-33.330000000000005</v>
      </c>
      <c r="N7" s="10">
        <f>RTD("wdf.rtq",,"10004293.SH","Volume")</f>
        <v>2621</v>
      </c>
      <c r="O7" s="10">
        <f>RTD("wdf.rtq",,"10004293.SH", "rt_oi","RT_Price")</f>
        <v>38454</v>
      </c>
      <c r="P7" s="10">
        <f>RTD("wdf.rtq",,"10004293.SH","ImpliedVol")</f>
        <v>0.27640000000000003</v>
      </c>
      <c r="Q7" s="10">
        <f>RTD("wdf.rtq",,"10004293.SH","rt_iv_change","RT_Price")</f>
        <v>8.4000000000000005E-2</v>
      </c>
    </row>
    <row r="8" spans="1:17" s="4" customFormat="1" x14ac:dyDescent="0.3">
      <c r="A8" s="9" t="s">
        <v>20</v>
      </c>
      <c r="B8" s="10">
        <f>RTD("wdf.rtq",,"10004285.SH","LastPrice")</f>
        <v>0.12890000000000001</v>
      </c>
      <c r="C8" s="10">
        <f>RTD("wdf.rtq",,"10004285.SH","Change")</f>
        <v>-8.0999999999999996E-3</v>
      </c>
      <c r="D8" s="10">
        <f>RTD("wdf.rtq",,"10004285.SH","PctChg")</f>
        <v>-5.91</v>
      </c>
      <c r="E8" s="10">
        <f>RTD("wdf.rtq",,"10004285.SH","Volume")</f>
        <v>12588</v>
      </c>
      <c r="F8" s="10">
        <f>RTD("wdf.rtq",,"10004285.SH", "rt_oi","RT_Price")</f>
        <v>3655</v>
      </c>
      <c r="G8" s="10">
        <f>RTD("wdf.rtq",,"10004285.SH","ImpliedVol")</f>
        <v>0.22800000000000001</v>
      </c>
      <c r="H8" s="10">
        <f>RTD("wdf.rtq",,"10004285.SH","rt_iv_change","RT_Price")</f>
        <v>0.29930000000000001</v>
      </c>
      <c r="I8" s="10">
        <v>2.75</v>
      </c>
      <c r="J8" s="9" t="s">
        <v>21</v>
      </c>
      <c r="K8" s="10">
        <f>RTD("wdf.rtq",,"10004294.SH","LastPrice")</f>
        <v>5.0000000000000001E-4</v>
      </c>
      <c r="L8" s="10">
        <f>RTD("wdf.rtq",,"10004294.SH","Change")</f>
        <v>-4.0000000000000002E-4</v>
      </c>
      <c r="M8" s="10">
        <f>RTD("wdf.rtq",,"10004294.SH","PctChg")</f>
        <v>-44.440000000000005</v>
      </c>
      <c r="N8" s="10">
        <f>RTD("wdf.rtq",,"10004294.SH","Volume")</f>
        <v>7072</v>
      </c>
      <c r="O8" s="10">
        <f>RTD("wdf.rtq",,"10004294.SH", "rt_oi","RT_Price")</f>
        <v>46689</v>
      </c>
      <c r="P8" s="10">
        <f>RTD("wdf.rtq",,"10004294.SH","ImpliedVol")</f>
        <v>0.23380000000000001</v>
      </c>
      <c r="Q8" s="10">
        <f>RTD("wdf.rtq",,"10004294.SH","rt_iv_change","RT_Price")</f>
        <v>-2.3100000000000002E-2</v>
      </c>
    </row>
    <row r="9" spans="1:17" s="4" customFormat="1" x14ac:dyDescent="0.3">
      <c r="A9" s="9" t="s">
        <v>22</v>
      </c>
      <c r="B9" s="10">
        <f>RTD("wdf.rtq",,"10004286.SH","LastPrice")</f>
        <v>7.9000000000000001E-2</v>
      </c>
      <c r="C9" s="10">
        <f>RTD("wdf.rtq",,"10004286.SH","Change")</f>
        <v>-1.2800000000000001E-2</v>
      </c>
      <c r="D9" s="10">
        <f>RTD("wdf.rtq",,"10004286.SH","PctChg")</f>
        <v>-13.94</v>
      </c>
      <c r="E9" s="10">
        <f>RTD("wdf.rtq",,"10004286.SH","Volume")</f>
        <v>80559</v>
      </c>
      <c r="F9" s="10">
        <f>RTD("wdf.rtq",,"10004286.SH", "rt_oi","RT_Price")</f>
        <v>22131</v>
      </c>
      <c r="G9" s="10">
        <f>RTD("wdf.rtq",,"10004286.SH","ImpliedVol")</f>
        <v>0.10830000000000001</v>
      </c>
      <c r="H9" s="10">
        <f>RTD("wdf.rtq",,"10004286.SH","rt_iv_change","RT_Price")</f>
        <v>-0.40310000000000001</v>
      </c>
      <c r="I9" s="10">
        <v>2.8</v>
      </c>
      <c r="J9" s="9" t="s">
        <v>23</v>
      </c>
      <c r="K9" s="10">
        <f>RTD("wdf.rtq",,"10004295.SH","LastPrice")</f>
        <v>1.7000000000000001E-3</v>
      </c>
      <c r="L9" s="10">
        <f>RTD("wdf.rtq",,"10004295.SH","Change")</f>
        <v>-6.0000000000000006E-4</v>
      </c>
      <c r="M9" s="10">
        <f>RTD("wdf.rtq",,"10004295.SH","PctChg")</f>
        <v>-26.090000000000003</v>
      </c>
      <c r="N9" s="10">
        <f>RTD("wdf.rtq",,"10004295.SH","Volume")</f>
        <v>53233</v>
      </c>
      <c r="O9" s="10">
        <f>RTD("wdf.rtq",,"10004295.SH", "rt_oi","RT_Price")</f>
        <v>82180</v>
      </c>
      <c r="P9" s="10">
        <f>RTD("wdf.rtq",,"10004295.SH","ImpliedVol")</f>
        <v>0.20860000000000001</v>
      </c>
      <c r="Q9" s="10">
        <f>RTD("wdf.rtq",,"10004295.SH","rt_iv_change","RT_Price")</f>
        <v>3.0800000000000001E-2</v>
      </c>
    </row>
    <row r="10" spans="1:17" s="4" customFormat="1" x14ac:dyDescent="0.3">
      <c r="A10" s="9" t="s">
        <v>24</v>
      </c>
      <c r="B10" s="10">
        <f>RTD("wdf.rtq",,"10004287.SH","LastPrice")</f>
        <v>3.56E-2</v>
      </c>
      <c r="C10" s="10">
        <f>RTD("wdf.rtq",,"10004287.SH","Change")</f>
        <v>-1.26E-2</v>
      </c>
      <c r="D10" s="10">
        <f>RTD("wdf.rtq",,"10004287.SH","PctChg")</f>
        <v>-26.14</v>
      </c>
      <c r="E10" s="10">
        <f>RTD("wdf.rtq",,"10004287.SH","Volume")</f>
        <v>212598</v>
      </c>
      <c r="F10" s="10">
        <f>RTD("wdf.rtq",,"10004287.SH", "rt_oi","RT_Price")</f>
        <v>47045</v>
      </c>
      <c r="G10" s="10">
        <f>RTD("wdf.rtq",,"10004287.SH","ImpliedVol")</f>
        <v>0.16740000000000002</v>
      </c>
      <c r="H10" s="10">
        <f>RTD("wdf.rtq",,"10004287.SH","rt_iv_change","RT_Price")</f>
        <v>-4.9800000000000004E-2</v>
      </c>
      <c r="I10" s="10">
        <v>2.85</v>
      </c>
      <c r="J10" s="9" t="s">
        <v>25</v>
      </c>
      <c r="K10" s="10">
        <f>RTD("wdf.rtq",,"10004296.SH","LastPrice")</f>
        <v>7.9000000000000008E-3</v>
      </c>
      <c r="L10" s="10">
        <f>RTD("wdf.rtq",,"10004296.SH","Change")</f>
        <v>-1.1000000000000001E-3</v>
      </c>
      <c r="M10" s="10">
        <f>RTD("wdf.rtq",,"10004296.SH","PctChg")</f>
        <v>-12.22</v>
      </c>
      <c r="N10" s="10">
        <f>RTD("wdf.rtq",,"10004296.SH","Volume")</f>
        <v>160807</v>
      </c>
      <c r="O10" s="10">
        <f>RTD("wdf.rtq",,"10004296.SH", "rt_oi","RT_Price")</f>
        <v>73707</v>
      </c>
      <c r="P10" s="10">
        <f>RTD("wdf.rtq",,"10004296.SH","ImpliedVol")</f>
        <v>0.1827</v>
      </c>
      <c r="Q10" s="10">
        <f>RTD("wdf.rtq",,"10004296.SH","rt_iv_change","RT_Price")</f>
        <v>-2.87E-2</v>
      </c>
    </row>
    <row r="11" spans="1:17" s="4" customFormat="1" x14ac:dyDescent="0.3">
      <c r="A11" s="9" t="s">
        <v>26</v>
      </c>
      <c r="B11" s="10">
        <f>RTD("wdf.rtq",,"10004288.SH","LastPrice")</f>
        <v>9.6000000000000009E-3</v>
      </c>
      <c r="C11" s="10">
        <f>RTD("wdf.rtq",,"10004288.SH","Change")</f>
        <v>-7.5000000000000006E-3</v>
      </c>
      <c r="D11" s="10">
        <f>RTD("wdf.rtq",,"10004288.SH","PctChg")</f>
        <v>-43.860000000000007</v>
      </c>
      <c r="E11" s="10">
        <f>RTD("wdf.rtq",,"10004288.SH","Volume")</f>
        <v>235922</v>
      </c>
      <c r="F11" s="10">
        <f>RTD("wdf.rtq",,"10004288.SH", "rt_oi","RT_Price")</f>
        <v>111341</v>
      </c>
      <c r="G11" s="10">
        <f>RTD("wdf.rtq",,"10004288.SH","ImpliedVol")</f>
        <v>0.17370000000000002</v>
      </c>
      <c r="H11" s="10">
        <f>RTD("wdf.rtq",,"10004288.SH","rt_iv_change","RT_Price")</f>
        <v>3.61E-2</v>
      </c>
      <c r="I11" s="10">
        <v>2.9</v>
      </c>
      <c r="J11" s="9" t="s">
        <v>27</v>
      </c>
      <c r="K11" s="10">
        <f>RTD("wdf.rtq",,"10004297.SH","LastPrice")</f>
        <v>3.0600000000000002E-2</v>
      </c>
      <c r="L11" s="10">
        <f>RTD("wdf.rtq",,"10004297.SH","Change")</f>
        <v>3.8E-3</v>
      </c>
      <c r="M11" s="10">
        <f>RTD("wdf.rtq",,"10004297.SH","PctChg")</f>
        <v>14.180000000000001</v>
      </c>
      <c r="N11" s="10">
        <f>RTD("wdf.rtq",,"10004297.SH","Volume")</f>
        <v>209563</v>
      </c>
      <c r="O11" s="10">
        <f>RTD("wdf.rtq",,"10004297.SH", "rt_oi","RT_Price")</f>
        <v>66402</v>
      </c>
      <c r="P11" s="10">
        <f>RTD("wdf.rtq",,"10004297.SH","ImpliedVol")</f>
        <v>0.17380000000000001</v>
      </c>
      <c r="Q11" s="10">
        <f>RTD("wdf.rtq",,"10004297.SH","rt_iv_change","RT_Price")</f>
        <v>3.1300000000000001E-2</v>
      </c>
    </row>
    <row r="12" spans="1:17" s="4" customFormat="1" x14ac:dyDescent="0.3">
      <c r="A12" s="9" t="s">
        <v>28</v>
      </c>
      <c r="B12" s="10">
        <f>RTD("wdf.rtq",,"10004289.SH","LastPrice")</f>
        <v>1.4E-3</v>
      </c>
      <c r="C12" s="10">
        <f>RTD("wdf.rtq",,"10004289.SH","Change")</f>
        <v>-2.7000000000000001E-3</v>
      </c>
      <c r="D12" s="10">
        <f>RTD("wdf.rtq",,"10004289.SH","PctChg")</f>
        <v>-65.850000000000009</v>
      </c>
      <c r="E12" s="10">
        <f>RTD("wdf.rtq",,"10004289.SH","Volume")</f>
        <v>62307</v>
      </c>
      <c r="F12" s="10">
        <f>RTD("wdf.rtq",,"10004289.SH", "rt_oi","RT_Price")</f>
        <v>100949</v>
      </c>
      <c r="G12" s="10">
        <f>RTD("wdf.rtq",,"10004289.SH","ImpliedVol")</f>
        <v>0.1792</v>
      </c>
      <c r="H12" s="10">
        <f>RTD("wdf.rtq",,"10004289.SH","rt_iv_change","RT_Price")</f>
        <v>4.1800000000000004E-2</v>
      </c>
      <c r="I12" s="10">
        <v>2.95</v>
      </c>
      <c r="J12" s="9" t="s">
        <v>29</v>
      </c>
      <c r="K12" s="10">
        <f>RTD("wdf.rtq",,"10004298.SH","LastPrice")</f>
        <v>7.3599999999999999E-2</v>
      </c>
      <c r="L12" s="10">
        <f>RTD("wdf.rtq",,"10004298.SH","Change")</f>
        <v>9.4999999999999998E-3</v>
      </c>
      <c r="M12" s="10">
        <f>RTD("wdf.rtq",,"10004298.SH","PctChg")</f>
        <v>14.82</v>
      </c>
      <c r="N12" s="10">
        <f>RTD("wdf.rtq",,"10004298.SH","Volume")</f>
        <v>81439</v>
      </c>
      <c r="O12" s="10">
        <f>RTD("wdf.rtq",,"10004298.SH", "rt_oi","RT_Price")</f>
        <v>35076</v>
      </c>
      <c r="P12" s="10">
        <f>RTD("wdf.rtq",,"10004298.SH","ImpliedVol")</f>
        <v>0.2089</v>
      </c>
      <c r="Q12" s="10">
        <f>RTD("wdf.rtq",,"10004298.SH","rt_iv_change","RT_Price")</f>
        <v>0.17680000000000001</v>
      </c>
    </row>
    <row r="13" spans="1:17" s="4" customFormat="1" x14ac:dyDescent="0.3">
      <c r="A13" s="9" t="s">
        <v>30</v>
      </c>
      <c r="B13" s="10">
        <f>RTD("wdf.rtq",,"10004317.SH","LastPrice")</f>
        <v>4.0000000000000002E-4</v>
      </c>
      <c r="C13" s="10">
        <f>RTD("wdf.rtq",,"10004317.SH","Change")</f>
        <v>-4.0000000000000002E-4</v>
      </c>
      <c r="D13" s="10">
        <f>RTD("wdf.rtq",,"10004317.SH","PctChg")</f>
        <v>-50</v>
      </c>
      <c r="E13" s="10">
        <f>RTD("wdf.rtq",,"10004317.SH","Volume")</f>
        <v>22256</v>
      </c>
      <c r="F13" s="10">
        <f>RTD("wdf.rtq",,"10004317.SH", "rt_oi","RT_Price")</f>
        <v>128749</v>
      </c>
      <c r="G13" s="10">
        <f>RTD("wdf.rtq",,"10004317.SH","ImpliedVol")</f>
        <v>0.21860000000000002</v>
      </c>
      <c r="H13" s="10">
        <f>RTD("wdf.rtq",,"10004317.SH","rt_iv_change","RT_Price")</f>
        <v>0.1943</v>
      </c>
      <c r="I13" s="10">
        <v>3</v>
      </c>
      <c r="J13" s="9" t="s">
        <v>31</v>
      </c>
      <c r="K13" s="10">
        <f>RTD("wdf.rtq",,"10004318.SH","LastPrice")</f>
        <v>0.12250000000000001</v>
      </c>
      <c r="L13" s="10">
        <f>RTD("wdf.rtq",,"10004318.SH","Change")</f>
        <v>9.4999999999999998E-3</v>
      </c>
      <c r="M13" s="10">
        <f>RTD("wdf.rtq",,"10004318.SH","PctChg")</f>
        <v>8.41</v>
      </c>
      <c r="N13" s="10">
        <f>RTD("wdf.rtq",,"10004318.SH","Volume")</f>
        <v>32540</v>
      </c>
      <c r="O13" s="10">
        <f>RTD("wdf.rtq",,"10004318.SH", "rt_oi","RT_Price")</f>
        <v>23578</v>
      </c>
      <c r="P13" s="10">
        <f>RTD("wdf.rtq",,"10004318.SH","ImpliedVol")</f>
        <v>0.2747</v>
      </c>
      <c r="Q13" s="10">
        <f>RTD("wdf.rtq",,"10004318.SH","rt_iv_change","RT_Price")</f>
        <v>0.34520000000000001</v>
      </c>
    </row>
    <row r="14" spans="1:17" s="4" customFormat="1" x14ac:dyDescent="0.3">
      <c r="A14" s="9" t="s">
        <v>32</v>
      </c>
      <c r="B14" s="10">
        <f>RTD("wdf.rtq",,"10004325.SH","LastPrice")</f>
        <v>2.0000000000000001E-4</v>
      </c>
      <c r="C14" s="10">
        <f>RTD("wdf.rtq",,"10004325.SH","Change")</f>
        <v>-1E-4</v>
      </c>
      <c r="D14" s="10">
        <f>RTD("wdf.rtq",,"10004325.SH","PctChg")</f>
        <v>-33.330000000000005</v>
      </c>
      <c r="E14" s="10">
        <f>RTD("wdf.rtq",,"10004325.SH","Volume")</f>
        <v>8754</v>
      </c>
      <c r="F14" s="10">
        <f>RTD("wdf.rtq",,"10004325.SH", "rt_oi","RT_Price")</f>
        <v>134079</v>
      </c>
      <c r="G14" s="10">
        <f>RTD("wdf.rtq",,"10004325.SH","ImpliedVol")</f>
        <v>0.33080000000000004</v>
      </c>
      <c r="H14" s="10">
        <f>RTD("wdf.rtq",,"10004325.SH","rt_iv_change","RT_Price")</f>
        <v>0.22570000000000001</v>
      </c>
      <c r="I14" s="10">
        <v>3.1</v>
      </c>
      <c r="J14" s="9" t="s">
        <v>33</v>
      </c>
      <c r="K14" s="10">
        <f>RTD("wdf.rtq",,"10004326.SH","LastPrice")</f>
        <v>0.2225</v>
      </c>
      <c r="L14" s="10">
        <f>RTD("wdf.rtq",,"10004326.SH","Change")</f>
        <v>8.3000000000000001E-3</v>
      </c>
      <c r="M14" s="10">
        <f>RTD("wdf.rtq",,"10004326.SH","PctChg")</f>
        <v>3.8700000000000006</v>
      </c>
      <c r="N14" s="10">
        <f>RTD("wdf.rtq",,"10004326.SH","Volume")</f>
        <v>12463</v>
      </c>
      <c r="O14" s="10">
        <f>RTD("wdf.rtq",,"10004326.SH", "rt_oi","RT_Price")</f>
        <v>20189</v>
      </c>
      <c r="P14" s="10">
        <f>RTD("wdf.rtq",,"10004326.SH","ImpliedVol")</f>
        <v>0.39090000000000003</v>
      </c>
      <c r="Q14" s="10">
        <f>RTD("wdf.rtq",,"10004326.SH","rt_iv_change","RT_Price")</f>
        <v>-9.4800000000000009E-2</v>
      </c>
    </row>
    <row r="15" spans="1:17" s="4" customFormat="1" x14ac:dyDescent="0.3">
      <c r="A15" s="9" t="s">
        <v>34</v>
      </c>
      <c r="B15" s="10">
        <f>RTD("wdf.rtq",,"10004329.SH","LastPrice")</f>
        <v>2.0000000000000001E-4</v>
      </c>
      <c r="C15" s="10">
        <f>RTD("wdf.rtq",,"10004329.SH","Change")</f>
        <v>-1E-4</v>
      </c>
      <c r="D15" s="10">
        <f>RTD("wdf.rtq",,"10004329.SH","PctChg")</f>
        <v>-33.330000000000005</v>
      </c>
      <c r="E15" s="10">
        <f>RTD("wdf.rtq",,"10004329.SH","Volume")</f>
        <v>3244</v>
      </c>
      <c r="F15" s="10">
        <f>RTD("wdf.rtq",,"10004329.SH", "rt_oi","RT_Price")</f>
        <v>109234</v>
      </c>
      <c r="G15" s="10">
        <f>RTD("wdf.rtq",,"10004329.SH","ImpliedVol")</f>
        <v>0.45440000000000003</v>
      </c>
      <c r="H15" s="10">
        <f>RTD("wdf.rtq",,"10004329.SH","rt_iv_change","RT_Price")</f>
        <v>0.25700000000000001</v>
      </c>
      <c r="I15" s="10">
        <v>3.2</v>
      </c>
      <c r="J15" s="9" t="s">
        <v>35</v>
      </c>
      <c r="K15" s="10">
        <f>RTD("wdf.rtq",,"10004330.SH","LastPrice")</f>
        <v>0.32250000000000001</v>
      </c>
      <c r="L15" s="10">
        <f>RTD("wdf.rtq",,"10004330.SH","Change")</f>
        <v>5.0000000000000001E-3</v>
      </c>
      <c r="M15" s="10">
        <f>RTD("wdf.rtq",,"10004330.SH","PctChg")</f>
        <v>1.5700000000000003</v>
      </c>
      <c r="N15" s="10">
        <f>RTD("wdf.rtq",,"10004330.SH","Volume")</f>
        <v>1473</v>
      </c>
      <c r="O15" s="10">
        <f>RTD("wdf.rtq",,"10004330.SH", "rt_oi","RT_Price")</f>
        <v>7885</v>
      </c>
      <c r="P15" s="10">
        <f>RTD("wdf.rtq",,"10004330.SH","ImpliedVol")</f>
        <v>0.54849999999999999</v>
      </c>
      <c r="Q15" s="10">
        <f>RTD("wdf.rtq",,"10004330.SH","rt_iv_change","RT_Price")</f>
        <v>-0.1565</v>
      </c>
    </row>
    <row r="16" spans="1:17" s="4" customFormat="1" x14ac:dyDescent="0.3">
      <c r="A16" s="9" t="s">
        <v>36</v>
      </c>
      <c r="B16" s="10">
        <f>RTD("wdf.rtq",,"10004337.SH","LastPrice")</f>
        <v>1E-4</v>
      </c>
      <c r="C16" s="10">
        <f>RTD("wdf.rtq",,"10004337.SH","Change")</f>
        <v>-1E-4</v>
      </c>
      <c r="D16" s="10">
        <f>RTD("wdf.rtq",,"10004337.SH","PctChg")</f>
        <v>-50</v>
      </c>
      <c r="E16" s="10">
        <f>RTD("wdf.rtq",,"10004337.SH","Volume")</f>
        <v>2443</v>
      </c>
      <c r="F16" s="10">
        <f>RTD("wdf.rtq",,"10004337.SH", "rt_oi","RT_Price")</f>
        <v>72539</v>
      </c>
      <c r="G16" s="10">
        <f>RTD("wdf.rtq",,"10004337.SH","ImpliedVol")</f>
        <v>0.45520000000000005</v>
      </c>
      <c r="H16" s="10">
        <f>RTD("wdf.rtq",,"10004337.SH","rt_iv_change","RT_Price")</f>
        <v>5.6500000000000002E-2</v>
      </c>
      <c r="I16" s="10">
        <v>3.3</v>
      </c>
      <c r="J16" s="9" t="s">
        <v>37</v>
      </c>
      <c r="K16" s="10">
        <f>RTD("wdf.rtq",,"10004338.SH","LastPrice")</f>
        <v>0.4199</v>
      </c>
      <c r="L16" s="10">
        <f>RTD("wdf.rtq",,"10004338.SH","Change")</f>
        <v>6.9000000000000008E-3</v>
      </c>
      <c r="M16" s="10">
        <f>RTD("wdf.rtq",,"10004338.SH","PctChg")</f>
        <v>1.67</v>
      </c>
      <c r="N16" s="10">
        <f>RTD("wdf.rtq",,"10004338.SH","Volume")</f>
        <v>154</v>
      </c>
      <c r="O16" s="10">
        <f>RTD("wdf.rtq",,"10004338.SH", "rt_oi","RT_Price")</f>
        <v>3003</v>
      </c>
      <c r="P16" s="10">
        <f>RTD("wdf.rtq",,"10004338.SH","ImpliedVol")</f>
        <v>0.73040000000000005</v>
      </c>
      <c r="Q16" s="10">
        <f>RTD("wdf.rtq",,"10004338.SH","rt_iv_change","RT_Price")</f>
        <v>0.3488</v>
      </c>
    </row>
    <row r="17" spans="1:17" s="4" customFormat="1" x14ac:dyDescent="0.3">
      <c r="A17" s="9" t="s">
        <v>38</v>
      </c>
      <c r="B17" s="10">
        <f>RTD("wdf.rtq",,"10004385.SH","LastPrice")</f>
        <v>1E-4</v>
      </c>
      <c r="C17" s="10">
        <f>RTD("wdf.rtq",,"10004385.SH","Change")</f>
        <v>-1E-4</v>
      </c>
      <c r="D17" s="10">
        <f>RTD("wdf.rtq",,"10004385.SH","PctChg")</f>
        <v>-50</v>
      </c>
      <c r="E17" s="10">
        <f>RTD("wdf.rtq",,"10004385.SH","Volume")</f>
        <v>1289</v>
      </c>
      <c r="F17" s="10">
        <f>RTD("wdf.rtq",,"10004385.SH", "rt_oi","RT_Price")</f>
        <v>58601</v>
      </c>
      <c r="G17" s="10">
        <f>RTD("wdf.rtq",,"10004385.SH","ImpliedVol")</f>
        <v>0.52190000000000003</v>
      </c>
      <c r="H17" s="10">
        <f>RTD("wdf.rtq",,"10004385.SH","rt_iv_change","RT_Price")</f>
        <v>7.2500000000000009E-2</v>
      </c>
      <c r="I17" s="10">
        <v>3.4</v>
      </c>
      <c r="J17" s="9" t="s">
        <v>39</v>
      </c>
      <c r="K17" s="10">
        <f>RTD("wdf.rtq",,"10004386.SH","LastPrice")</f>
        <v>0.5202</v>
      </c>
      <c r="L17" s="10">
        <f>RTD("wdf.rtq",,"10004386.SH","Change")</f>
        <v>7.2000000000000007E-3</v>
      </c>
      <c r="M17" s="10">
        <f>RTD("wdf.rtq",,"10004386.SH","PctChg")</f>
        <v>1.4000000000000001</v>
      </c>
      <c r="N17" s="10">
        <f>RTD("wdf.rtq",,"10004386.SH","Volume")</f>
        <v>32</v>
      </c>
      <c r="O17" s="10">
        <f>RTD("wdf.rtq",,"10004386.SH", "rt_oi","RT_Price")</f>
        <v>723</v>
      </c>
      <c r="P17" s="10">
        <f>RTD("wdf.rtq",,"10004386.SH","ImpliedVol")</f>
        <v>0.75519999999999998</v>
      </c>
      <c r="Q17" s="10">
        <f>RTD("wdf.rtq",,"10004386.SH","rt_iv_change","RT_Price")</f>
        <v>0.1893</v>
      </c>
    </row>
    <row r="18" spans="1:17" s="4" customFormat="1" x14ac:dyDescent="0.3">
      <c r="A18" s="9" t="s">
        <v>40</v>
      </c>
      <c r="B18" s="10">
        <f>RTD("wdf.rtq",,"10004397.SH","LastPrice")</f>
        <v>1E-4</v>
      </c>
      <c r="C18" s="10">
        <f>RTD("wdf.rtq",,"10004397.SH","Change")</f>
        <v>0</v>
      </c>
      <c r="D18" s="10">
        <f>RTD("wdf.rtq",,"10004397.SH","PctChg")</f>
        <v>0</v>
      </c>
      <c r="E18" s="10">
        <f>RTD("wdf.rtq",,"10004397.SH","Volume")</f>
        <v>122</v>
      </c>
      <c r="F18" s="10">
        <f>RTD("wdf.rtq",,"10004397.SH", "rt_oi","RT_Price")</f>
        <v>23475</v>
      </c>
      <c r="G18" s="10">
        <f>RTD("wdf.rtq",,"10004397.SH","ImpliedVol")</f>
        <v>0</v>
      </c>
      <c r="H18" s="10">
        <f>RTD("wdf.rtq",,"10004397.SH","rt_iv_change","RT_Price")</f>
        <v>0</v>
      </c>
      <c r="I18" s="10">
        <v>3.5</v>
      </c>
      <c r="J18" s="9" t="s">
        <v>41</v>
      </c>
      <c r="K18" s="10">
        <f>RTD("wdf.rtq",,"10004398.SH","LastPrice")</f>
        <v>0.62250000000000005</v>
      </c>
      <c r="L18" s="10">
        <f>RTD("wdf.rtq",,"10004398.SH","Change")</f>
        <v>9.4999999999999998E-3</v>
      </c>
      <c r="M18" s="10">
        <f>RTD("wdf.rtq",,"10004398.SH","PctChg")</f>
        <v>1.55</v>
      </c>
      <c r="N18" s="10">
        <f>RTD("wdf.rtq",,"10004398.SH","Volume")</f>
        <v>26</v>
      </c>
      <c r="O18" s="10">
        <f>RTD("wdf.rtq",,"10004398.SH", "rt_oi","RT_Price")</f>
        <v>198</v>
      </c>
      <c r="P18" s="10">
        <f>RTD("wdf.rtq",,"10004398.SH","ImpliedVol")</f>
        <v>0.86030000000000006</v>
      </c>
      <c r="Q18" s="10">
        <f>RTD("wdf.rtq",,"10004398.SH","rt_iv_change","RT_Price")</f>
        <v>0.30020000000000002</v>
      </c>
    </row>
    <row r="19" spans="1:17" s="4" customFormat="1" x14ac:dyDescent="0.3">
      <c r="A19" s="11" t="s">
        <v>42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</row>
    <row r="20" spans="1:17" s="4" customFormat="1" x14ac:dyDescent="0.3">
      <c r="A20" s="9" t="s">
        <v>43</v>
      </c>
      <c r="B20" s="10">
        <f>RTD("wdf.rtq",,"10004403.SH","LastPrice")</f>
        <v>0.2437</v>
      </c>
      <c r="C20" s="10">
        <f>RTD("wdf.rtq",,"10004403.SH","Change")</f>
        <v>-1.03E-2</v>
      </c>
      <c r="D20" s="10">
        <f>RTD("wdf.rtq",,"10004403.SH","PctChg")</f>
        <v>-4.0600000000000005</v>
      </c>
      <c r="E20" s="10">
        <f>RTD("wdf.rtq",,"10004403.SH","Volume")</f>
        <v>414</v>
      </c>
      <c r="F20" s="10">
        <f>RTD("wdf.rtq",,"10004403.SH", "rt_oi","RT_Price")</f>
        <v>966</v>
      </c>
      <c r="G20" s="10">
        <f>RTD("wdf.rtq",,"10004403.SH","ImpliedVol")</f>
        <v>0.22170000000000001</v>
      </c>
      <c r="H20" s="10">
        <f>RTD("wdf.rtq",,"10004403.SH","rt_iv_change","RT_Price")</f>
        <v>2.6000000000000003E-3</v>
      </c>
      <c r="I20" s="10">
        <v>2.65</v>
      </c>
      <c r="J20" s="9" t="s">
        <v>44</v>
      </c>
      <c r="K20" s="10">
        <f>RTD("wdf.rtq",,"10004404.SH","LastPrice")</f>
        <v>8.0999999999999996E-3</v>
      </c>
      <c r="L20" s="10">
        <f>RTD("wdf.rtq",,"10004404.SH","Change")</f>
        <v>-2.0000000000000001E-4</v>
      </c>
      <c r="M20" s="10">
        <f>RTD("wdf.rtq",,"10004404.SH","PctChg")</f>
        <v>-2.41</v>
      </c>
      <c r="N20" s="10">
        <f>RTD("wdf.rtq",,"10004404.SH","Volume")</f>
        <v>4355</v>
      </c>
      <c r="O20" s="10">
        <f>RTD("wdf.rtq",,"10004404.SH", "rt_oi","RT_Price")</f>
        <v>23331</v>
      </c>
      <c r="P20" s="10">
        <f>RTD("wdf.rtq",,"10004404.SH","ImpliedVol")</f>
        <v>0.21490000000000001</v>
      </c>
      <c r="Q20" s="10">
        <f>RTD("wdf.rtq",,"10004404.SH","rt_iv_change","RT_Price")</f>
        <v>-1.7899999999999999E-2</v>
      </c>
    </row>
    <row r="21" spans="1:17" s="4" customFormat="1" x14ac:dyDescent="0.3">
      <c r="A21" s="9" t="s">
        <v>45</v>
      </c>
      <c r="B21" s="10">
        <f>RTD("wdf.rtq",,"10004341.SH","LastPrice")</f>
        <v>0.19800000000000001</v>
      </c>
      <c r="C21" s="10">
        <f>RTD("wdf.rtq",,"10004341.SH","Change")</f>
        <v>-1.06E-2</v>
      </c>
      <c r="D21" s="10">
        <f>RTD("wdf.rtq",,"10004341.SH","PctChg")</f>
        <v>-5.08</v>
      </c>
      <c r="E21" s="10">
        <f>RTD("wdf.rtq",,"10004341.SH","Volume")</f>
        <v>1837</v>
      </c>
      <c r="F21" s="10">
        <f>RTD("wdf.rtq",,"10004341.SH", "rt_oi","RT_Price")</f>
        <v>2388</v>
      </c>
      <c r="G21" s="10">
        <f>RTD("wdf.rtq",,"10004341.SH","ImpliedVol")</f>
        <v>0.20780000000000001</v>
      </c>
      <c r="H21" s="10">
        <f>RTD("wdf.rtq",,"10004341.SH","rt_iv_change","RT_Price")</f>
        <v>1.67E-2</v>
      </c>
      <c r="I21" s="10">
        <v>2.7</v>
      </c>
      <c r="J21" s="9" t="s">
        <v>46</v>
      </c>
      <c r="K21" s="10">
        <f>RTD("wdf.rtq",,"10004350.SH","LastPrice")</f>
        <v>1.32E-2</v>
      </c>
      <c r="L21" s="10">
        <f>RTD("wdf.rtq",,"10004350.SH","Change")</f>
        <v>2.0000000000000001E-4</v>
      </c>
      <c r="M21" s="10">
        <f>RTD("wdf.rtq",,"10004350.SH","PctChg")</f>
        <v>1.54</v>
      </c>
      <c r="N21" s="10">
        <f>RTD("wdf.rtq",,"10004350.SH","Volume")</f>
        <v>11482</v>
      </c>
      <c r="O21" s="10">
        <f>RTD("wdf.rtq",,"10004350.SH", "rt_oi","RT_Price")</f>
        <v>35434</v>
      </c>
      <c r="P21" s="10">
        <f>RTD("wdf.rtq",,"10004350.SH","ImpliedVol")</f>
        <v>0.2094</v>
      </c>
      <c r="Q21" s="10">
        <f>RTD("wdf.rtq",,"10004350.SH","rt_iv_change","RT_Price")</f>
        <v>-3.6000000000000003E-3</v>
      </c>
    </row>
    <row r="22" spans="1:17" s="4" customFormat="1" x14ac:dyDescent="0.3">
      <c r="A22" s="9" t="s">
        <v>47</v>
      </c>
      <c r="B22" s="10">
        <f>RTD("wdf.rtq",,"10004342.SH","LastPrice")</f>
        <v>0.15610000000000002</v>
      </c>
      <c r="C22" s="10">
        <f>RTD("wdf.rtq",,"10004342.SH","Change")</f>
        <v>-1.09E-2</v>
      </c>
      <c r="D22" s="10">
        <f>RTD("wdf.rtq",,"10004342.SH","PctChg")</f>
        <v>-6.5299999999999994</v>
      </c>
      <c r="E22" s="10">
        <f>RTD("wdf.rtq",,"10004342.SH","Volume")</f>
        <v>2329</v>
      </c>
      <c r="F22" s="10">
        <f>RTD("wdf.rtq",,"10004342.SH", "rt_oi","RT_Price")</f>
        <v>9516</v>
      </c>
      <c r="G22" s="10">
        <f>RTD("wdf.rtq",,"10004342.SH","ImpliedVol")</f>
        <v>0.20020000000000002</v>
      </c>
      <c r="H22" s="10">
        <f>RTD("wdf.rtq",,"10004342.SH","rt_iv_change","RT_Price")</f>
        <v>-3.1E-2</v>
      </c>
      <c r="I22" s="10">
        <v>2.75</v>
      </c>
      <c r="J22" s="9" t="s">
        <v>48</v>
      </c>
      <c r="K22" s="10">
        <f>RTD("wdf.rtq",,"10004351.SH","LastPrice")</f>
        <v>2.07E-2</v>
      </c>
      <c r="L22" s="10">
        <f>RTD("wdf.rtq",,"10004351.SH","Change")</f>
        <v>5.0000000000000001E-4</v>
      </c>
      <c r="M22" s="10">
        <f>RTD("wdf.rtq",,"10004351.SH","PctChg")</f>
        <v>2.4800000000000004</v>
      </c>
      <c r="N22" s="10">
        <f>RTD("wdf.rtq",,"10004351.SH","Volume")</f>
        <v>16608</v>
      </c>
      <c r="O22" s="10">
        <f>RTD("wdf.rtq",,"10004351.SH", "rt_oi","RT_Price")</f>
        <v>31145</v>
      </c>
      <c r="P22" s="10">
        <f>RTD("wdf.rtq",,"10004351.SH","ImpliedVol")</f>
        <v>0.20130000000000001</v>
      </c>
      <c r="Q22" s="10">
        <f>RTD("wdf.rtq",,"10004351.SH","rt_iv_change","RT_Price")</f>
        <v>-4.1000000000000003E-3</v>
      </c>
    </row>
    <row r="23" spans="1:17" s="4" customFormat="1" x14ac:dyDescent="0.3">
      <c r="A23" s="9" t="s">
        <v>49</v>
      </c>
      <c r="B23" s="10">
        <f>RTD("wdf.rtq",,"10004343.SH","LastPrice")</f>
        <v>0.1177</v>
      </c>
      <c r="C23" s="10">
        <f>RTD("wdf.rtq",,"10004343.SH","Change")</f>
        <v>-1.0100000000000001E-2</v>
      </c>
      <c r="D23" s="10">
        <f>RTD("wdf.rtq",,"10004343.SH","PctChg")</f>
        <v>-7.9</v>
      </c>
      <c r="E23" s="10">
        <f>RTD("wdf.rtq",,"10004343.SH","Volume")</f>
        <v>15839</v>
      </c>
      <c r="F23" s="10">
        <f>RTD("wdf.rtq",,"10004343.SH", "rt_oi","RT_Price")</f>
        <v>8923</v>
      </c>
      <c r="G23" s="10">
        <f>RTD("wdf.rtq",,"10004343.SH","ImpliedVol")</f>
        <v>0.19390000000000002</v>
      </c>
      <c r="H23" s="10">
        <f>RTD("wdf.rtq",,"10004343.SH","rt_iv_change","RT_Price")</f>
        <v>-3.8300000000000001E-2</v>
      </c>
      <c r="I23" s="10">
        <v>2.8</v>
      </c>
      <c r="J23" s="9" t="s">
        <v>50</v>
      </c>
      <c r="K23" s="10">
        <f>RTD("wdf.rtq",,"10004352.SH","LastPrice")</f>
        <v>3.2300000000000002E-2</v>
      </c>
      <c r="L23" s="10">
        <f>RTD("wdf.rtq",,"10004352.SH","Change")</f>
        <v>1.9E-3</v>
      </c>
      <c r="M23" s="10">
        <f>RTD("wdf.rtq",,"10004352.SH","PctChg")</f>
        <v>6.25</v>
      </c>
      <c r="N23" s="10">
        <f>RTD("wdf.rtq",,"10004352.SH","Volume")</f>
        <v>26577</v>
      </c>
      <c r="O23" s="10">
        <f>RTD("wdf.rtq",,"10004352.SH", "rt_oi","RT_Price")</f>
        <v>38711</v>
      </c>
      <c r="P23" s="10">
        <f>RTD("wdf.rtq",,"10004352.SH","ImpliedVol")</f>
        <v>0.1951</v>
      </c>
      <c r="Q23" s="10">
        <f>RTD("wdf.rtq",,"10004352.SH","rt_iv_change","RT_Price")</f>
        <v>1.0200000000000001E-2</v>
      </c>
    </row>
    <row r="24" spans="1:17" s="4" customFormat="1" x14ac:dyDescent="0.3">
      <c r="A24" s="9" t="s">
        <v>51</v>
      </c>
      <c r="B24" s="10">
        <f>RTD("wdf.rtq",,"10004344.SH","LastPrice")</f>
        <v>8.3700000000000011E-2</v>
      </c>
      <c r="C24" s="10">
        <f>RTD("wdf.rtq",,"10004344.SH","Change")</f>
        <v>-6.3E-3</v>
      </c>
      <c r="D24" s="10">
        <f>RTD("wdf.rtq",,"10004344.SH","PctChg")</f>
        <v>-7.0000000000000009</v>
      </c>
      <c r="E24" s="10">
        <f>RTD("wdf.rtq",,"10004344.SH","Volume")</f>
        <v>36358</v>
      </c>
      <c r="F24" s="10">
        <f>RTD("wdf.rtq",,"10004344.SH", "rt_oi","RT_Price")</f>
        <v>22029</v>
      </c>
      <c r="G24" s="10">
        <f>RTD("wdf.rtq",,"10004344.SH","ImpliedVol")</f>
        <v>0.18640000000000001</v>
      </c>
      <c r="H24" s="10">
        <f>RTD("wdf.rtq",,"10004344.SH","rt_iv_change","RT_Price")</f>
        <v>9.9000000000000008E-3</v>
      </c>
      <c r="I24" s="10">
        <v>2.85</v>
      </c>
      <c r="J24" s="9" t="s">
        <v>52</v>
      </c>
      <c r="K24" s="10">
        <f>RTD("wdf.rtq",,"10004353.SH","LastPrice")</f>
        <v>4.8800000000000003E-2</v>
      </c>
      <c r="L24" s="10">
        <f>RTD("wdf.rtq",,"10004353.SH","Change")</f>
        <v>2.3E-3</v>
      </c>
      <c r="M24" s="10">
        <f>RTD("wdf.rtq",,"10004353.SH","PctChg")</f>
        <v>4.95</v>
      </c>
      <c r="N24" s="10">
        <f>RTD("wdf.rtq",,"10004353.SH","Volume")</f>
        <v>51191</v>
      </c>
      <c r="O24" s="10">
        <f>RTD("wdf.rtq",,"10004353.SH", "rt_oi","RT_Price")</f>
        <v>60796</v>
      </c>
      <c r="P24" s="10">
        <f>RTD("wdf.rtq",,"10004353.SH","ImpliedVol")</f>
        <v>0.18920000000000001</v>
      </c>
      <c r="Q24" s="10">
        <f>RTD("wdf.rtq",,"10004353.SH","rt_iv_change","RT_Price")</f>
        <v>2.2000000000000001E-3</v>
      </c>
    </row>
    <row r="25" spans="1:17" s="4" customFormat="1" x14ac:dyDescent="0.3">
      <c r="A25" s="9" t="s">
        <v>53</v>
      </c>
      <c r="B25" s="10">
        <f>RTD("wdf.rtq",,"10004345.SH","LastPrice")</f>
        <v>5.6600000000000004E-2</v>
      </c>
      <c r="C25" s="10">
        <f>RTD("wdf.rtq",,"10004345.SH","Change")</f>
        <v>-6.5000000000000006E-3</v>
      </c>
      <c r="D25" s="10">
        <f>RTD("wdf.rtq",,"10004345.SH","PctChg")</f>
        <v>-10.3</v>
      </c>
      <c r="E25" s="10">
        <f>RTD("wdf.rtq",,"10004345.SH","Volume")</f>
        <v>78216</v>
      </c>
      <c r="F25" s="10">
        <f>RTD("wdf.rtq",,"10004345.SH", "rt_oi","RT_Price")</f>
        <v>66853</v>
      </c>
      <c r="G25" s="10">
        <f>RTD("wdf.rtq",,"10004345.SH","ImpliedVol")</f>
        <v>0.1825</v>
      </c>
      <c r="H25" s="10">
        <f>RTD("wdf.rtq",,"10004345.SH","rt_iv_change","RT_Price")</f>
        <v>-9.7000000000000003E-3</v>
      </c>
      <c r="I25" s="10">
        <v>2.9</v>
      </c>
      <c r="J25" s="9" t="s">
        <v>54</v>
      </c>
      <c r="K25" s="10">
        <f>RTD("wdf.rtq",,"10004354.SH","LastPrice")</f>
        <v>7.0699999999999999E-2</v>
      </c>
      <c r="L25" s="10">
        <f>RTD("wdf.rtq",,"10004354.SH","Change")</f>
        <v>2.6000000000000003E-3</v>
      </c>
      <c r="M25" s="10">
        <f>RTD("wdf.rtq",,"10004354.SH","PctChg")</f>
        <v>3.8200000000000003</v>
      </c>
      <c r="N25" s="10">
        <f>RTD("wdf.rtq",,"10004354.SH","Volume")</f>
        <v>96466</v>
      </c>
      <c r="O25" s="10">
        <f>RTD("wdf.rtq",,"10004354.SH", "rt_oi","RT_Price")</f>
        <v>78141</v>
      </c>
      <c r="P25" s="10">
        <f>RTD("wdf.rtq",,"10004354.SH","ImpliedVol")</f>
        <v>0.18260000000000001</v>
      </c>
      <c r="Q25" s="10">
        <f>RTD("wdf.rtq",,"10004354.SH","rt_iv_change","RT_Price")</f>
        <v>-9.9000000000000008E-3</v>
      </c>
    </row>
    <row r="26" spans="1:17" s="4" customFormat="1" x14ac:dyDescent="0.3">
      <c r="A26" s="9" t="s">
        <v>55</v>
      </c>
      <c r="B26" s="10">
        <f>RTD("wdf.rtq",,"10004346.SH","LastPrice")</f>
        <v>3.5200000000000002E-2</v>
      </c>
      <c r="C26" s="10">
        <f>RTD("wdf.rtq",,"10004346.SH","Change")</f>
        <v>-7.0000000000000001E-3</v>
      </c>
      <c r="D26" s="10">
        <f>RTD("wdf.rtq",,"10004346.SH","PctChg")</f>
        <v>-16.590000000000003</v>
      </c>
      <c r="E26" s="10">
        <f>RTD("wdf.rtq",,"10004346.SH","Volume")</f>
        <v>50354</v>
      </c>
      <c r="F26" s="10">
        <f>RTD("wdf.rtq",,"10004346.SH", "rt_oi","RT_Price")</f>
        <v>71075</v>
      </c>
      <c r="G26" s="10">
        <f>RTD("wdf.rtq",,"10004346.SH","ImpliedVol")</f>
        <v>0.17700000000000002</v>
      </c>
      <c r="H26" s="10">
        <f>RTD("wdf.rtq",,"10004346.SH","rt_iv_change","RT_Price")</f>
        <v>-3.85E-2</v>
      </c>
      <c r="I26" s="10">
        <v>2.95</v>
      </c>
      <c r="J26" s="9" t="s">
        <v>56</v>
      </c>
      <c r="K26" s="10">
        <f>RTD("wdf.rtq",,"10004355.SH","LastPrice")</f>
        <v>9.9900000000000003E-2</v>
      </c>
      <c r="L26" s="10">
        <f>RTD("wdf.rtq",,"10004355.SH","Change")</f>
        <v>5.8999999999999999E-3</v>
      </c>
      <c r="M26" s="10">
        <f>RTD("wdf.rtq",,"10004355.SH","PctChg")</f>
        <v>6.2800000000000011</v>
      </c>
      <c r="N26" s="10">
        <f>RTD("wdf.rtq",,"10004355.SH","Volume")</f>
        <v>29966</v>
      </c>
      <c r="O26" s="10">
        <f>RTD("wdf.rtq",,"10004355.SH", "rt_oi","RT_Price")</f>
        <v>30665</v>
      </c>
      <c r="P26" s="10">
        <f>RTD("wdf.rtq",,"10004355.SH","ImpliedVol")</f>
        <v>0.1792</v>
      </c>
      <c r="Q26" s="10">
        <f>RTD("wdf.rtq",,"10004355.SH","rt_iv_change","RT_Price")</f>
        <v>2.41E-2</v>
      </c>
    </row>
    <row r="27" spans="1:17" s="4" customFormat="1" x14ac:dyDescent="0.3">
      <c r="A27" s="9" t="s">
        <v>57</v>
      </c>
      <c r="B27" s="10">
        <f>RTD("wdf.rtq",,"10004347.SH","LastPrice")</f>
        <v>2.1400000000000002E-2</v>
      </c>
      <c r="C27" s="10">
        <f>RTD("wdf.rtq",,"10004347.SH","Change")</f>
        <v>-3.6000000000000003E-3</v>
      </c>
      <c r="D27" s="10">
        <f>RTD("wdf.rtq",,"10004347.SH","PctChg")</f>
        <v>-14.400000000000002</v>
      </c>
      <c r="E27" s="10">
        <f>RTD("wdf.rtq",,"10004347.SH","Volume")</f>
        <v>34014</v>
      </c>
      <c r="F27" s="10">
        <f>RTD("wdf.rtq",,"10004347.SH", "rt_oi","RT_Price")</f>
        <v>89489</v>
      </c>
      <c r="G27" s="10">
        <f>RTD("wdf.rtq",,"10004347.SH","ImpliedVol")</f>
        <v>0.17700000000000002</v>
      </c>
      <c r="H27" s="10">
        <f>RTD("wdf.rtq",,"10004347.SH","rt_iv_change","RT_Price")</f>
        <v>-3.3E-3</v>
      </c>
      <c r="I27" s="10">
        <v>3</v>
      </c>
      <c r="J27" s="9" t="s">
        <v>58</v>
      </c>
      <c r="K27" s="10">
        <f>RTD("wdf.rtq",,"10004356.SH","LastPrice")</f>
        <v>0.1368</v>
      </c>
      <c r="L27" s="10">
        <f>RTD("wdf.rtq",,"10004356.SH","Change")</f>
        <v>1.0100000000000001E-2</v>
      </c>
      <c r="M27" s="10">
        <f>RTD("wdf.rtq",,"10004356.SH","PctChg")</f>
        <v>7.9700000000000006</v>
      </c>
      <c r="N27" s="10">
        <f>RTD("wdf.rtq",,"10004356.SH","Volume")</f>
        <v>19170</v>
      </c>
      <c r="O27" s="10">
        <f>RTD("wdf.rtq",,"10004356.SH", "rt_oi","RT_Price")</f>
        <v>26632</v>
      </c>
      <c r="P27" s="10">
        <f>RTD("wdf.rtq",,"10004356.SH","ImpliedVol")</f>
        <v>0.1825</v>
      </c>
      <c r="Q27" s="10">
        <f>RTD("wdf.rtq",,"10004356.SH","rt_iv_change","RT_Price")</f>
        <v>9.3400000000000011E-2</v>
      </c>
    </row>
    <row r="28" spans="1:17" s="4" customFormat="1" x14ac:dyDescent="0.3">
      <c r="A28" s="9" t="s">
        <v>59</v>
      </c>
      <c r="B28" s="10">
        <f>RTD("wdf.rtq",,"10004348.SH","LastPrice")</f>
        <v>7.6E-3</v>
      </c>
      <c r="C28" s="10">
        <f>RTD("wdf.rtq",,"10004348.SH","Change")</f>
        <v>-1.2000000000000001E-3</v>
      </c>
      <c r="D28" s="10">
        <f>RTD("wdf.rtq",,"10004348.SH","PctChg")</f>
        <v>-13.639999999999999</v>
      </c>
      <c r="E28" s="10">
        <f>RTD("wdf.rtq",,"10004348.SH","Volume")</f>
        <v>17475</v>
      </c>
      <c r="F28" s="10">
        <f>RTD("wdf.rtq",,"10004348.SH", "rt_oi","RT_Price")</f>
        <v>70417</v>
      </c>
      <c r="G28" s="10">
        <f>RTD("wdf.rtq",,"10004348.SH","ImpliedVol")</f>
        <v>0.18340000000000001</v>
      </c>
      <c r="H28" s="10">
        <f>RTD("wdf.rtq",,"10004348.SH","rt_iv_change","RT_Price")</f>
        <v>1.5600000000000001E-2</v>
      </c>
      <c r="I28" s="10">
        <v>3.1</v>
      </c>
      <c r="J28" s="9" t="s">
        <v>60</v>
      </c>
      <c r="K28" s="10">
        <f>RTD("wdf.rtq",,"10004357.SH","LastPrice")</f>
        <v>0.22290000000000001</v>
      </c>
      <c r="L28" s="10">
        <f>RTD("wdf.rtq",,"10004357.SH","Change")</f>
        <v>8.7000000000000011E-3</v>
      </c>
      <c r="M28" s="10">
        <f>RTD("wdf.rtq",,"10004357.SH","PctChg")</f>
        <v>4.0600000000000005</v>
      </c>
      <c r="N28" s="10">
        <f>RTD("wdf.rtq",,"10004357.SH","Volume")</f>
        <v>3439</v>
      </c>
      <c r="O28" s="10">
        <f>RTD("wdf.rtq",,"10004357.SH", "rt_oi","RT_Price")</f>
        <v>10175</v>
      </c>
      <c r="P28" s="10">
        <f>RTD("wdf.rtq",,"10004357.SH","ImpliedVol")</f>
        <v>0.18720000000000001</v>
      </c>
      <c r="Q28" s="10">
        <f>RTD("wdf.rtq",,"10004357.SH","rt_iv_change","RT_Price")</f>
        <v>0.13120000000000001</v>
      </c>
    </row>
    <row r="29" spans="1:17" s="4" customFormat="1" x14ac:dyDescent="0.3">
      <c r="A29" s="9" t="s">
        <v>61</v>
      </c>
      <c r="B29" s="10">
        <f>RTD("wdf.rtq",,"10004349.SH","LastPrice")</f>
        <v>3.5000000000000001E-3</v>
      </c>
      <c r="C29" s="10">
        <f>RTD("wdf.rtq",,"10004349.SH","Change")</f>
        <v>-1E-4</v>
      </c>
      <c r="D29" s="10">
        <f>RTD("wdf.rtq",,"10004349.SH","PctChg")</f>
        <v>-2.7800000000000002</v>
      </c>
      <c r="E29" s="10">
        <f>RTD("wdf.rtq",,"10004349.SH","Volume")</f>
        <v>6180</v>
      </c>
      <c r="F29" s="10">
        <f>RTD("wdf.rtq",,"10004349.SH", "rt_oi","RT_Price")</f>
        <v>43812</v>
      </c>
      <c r="G29" s="10">
        <f>RTD("wdf.rtq",,"10004349.SH","ImpliedVol")</f>
        <v>0.2031</v>
      </c>
      <c r="H29" s="10">
        <f>RTD("wdf.rtq",,"10004349.SH","rt_iv_change","RT_Price")</f>
        <v>4.2599999999999999E-2</v>
      </c>
      <c r="I29" s="10">
        <v>3.2</v>
      </c>
      <c r="J29" s="9" t="s">
        <v>62</v>
      </c>
      <c r="K29" s="10">
        <f>RTD("wdf.rtq",,"10004358.SH","LastPrice")</f>
        <v>0.31870000000000004</v>
      </c>
      <c r="L29" s="10">
        <f>RTD("wdf.rtq",,"10004358.SH","Change")</f>
        <v>1.2000000000000001E-3</v>
      </c>
      <c r="M29" s="10">
        <f>RTD("wdf.rtq",,"10004358.SH","PctChg")</f>
        <v>0.38</v>
      </c>
      <c r="N29" s="10">
        <f>RTD("wdf.rtq",,"10004358.SH","Volume")</f>
        <v>760</v>
      </c>
      <c r="O29" s="10">
        <f>RTD("wdf.rtq",,"10004358.SH", "rt_oi","RT_Price")</f>
        <v>4686</v>
      </c>
      <c r="P29" s="10">
        <f>RTD("wdf.rtq",,"10004358.SH","ImpliedVol")</f>
        <v>0.2114</v>
      </c>
      <c r="Q29" s="10">
        <f>RTD("wdf.rtq",,"10004358.SH","rt_iv_change","RT_Price")</f>
        <v>6.4000000000000003E-3</v>
      </c>
    </row>
    <row r="30" spans="1:17" s="4" customFormat="1" x14ac:dyDescent="0.3">
      <c r="A30" s="9" t="s">
        <v>63</v>
      </c>
      <c r="B30" s="10">
        <f>RTD("wdf.rtq",,"10004377.SH","LastPrice")</f>
        <v>2.1000000000000003E-3</v>
      </c>
      <c r="C30" s="10">
        <f>RTD("wdf.rtq",,"10004377.SH","Change")</f>
        <v>-2.0000000000000001E-4</v>
      </c>
      <c r="D30" s="10">
        <f>RTD("wdf.rtq",,"10004377.SH","PctChg")</f>
        <v>-8.7000000000000011</v>
      </c>
      <c r="E30" s="10">
        <f>RTD("wdf.rtq",,"10004377.SH","Volume")</f>
        <v>4087</v>
      </c>
      <c r="F30" s="10">
        <f>RTD("wdf.rtq",,"10004377.SH", "rt_oi","RT_Price")</f>
        <v>30573</v>
      </c>
      <c r="G30" s="10">
        <f>RTD("wdf.rtq",,"10004377.SH","ImpliedVol")</f>
        <v>0.22890000000000002</v>
      </c>
      <c r="H30" s="10">
        <f>RTD("wdf.rtq",,"10004377.SH","rt_iv_change","RT_Price")</f>
        <v>2.7400000000000001E-2</v>
      </c>
      <c r="I30" s="10">
        <v>3.3</v>
      </c>
      <c r="J30" s="9" t="s">
        <v>64</v>
      </c>
      <c r="K30" s="10">
        <f>RTD("wdf.rtq",,"10004378.SH","LastPrice")</f>
        <v>0.41839999999999999</v>
      </c>
      <c r="L30" s="10">
        <f>RTD("wdf.rtq",,"10004378.SH","Change")</f>
        <v>5.4000000000000003E-3</v>
      </c>
      <c r="M30" s="10">
        <f>RTD("wdf.rtq",,"10004378.SH","PctChg")</f>
        <v>1.31</v>
      </c>
      <c r="N30" s="10">
        <f>RTD("wdf.rtq",,"10004378.SH","Volume")</f>
        <v>143</v>
      </c>
      <c r="O30" s="10">
        <f>RTD("wdf.rtq",,"10004378.SH", "rt_oi","RT_Price")</f>
        <v>1240</v>
      </c>
      <c r="P30" s="10">
        <f>RTD("wdf.rtq",,"10004378.SH","ImpliedVol")</f>
        <v>0.2223</v>
      </c>
      <c r="Q30" s="10">
        <f>RTD("wdf.rtq",,"10004378.SH","rt_iv_change","RT_Price")</f>
        <v>8.5000000000000006E-3</v>
      </c>
    </row>
    <row r="31" spans="1:17" s="4" customFormat="1" x14ac:dyDescent="0.3">
      <c r="A31" s="9" t="s">
        <v>65</v>
      </c>
      <c r="B31" s="10">
        <f>RTD("wdf.rtq",,"10004387.SH","LastPrice")</f>
        <v>1.6000000000000001E-3</v>
      </c>
      <c r="C31" s="10">
        <f>RTD("wdf.rtq",,"10004387.SH","Change")</f>
        <v>-3.0000000000000003E-4</v>
      </c>
      <c r="D31" s="10">
        <f>RTD("wdf.rtq",,"10004387.SH","PctChg")</f>
        <v>-15.790000000000001</v>
      </c>
      <c r="E31" s="10">
        <f>RTD("wdf.rtq",,"10004387.SH","Volume")</f>
        <v>1890</v>
      </c>
      <c r="F31" s="10">
        <f>RTD("wdf.rtq",,"10004387.SH", "rt_oi","RT_Price")</f>
        <v>21703</v>
      </c>
      <c r="G31" s="10">
        <f>RTD("wdf.rtq",,"10004387.SH","ImpliedVol")</f>
        <v>0.25950000000000001</v>
      </c>
      <c r="H31" s="10">
        <f>RTD("wdf.rtq",,"10004387.SH","rt_iv_change","RT_Price")</f>
        <v>1.32E-2</v>
      </c>
      <c r="I31" s="10">
        <v>3.4</v>
      </c>
      <c r="J31" s="9" t="s">
        <v>66</v>
      </c>
      <c r="K31" s="10">
        <f>RTD("wdf.rtq",,"10004388.SH","LastPrice")</f>
        <v>0.5081</v>
      </c>
      <c r="L31" s="10">
        <f>RTD("wdf.rtq",,"10004388.SH","Change")</f>
        <v>-4.8999999999999998E-3</v>
      </c>
      <c r="M31" s="10">
        <f>RTD("wdf.rtq",,"10004388.SH","PctChg")</f>
        <v>-0.96000000000000008</v>
      </c>
      <c r="N31" s="10">
        <f>RTD("wdf.rtq",,"10004388.SH","Volume")</f>
        <v>28</v>
      </c>
      <c r="O31" s="10">
        <f>RTD("wdf.rtq",,"10004388.SH", "rt_oi","RT_Price")</f>
        <v>918</v>
      </c>
      <c r="P31" s="10">
        <f>RTD("wdf.rtq",,"10004388.SH","ImpliedVol")</f>
        <v>0.2472</v>
      </c>
      <c r="Q31" s="10">
        <f>RTD("wdf.rtq",,"10004388.SH","rt_iv_change","RT_Price")</f>
        <v>-8.3900000000000002E-2</v>
      </c>
    </row>
    <row r="32" spans="1:17" s="4" customFormat="1" x14ac:dyDescent="0.3">
      <c r="A32" s="9" t="s">
        <v>67</v>
      </c>
      <c r="B32" s="10">
        <f>RTD("wdf.rtq",,"10004399.SH","LastPrice")</f>
        <v>1.2000000000000001E-3</v>
      </c>
      <c r="C32" s="10">
        <f>RTD("wdf.rtq",,"10004399.SH","Change")</f>
        <v>-2.0000000000000001E-4</v>
      </c>
      <c r="D32" s="10">
        <f>RTD("wdf.rtq",,"10004399.SH","PctChg")</f>
        <v>-14.29</v>
      </c>
      <c r="E32" s="10">
        <f>RTD("wdf.rtq",,"10004399.SH","Volume")</f>
        <v>3970</v>
      </c>
      <c r="F32" s="10">
        <f>RTD("wdf.rtq",,"10004399.SH", "rt_oi","RT_Price")</f>
        <v>23777</v>
      </c>
      <c r="G32" s="10">
        <f>RTD("wdf.rtq",,"10004399.SH","ImpliedVol")</f>
        <v>0.28610000000000002</v>
      </c>
      <c r="H32" s="10">
        <f>RTD("wdf.rtq",,"10004399.SH","rt_iv_change","RT_Price")</f>
        <v>1.5900000000000001E-2</v>
      </c>
      <c r="I32" s="10">
        <v>3.5</v>
      </c>
      <c r="J32" s="9" t="s">
        <v>68</v>
      </c>
      <c r="K32" s="10">
        <f>RTD("wdf.rtq",,"10004400.SH","LastPrice")</f>
        <v>0.61150000000000004</v>
      </c>
      <c r="L32" s="10">
        <f>RTD("wdf.rtq",,"10004400.SH","Change")</f>
        <v>-1.5E-3</v>
      </c>
      <c r="M32" s="10">
        <f>RTD("wdf.rtq",,"10004400.SH","PctChg")</f>
        <v>-0.24000000000000002</v>
      </c>
      <c r="N32" s="10">
        <f>RTD("wdf.rtq",,"10004400.SH","Volume")</f>
        <v>28</v>
      </c>
      <c r="O32" s="10">
        <f>RTD("wdf.rtq",,"10004400.SH", "rt_oi","RT_Price")</f>
        <v>1099</v>
      </c>
      <c r="P32" s="10">
        <f>RTD("wdf.rtq",,"10004400.SH","ImpliedVol")</f>
        <v>0.26790000000000003</v>
      </c>
      <c r="Q32" s="10">
        <f>RTD("wdf.rtq",,"10004400.SH","rt_iv_change","RT_Price")</f>
        <v>5.7700000000000001E-2</v>
      </c>
    </row>
    <row r="33" spans="1:17" s="4" customFormat="1" x14ac:dyDescent="0.3">
      <c r="A33" s="11" t="s">
        <v>69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spans="1:17" s="4" customFormat="1" x14ac:dyDescent="0.3">
      <c r="A34" s="9" t="s">
        <v>70</v>
      </c>
      <c r="B34" s="10">
        <f>RTD("wdf.rtq",,"10004219.SH","LastPrice")</f>
        <v>0.4446</v>
      </c>
      <c r="C34" s="10">
        <f>RTD("wdf.rtq",,"10004219.SH","Change")</f>
        <v>-1.0700000000000001E-2</v>
      </c>
      <c r="D34" s="10">
        <f>RTD("wdf.rtq",,"10004219.SH","PctChg")</f>
        <v>-2.35</v>
      </c>
      <c r="E34" s="10">
        <f>RTD("wdf.rtq",,"10004219.SH","Volume")</f>
        <v>30</v>
      </c>
      <c r="F34" s="10">
        <f>RTD("wdf.rtq",,"10004219.SH", "rt_oi","RT_Price")</f>
        <v>702</v>
      </c>
      <c r="G34" s="10">
        <f>RTD("wdf.rtq",,"10004219.SH","ImpliedVol")</f>
        <v>0.23860000000000001</v>
      </c>
      <c r="H34" s="10">
        <f>RTD("wdf.rtq",,"10004219.SH","rt_iv_change","RT_Price")</f>
        <v>5.8000000000000005E-3</v>
      </c>
      <c r="I34" s="10">
        <v>2.4500000000000002</v>
      </c>
      <c r="J34" s="9" t="s">
        <v>71</v>
      </c>
      <c r="K34" s="10">
        <f>RTD("wdf.rtq",,"10004220.SH","LastPrice")</f>
        <v>5.5000000000000005E-3</v>
      </c>
      <c r="L34" s="10">
        <f>RTD("wdf.rtq",,"10004220.SH","Change")</f>
        <v>-2.0000000000000001E-4</v>
      </c>
      <c r="M34" s="10">
        <f>RTD("wdf.rtq",,"10004220.SH","PctChg")</f>
        <v>-3.51</v>
      </c>
      <c r="N34" s="10">
        <f>RTD("wdf.rtq",,"10004220.SH","Volume")</f>
        <v>8513</v>
      </c>
      <c r="O34" s="10">
        <f>RTD("wdf.rtq",,"10004220.SH", "rt_oi","RT_Price")</f>
        <v>21162</v>
      </c>
      <c r="P34" s="10">
        <f>RTD("wdf.rtq",,"10004220.SH","ImpliedVol")</f>
        <v>0.22990000000000002</v>
      </c>
      <c r="Q34" s="10">
        <f>RTD("wdf.rtq",,"10004220.SH","rt_iv_change","RT_Price")</f>
        <v>-1.0700000000000001E-2</v>
      </c>
    </row>
    <row r="35" spans="1:17" s="4" customFormat="1" x14ac:dyDescent="0.3">
      <c r="A35" s="9" t="s">
        <v>72</v>
      </c>
      <c r="B35" s="10">
        <f>RTD("wdf.rtq",,"10004141.SH","LastPrice")</f>
        <v>0.39350000000000002</v>
      </c>
      <c r="C35" s="10">
        <f>RTD("wdf.rtq",,"10004141.SH","Change")</f>
        <v>-1.15E-2</v>
      </c>
      <c r="D35" s="10">
        <f>RTD("wdf.rtq",,"10004141.SH","PctChg")</f>
        <v>-2.8400000000000003</v>
      </c>
      <c r="E35" s="10">
        <f>RTD("wdf.rtq",,"10004141.SH","Volume")</f>
        <v>197</v>
      </c>
      <c r="F35" s="10">
        <f>RTD("wdf.rtq",,"10004141.SH", "rt_oi","RT_Price")</f>
        <v>5386</v>
      </c>
      <c r="G35" s="10">
        <f>RTD("wdf.rtq",,"10004141.SH","ImpliedVol")</f>
        <v>0.20040000000000002</v>
      </c>
      <c r="H35" s="10">
        <f>RTD("wdf.rtq",,"10004141.SH","rt_iv_change","RT_Price")</f>
        <v>-0.1188</v>
      </c>
      <c r="I35" s="10">
        <v>2.5</v>
      </c>
      <c r="J35" s="9" t="s">
        <v>73</v>
      </c>
      <c r="K35" s="10">
        <f>RTD("wdf.rtq",,"10004144.SH","LastPrice")</f>
        <v>7.1000000000000004E-3</v>
      </c>
      <c r="L35" s="10">
        <f>RTD("wdf.rtq",,"10004144.SH","Change")</f>
        <v>-5.0000000000000001E-4</v>
      </c>
      <c r="M35" s="10">
        <f>RTD("wdf.rtq",,"10004144.SH","PctChg")</f>
        <v>-6.58</v>
      </c>
      <c r="N35" s="10">
        <f>RTD("wdf.rtq",,"10004144.SH","Volume")</f>
        <v>14292</v>
      </c>
      <c r="O35" s="10">
        <f>RTD("wdf.rtq",,"10004144.SH", "rt_oi","RT_Price")</f>
        <v>34690</v>
      </c>
      <c r="P35" s="10">
        <f>RTD("wdf.rtq",,"10004144.SH","ImpliedVol")</f>
        <v>0.2185</v>
      </c>
      <c r="Q35" s="10">
        <f>RTD("wdf.rtq",,"10004144.SH","rt_iv_change","RT_Price")</f>
        <v>-2.1299999999999999E-2</v>
      </c>
    </row>
    <row r="36" spans="1:17" s="4" customFormat="1" x14ac:dyDescent="0.3">
      <c r="A36" s="9" t="s">
        <v>74</v>
      </c>
      <c r="B36" s="10">
        <f>RTD("wdf.rtq",,"10004142.SH","LastPrice")</f>
        <v>0.35320000000000001</v>
      </c>
      <c r="C36" s="10">
        <f>RTD("wdf.rtq",,"10004142.SH","Change")</f>
        <v>-8.2000000000000007E-3</v>
      </c>
      <c r="D36" s="10">
        <f>RTD("wdf.rtq",,"10004142.SH","PctChg")</f>
        <v>-2.27</v>
      </c>
      <c r="E36" s="10">
        <f>RTD("wdf.rtq",,"10004142.SH","Volume")</f>
        <v>150</v>
      </c>
      <c r="F36" s="10">
        <f>RTD("wdf.rtq",,"10004142.SH", "rt_oi","RT_Price")</f>
        <v>405</v>
      </c>
      <c r="G36" s="10">
        <f>RTD("wdf.rtq",,"10004142.SH","ImpliedVol")</f>
        <v>0.22</v>
      </c>
      <c r="H36" s="10">
        <f>RTD("wdf.rtq",,"10004142.SH","rt_iv_change","RT_Price")</f>
        <v>3.1300000000000001E-2</v>
      </c>
      <c r="I36" s="10">
        <v>2.5499999999999998</v>
      </c>
      <c r="J36" s="9" t="s">
        <v>75</v>
      </c>
      <c r="K36" s="10">
        <f>RTD("wdf.rtq",,"10004145.SH","LastPrice")</f>
        <v>1.0700000000000001E-2</v>
      </c>
      <c r="L36" s="10">
        <f>RTD("wdf.rtq",,"10004145.SH","Change")</f>
        <v>-5.0000000000000001E-4</v>
      </c>
      <c r="M36" s="10">
        <f>RTD("wdf.rtq",,"10004145.SH","PctChg")</f>
        <v>-4.46</v>
      </c>
      <c r="N36" s="10">
        <f>RTD("wdf.rtq",,"10004145.SH","Volume")</f>
        <v>33135</v>
      </c>
      <c r="O36" s="10">
        <f>RTD("wdf.rtq",,"10004145.SH", "rt_oi","RT_Price")</f>
        <v>27338</v>
      </c>
      <c r="P36" s="10">
        <f>RTD("wdf.rtq",,"10004145.SH","ImpliedVol")</f>
        <v>0.21510000000000001</v>
      </c>
      <c r="Q36" s="10">
        <f>RTD("wdf.rtq",,"10004145.SH","rt_iv_change","RT_Price")</f>
        <v>-1.8500000000000003E-2</v>
      </c>
    </row>
    <row r="37" spans="1:17" s="4" customFormat="1" x14ac:dyDescent="0.3">
      <c r="A37" s="9" t="s">
        <v>76</v>
      </c>
      <c r="B37" s="10">
        <f>RTD("wdf.rtq",,"10004143.SH","LastPrice")</f>
        <v>0.30560000000000004</v>
      </c>
      <c r="C37" s="10">
        <f>RTD("wdf.rtq",,"10004143.SH","Change")</f>
        <v>-1.0700000000000001E-2</v>
      </c>
      <c r="D37" s="10">
        <f>RTD("wdf.rtq",,"10004143.SH","PctChg")</f>
        <v>-3.3800000000000003</v>
      </c>
      <c r="E37" s="10">
        <f>RTD("wdf.rtq",,"10004143.SH","Volume")</f>
        <v>92</v>
      </c>
      <c r="F37" s="10">
        <f>RTD("wdf.rtq",,"10004143.SH", "rt_oi","RT_Price")</f>
        <v>3347</v>
      </c>
      <c r="G37" s="10">
        <f>RTD("wdf.rtq",,"10004143.SH","ImpliedVol")</f>
        <v>0.2107</v>
      </c>
      <c r="H37" s="10">
        <f>RTD("wdf.rtq",,"10004143.SH","rt_iv_change","RT_Price")</f>
        <v>-2.7E-2</v>
      </c>
      <c r="I37" s="10">
        <v>2.6</v>
      </c>
      <c r="J37" s="9" t="s">
        <v>77</v>
      </c>
      <c r="K37" s="10">
        <f>RTD("wdf.rtq",,"10004146.SH","LastPrice")</f>
        <v>1.6E-2</v>
      </c>
      <c r="L37" s="10">
        <f>RTD("wdf.rtq",,"10004146.SH","Change")</f>
        <v>4.0000000000000002E-4</v>
      </c>
      <c r="M37" s="10">
        <f>RTD("wdf.rtq",,"10004146.SH","PctChg")</f>
        <v>2.56</v>
      </c>
      <c r="N37" s="10">
        <f>RTD("wdf.rtq",,"10004146.SH","Volume")</f>
        <v>23809</v>
      </c>
      <c r="O37" s="10">
        <f>RTD("wdf.rtq",,"10004146.SH", "rt_oi","RT_Price")</f>
        <v>14230</v>
      </c>
      <c r="P37" s="10">
        <f>RTD("wdf.rtq",,"10004146.SH","ImpliedVol")</f>
        <v>0.21190000000000001</v>
      </c>
      <c r="Q37" s="10">
        <f>RTD("wdf.rtq",,"10004146.SH","rt_iv_change","RT_Price")</f>
        <v>-6.2000000000000006E-3</v>
      </c>
    </row>
    <row r="38" spans="1:17" s="4" customFormat="1" x14ac:dyDescent="0.3">
      <c r="A38" s="9" t="s">
        <v>78</v>
      </c>
      <c r="B38" s="10">
        <f>RTD("wdf.rtq",,"10004121.SH","LastPrice")</f>
        <v>0.26150000000000001</v>
      </c>
      <c r="C38" s="10">
        <f>RTD("wdf.rtq",,"10004121.SH","Change")</f>
        <v>-1.12E-2</v>
      </c>
      <c r="D38" s="10">
        <f>RTD("wdf.rtq",,"10004121.SH","PctChg")</f>
        <v>-4.1100000000000003</v>
      </c>
      <c r="E38" s="10">
        <f>RTD("wdf.rtq",,"10004121.SH","Volume")</f>
        <v>49</v>
      </c>
      <c r="F38" s="10">
        <f>RTD("wdf.rtq",,"10004121.SH", "rt_oi","RT_Price")</f>
        <v>1015</v>
      </c>
      <c r="G38" s="10">
        <f>RTD("wdf.rtq",,"10004121.SH","ImpliedVol")</f>
        <v>0.20770000000000002</v>
      </c>
      <c r="H38" s="10">
        <f>RTD("wdf.rtq",,"10004121.SH","rt_iv_change","RT_Price")</f>
        <v>-2.7100000000000003E-2</v>
      </c>
      <c r="I38" s="10">
        <v>2.65</v>
      </c>
      <c r="J38" s="9" t="s">
        <v>79</v>
      </c>
      <c r="K38" s="10">
        <f>RTD("wdf.rtq",,"10004122.SH","LastPrice")</f>
        <v>2.2800000000000001E-2</v>
      </c>
      <c r="L38" s="10">
        <f>RTD("wdf.rtq",,"10004122.SH","Change")</f>
        <v>9.0000000000000008E-4</v>
      </c>
      <c r="M38" s="10">
        <f>RTD("wdf.rtq",,"10004122.SH","PctChg")</f>
        <v>4.1100000000000003</v>
      </c>
      <c r="N38" s="10">
        <f>RTD("wdf.rtq",,"10004122.SH","Volume")</f>
        <v>4837</v>
      </c>
      <c r="O38" s="10">
        <f>RTD("wdf.rtq",,"10004122.SH", "rt_oi","RT_Price")</f>
        <v>8356</v>
      </c>
      <c r="P38" s="10">
        <f>RTD("wdf.rtq",,"10004122.SH","ImpliedVol")</f>
        <v>0.20810000000000001</v>
      </c>
      <c r="Q38" s="10">
        <f>RTD("wdf.rtq",,"10004122.SH","rt_iv_change","RT_Price")</f>
        <v>-4.0000000000000001E-3</v>
      </c>
    </row>
    <row r="39" spans="1:17" s="4" customFormat="1" x14ac:dyDescent="0.3">
      <c r="A39" s="9" t="s">
        <v>80</v>
      </c>
      <c r="B39" s="10">
        <f>RTD("wdf.rtq",,"10004105.SH","LastPrice")</f>
        <v>0.22</v>
      </c>
      <c r="C39" s="10">
        <f>RTD("wdf.rtq",,"10004105.SH","Change")</f>
        <v>-1.17E-2</v>
      </c>
      <c r="D39" s="10">
        <f>RTD("wdf.rtq",,"10004105.SH","PctChg")</f>
        <v>-5.0500000000000007</v>
      </c>
      <c r="E39" s="10">
        <f>RTD("wdf.rtq",,"10004105.SH","Volume")</f>
        <v>176</v>
      </c>
      <c r="F39" s="10">
        <f>RTD("wdf.rtq",,"10004105.SH", "rt_oi","RT_Price")</f>
        <v>2441</v>
      </c>
      <c r="G39" s="10">
        <f>RTD("wdf.rtq",,"10004105.SH","ImpliedVol")</f>
        <v>0.2054</v>
      </c>
      <c r="H39" s="10">
        <f>RTD("wdf.rtq",,"10004105.SH","rt_iv_change","RT_Price")</f>
        <v>-1.17E-2</v>
      </c>
      <c r="I39" s="10">
        <v>2.7</v>
      </c>
      <c r="J39" s="9" t="s">
        <v>81</v>
      </c>
      <c r="K39" s="10">
        <f>RTD("wdf.rtq",,"10004106.SH","LastPrice")</f>
        <v>3.1900000000000005E-2</v>
      </c>
      <c r="L39" s="10">
        <f>RTD("wdf.rtq",,"10004106.SH","Change")</f>
        <v>1.1000000000000001E-3</v>
      </c>
      <c r="M39" s="10">
        <f>RTD("wdf.rtq",,"10004106.SH","PctChg")</f>
        <v>3.5700000000000003</v>
      </c>
      <c r="N39" s="10">
        <f>RTD("wdf.rtq",,"10004106.SH","Volume")</f>
        <v>6620</v>
      </c>
      <c r="O39" s="10">
        <f>RTD("wdf.rtq",,"10004106.SH", "rt_oi","RT_Price")</f>
        <v>19392</v>
      </c>
      <c r="P39" s="10">
        <f>RTD("wdf.rtq",,"10004106.SH","ImpliedVol")</f>
        <v>0.20420000000000002</v>
      </c>
      <c r="Q39" s="10">
        <f>RTD("wdf.rtq",,"10004106.SH","rt_iv_change","RT_Price")</f>
        <v>-3.3E-3</v>
      </c>
    </row>
    <row r="40" spans="1:17" s="4" customFormat="1" x14ac:dyDescent="0.3">
      <c r="A40" s="9" t="s">
        <v>82</v>
      </c>
      <c r="B40" s="10">
        <f>RTD("wdf.rtq",,"10004081.SH","LastPrice")</f>
        <v>0.1847</v>
      </c>
      <c r="C40" s="10">
        <f>RTD("wdf.rtq",,"10004081.SH","Change")</f>
        <v>-7.8000000000000005E-3</v>
      </c>
      <c r="D40" s="10">
        <f>RTD("wdf.rtq",,"10004081.SH","PctChg")</f>
        <v>-4.05</v>
      </c>
      <c r="E40" s="10">
        <f>RTD("wdf.rtq",,"10004081.SH","Volume")</f>
        <v>353</v>
      </c>
      <c r="F40" s="10">
        <f>RTD("wdf.rtq",,"10004081.SH", "rt_oi","RT_Price")</f>
        <v>5622</v>
      </c>
      <c r="G40" s="10">
        <f>RTD("wdf.rtq",,"10004081.SH","ImpliedVol")</f>
        <v>0.2026</v>
      </c>
      <c r="H40" s="10">
        <f>RTD("wdf.rtq",,"10004081.SH","rt_iv_change","RT_Price")</f>
        <v>5.5999999999999999E-3</v>
      </c>
      <c r="I40" s="10">
        <v>2.75</v>
      </c>
      <c r="J40" s="9" t="s">
        <v>83</v>
      </c>
      <c r="K40" s="10">
        <f>RTD("wdf.rtq",,"10004082.SH","LastPrice")</f>
        <v>4.4000000000000004E-2</v>
      </c>
      <c r="L40" s="10">
        <f>RTD("wdf.rtq",,"10004082.SH","Change")</f>
        <v>1.7000000000000001E-3</v>
      </c>
      <c r="M40" s="10">
        <f>RTD("wdf.rtq",,"10004082.SH","PctChg")</f>
        <v>4.0199999999999996</v>
      </c>
      <c r="N40" s="10">
        <f>RTD("wdf.rtq",,"10004082.SH","Volume")</f>
        <v>8246</v>
      </c>
      <c r="O40" s="10">
        <f>RTD("wdf.rtq",,"10004082.SH", "rt_oi","RT_Price")</f>
        <v>13412</v>
      </c>
      <c r="P40" s="10">
        <f>RTD("wdf.rtq",,"10004082.SH","ImpliedVol")</f>
        <v>0.20080000000000001</v>
      </c>
      <c r="Q40" s="10">
        <f>RTD("wdf.rtq",,"10004082.SH","rt_iv_change","RT_Price")</f>
        <v>-5.2000000000000006E-3</v>
      </c>
    </row>
    <row r="41" spans="1:17" s="4" customFormat="1" x14ac:dyDescent="0.3">
      <c r="A41" s="9" t="s">
        <v>84</v>
      </c>
      <c r="B41" s="10">
        <f>RTD("wdf.rtq",,"10004025.SH","LastPrice")</f>
        <v>0.14930000000000002</v>
      </c>
      <c r="C41" s="10">
        <f>RTD("wdf.rtq",,"10004025.SH","Change")</f>
        <v>-7.2000000000000007E-3</v>
      </c>
      <c r="D41" s="10">
        <f>RTD("wdf.rtq",,"10004025.SH","PctChg")</f>
        <v>-4.5999999999999996</v>
      </c>
      <c r="E41" s="10">
        <f>RTD("wdf.rtq",,"10004025.SH","Volume")</f>
        <v>1379</v>
      </c>
      <c r="F41" s="10">
        <f>RTD("wdf.rtq",,"10004025.SH", "rt_oi","RT_Price")</f>
        <v>4751</v>
      </c>
      <c r="G41" s="10">
        <f>RTD("wdf.rtq",,"10004025.SH","ImpliedVol")</f>
        <v>0.19820000000000002</v>
      </c>
      <c r="H41" s="10">
        <f>RTD("wdf.rtq",,"10004025.SH","rt_iv_change","RT_Price")</f>
        <v>-1.6000000000000001E-3</v>
      </c>
      <c r="I41" s="10">
        <v>2.8</v>
      </c>
      <c r="J41" s="9" t="s">
        <v>85</v>
      </c>
      <c r="K41" s="10">
        <f>RTD("wdf.rtq",,"10004026.SH","LastPrice")</f>
        <v>6.0200000000000004E-2</v>
      </c>
      <c r="L41" s="10">
        <f>RTD("wdf.rtq",,"10004026.SH","Change")</f>
        <v>2.9000000000000002E-3</v>
      </c>
      <c r="M41" s="10">
        <f>RTD("wdf.rtq",,"10004026.SH","PctChg")</f>
        <v>5.0599999999999996</v>
      </c>
      <c r="N41" s="10">
        <f>RTD("wdf.rtq",,"10004026.SH","Volume")</f>
        <v>12475</v>
      </c>
      <c r="O41" s="10">
        <f>RTD("wdf.rtq",,"10004026.SH", "rt_oi","RT_Price")</f>
        <v>16517</v>
      </c>
      <c r="P41" s="10">
        <f>RTD("wdf.rtq",,"10004026.SH","ImpliedVol")</f>
        <v>0.20020000000000002</v>
      </c>
      <c r="Q41" s="10">
        <f>RTD("wdf.rtq",,"10004026.SH","rt_iv_change","RT_Price")</f>
        <v>6.3E-3</v>
      </c>
    </row>
    <row r="42" spans="1:17" s="4" customFormat="1" x14ac:dyDescent="0.3">
      <c r="A42" s="9" t="s">
        <v>86</v>
      </c>
      <c r="B42" s="10">
        <f>RTD("wdf.rtq",,"10003975.SH","LastPrice")</f>
        <v>0.11860000000000001</v>
      </c>
      <c r="C42" s="10">
        <f>RTD("wdf.rtq",,"10003975.SH","Change")</f>
        <v>-7.9000000000000008E-3</v>
      </c>
      <c r="D42" s="10">
        <f>RTD("wdf.rtq",,"10003975.SH","PctChg")</f>
        <v>-6.25</v>
      </c>
      <c r="E42" s="10">
        <f>RTD("wdf.rtq",,"10003975.SH","Volume")</f>
        <v>4485</v>
      </c>
      <c r="F42" s="10">
        <f>RTD("wdf.rtq",,"10003975.SH", "rt_oi","RT_Price")</f>
        <v>9107</v>
      </c>
      <c r="G42" s="10">
        <f>RTD("wdf.rtq",,"10003975.SH","ImpliedVol")</f>
        <v>0.19550000000000001</v>
      </c>
      <c r="H42" s="10">
        <f>RTD("wdf.rtq",,"10003975.SH","rt_iv_change","RT_Price")</f>
        <v>-5.3E-3</v>
      </c>
      <c r="I42" s="10">
        <v>2.85</v>
      </c>
      <c r="J42" s="9" t="s">
        <v>87</v>
      </c>
      <c r="K42" s="10">
        <f>RTD("wdf.rtq",,"10003984.SH","LastPrice")</f>
        <v>7.9100000000000004E-2</v>
      </c>
      <c r="L42" s="10">
        <f>RTD("wdf.rtq",,"10003984.SH","Change")</f>
        <v>3.5000000000000001E-3</v>
      </c>
      <c r="M42" s="10">
        <f>RTD("wdf.rtq",,"10003984.SH","PctChg")</f>
        <v>4.63</v>
      </c>
      <c r="N42" s="10">
        <f>RTD("wdf.rtq",,"10003984.SH","Volume")</f>
        <v>16883</v>
      </c>
      <c r="O42" s="10">
        <f>RTD("wdf.rtq",,"10003984.SH", "rt_oi","RT_Price")</f>
        <v>14353</v>
      </c>
      <c r="P42" s="10">
        <f>RTD("wdf.rtq",,"10003984.SH","ImpliedVol")</f>
        <v>0.19570000000000001</v>
      </c>
      <c r="Q42" s="10">
        <f>RTD("wdf.rtq",,"10003984.SH","rt_iv_change","RT_Price")</f>
        <v>-1.5E-3</v>
      </c>
    </row>
    <row r="43" spans="1:17" s="4" customFormat="1" x14ac:dyDescent="0.3">
      <c r="A43" s="9" t="s">
        <v>88</v>
      </c>
      <c r="B43" s="10">
        <f>RTD("wdf.rtq",,"10003976.SH","LastPrice")</f>
        <v>9.2100000000000001E-2</v>
      </c>
      <c r="C43" s="10">
        <f>RTD("wdf.rtq",,"10003976.SH","Change")</f>
        <v>-6.8000000000000005E-3</v>
      </c>
      <c r="D43" s="10">
        <f>RTD("wdf.rtq",,"10003976.SH","PctChg")</f>
        <v>-6.88</v>
      </c>
      <c r="E43" s="10">
        <f>RTD("wdf.rtq",,"10003976.SH","Volume")</f>
        <v>17003</v>
      </c>
      <c r="F43" s="10">
        <f>RTD("wdf.rtq",,"10003976.SH", "rt_oi","RT_Price")</f>
        <v>14752</v>
      </c>
      <c r="G43" s="10">
        <f>RTD("wdf.rtq",,"10003976.SH","ImpliedVol")</f>
        <v>0.19320000000000001</v>
      </c>
      <c r="H43" s="10">
        <f>RTD("wdf.rtq",,"10003976.SH","rt_iv_change","RT_Price")</f>
        <v>-2.2000000000000001E-3</v>
      </c>
      <c r="I43" s="10">
        <v>2.9</v>
      </c>
      <c r="J43" s="9" t="s">
        <v>89</v>
      </c>
      <c r="K43" s="10">
        <f>RTD("wdf.rtq",,"10003985.SH","LastPrice")</f>
        <v>0.1019</v>
      </c>
      <c r="L43" s="10">
        <f>RTD("wdf.rtq",,"10003985.SH","Change")</f>
        <v>4.1000000000000003E-3</v>
      </c>
      <c r="M43" s="10">
        <f>RTD("wdf.rtq",,"10003985.SH","PctChg")</f>
        <v>4.1900000000000004</v>
      </c>
      <c r="N43" s="10">
        <f>RTD("wdf.rtq",,"10003985.SH","Volume")</f>
        <v>15983</v>
      </c>
      <c r="O43" s="10">
        <f>RTD("wdf.rtq",,"10003985.SH", "rt_oi","RT_Price")</f>
        <v>14168</v>
      </c>
      <c r="P43" s="10">
        <f>RTD("wdf.rtq",,"10003985.SH","ImpliedVol")</f>
        <v>0.1933</v>
      </c>
      <c r="Q43" s="10">
        <f>RTD("wdf.rtq",,"10003985.SH","rt_iv_change","RT_Price")</f>
        <v>-1.3000000000000002E-3</v>
      </c>
    </row>
    <row r="44" spans="1:17" s="4" customFormat="1" x14ac:dyDescent="0.3">
      <c r="A44" s="9" t="s">
        <v>90</v>
      </c>
      <c r="B44" s="10">
        <f>RTD("wdf.rtq",,"10003977.SH","LastPrice")</f>
        <v>7.0000000000000007E-2</v>
      </c>
      <c r="C44" s="10">
        <f>RTD("wdf.rtq",,"10003977.SH","Change")</f>
        <v>-6.2000000000000006E-3</v>
      </c>
      <c r="D44" s="10">
        <f>RTD("wdf.rtq",,"10003977.SH","PctChg")</f>
        <v>-8.14</v>
      </c>
      <c r="E44" s="10">
        <f>RTD("wdf.rtq",,"10003977.SH","Volume")</f>
        <v>10811</v>
      </c>
      <c r="F44" s="10">
        <f>RTD("wdf.rtq",,"10003977.SH", "rt_oi","RT_Price")</f>
        <v>14478</v>
      </c>
      <c r="G44" s="10">
        <f>RTD("wdf.rtq",,"10003977.SH","ImpliedVol")</f>
        <v>0.19140000000000001</v>
      </c>
      <c r="H44" s="10">
        <f>RTD("wdf.rtq",,"10003977.SH","rt_iv_change","RT_Price")</f>
        <v>-6.1000000000000004E-3</v>
      </c>
      <c r="I44" s="10">
        <v>2.95</v>
      </c>
      <c r="J44" s="9" t="s">
        <v>91</v>
      </c>
      <c r="K44" s="10">
        <f>RTD("wdf.rtq",,"10003986.SH","LastPrice")</f>
        <v>0.13059999999999999</v>
      </c>
      <c r="L44" s="10">
        <f>RTD("wdf.rtq",,"10003986.SH","Change")</f>
        <v>5.4000000000000003E-3</v>
      </c>
      <c r="M44" s="10">
        <f>RTD("wdf.rtq",,"10003986.SH","PctChg")</f>
        <v>4.3099999999999996</v>
      </c>
      <c r="N44" s="10">
        <f>RTD("wdf.rtq",,"10003986.SH","Volume")</f>
        <v>11603</v>
      </c>
      <c r="O44" s="10">
        <f>RTD("wdf.rtq",,"10003986.SH", "rt_oi","RT_Price")</f>
        <v>11268</v>
      </c>
      <c r="P44" s="10">
        <f>RTD("wdf.rtq",,"10003986.SH","ImpliedVol")</f>
        <v>0.19240000000000002</v>
      </c>
      <c r="Q44" s="10">
        <f>RTD("wdf.rtq",,"10003986.SH","rt_iv_change","RT_Price")</f>
        <v>4.0000000000000002E-4</v>
      </c>
    </row>
    <row r="45" spans="1:17" s="4" customFormat="1" x14ac:dyDescent="0.3">
      <c r="A45" s="9" t="s">
        <v>92</v>
      </c>
      <c r="B45" s="10">
        <f>RTD("wdf.rtq",,"10003978.SH","LastPrice")</f>
        <v>5.2200000000000003E-2</v>
      </c>
      <c r="C45" s="10">
        <f>RTD("wdf.rtq",,"10003978.SH","Change")</f>
        <v>-5.2000000000000006E-3</v>
      </c>
      <c r="D45" s="10">
        <f>RTD("wdf.rtq",,"10003978.SH","PctChg")</f>
        <v>-9.06</v>
      </c>
      <c r="E45" s="10">
        <f>RTD("wdf.rtq",,"10003978.SH","Volume")</f>
        <v>11322</v>
      </c>
      <c r="F45" s="10">
        <f>RTD("wdf.rtq",,"10003978.SH", "rt_oi","RT_Price")</f>
        <v>22228</v>
      </c>
      <c r="G45" s="10">
        <f>RTD("wdf.rtq",,"10003978.SH","ImpliedVol")</f>
        <v>0.19070000000000001</v>
      </c>
      <c r="H45" s="10">
        <f>RTD("wdf.rtq",,"10003978.SH","rt_iv_change","RT_Price")</f>
        <v>-3.9000000000000003E-3</v>
      </c>
      <c r="I45" s="10">
        <v>3</v>
      </c>
      <c r="J45" s="9" t="s">
        <v>93</v>
      </c>
      <c r="K45" s="10">
        <f>RTD("wdf.rtq",,"10003987.SH","LastPrice")</f>
        <v>0.1618</v>
      </c>
      <c r="L45" s="10">
        <f>RTD("wdf.rtq",,"10003987.SH","Change")</f>
        <v>5.3E-3</v>
      </c>
      <c r="M45" s="10">
        <f>RTD("wdf.rtq",,"10003987.SH","PctChg")</f>
        <v>3.39</v>
      </c>
      <c r="N45" s="10">
        <f>RTD("wdf.rtq",,"10003987.SH","Volume")</f>
        <v>4021</v>
      </c>
      <c r="O45" s="10">
        <f>RTD("wdf.rtq",,"10003987.SH", "rt_oi","RT_Price")</f>
        <v>8854</v>
      </c>
      <c r="P45" s="10">
        <f>RTD("wdf.rtq",,"10003987.SH","ImpliedVol")</f>
        <v>0.18990000000000001</v>
      </c>
      <c r="Q45" s="10">
        <f>RTD("wdf.rtq",,"10003987.SH","rt_iv_change","RT_Price")</f>
        <v>-8.5000000000000006E-3</v>
      </c>
    </row>
    <row r="46" spans="1:17" s="4" customFormat="1" x14ac:dyDescent="0.3">
      <c r="A46" s="9" t="s">
        <v>94</v>
      </c>
      <c r="B46" s="10">
        <f>RTD("wdf.rtq",,"10003979.SH","LastPrice")</f>
        <v>2.7700000000000002E-2</v>
      </c>
      <c r="C46" s="10">
        <f>RTD("wdf.rtq",,"10003979.SH","Change")</f>
        <v>-3.4000000000000002E-3</v>
      </c>
      <c r="D46" s="10">
        <f>RTD("wdf.rtq",,"10003979.SH","PctChg")</f>
        <v>-10.930000000000001</v>
      </c>
      <c r="E46" s="10">
        <f>RTD("wdf.rtq",,"10003979.SH","Volume")</f>
        <v>11945</v>
      </c>
      <c r="F46" s="10">
        <f>RTD("wdf.rtq",,"10003979.SH", "rt_oi","RT_Price")</f>
        <v>28607</v>
      </c>
      <c r="G46" s="10">
        <f>RTD("wdf.rtq",,"10003979.SH","ImpliedVol")</f>
        <v>0.19070000000000001</v>
      </c>
      <c r="H46" s="10">
        <f>RTD("wdf.rtq",,"10003979.SH","rt_iv_change","RT_Price")</f>
        <v>-4.5000000000000005E-3</v>
      </c>
      <c r="I46" s="10">
        <v>3.1</v>
      </c>
      <c r="J46" s="9" t="s">
        <v>95</v>
      </c>
      <c r="K46" s="10">
        <f>RTD("wdf.rtq",,"10003988.SH","LastPrice")</f>
        <v>0.23630000000000001</v>
      </c>
      <c r="L46" s="10">
        <f>RTD("wdf.rtq",,"10003988.SH","Change")</f>
        <v>7.0000000000000001E-3</v>
      </c>
      <c r="M46" s="10">
        <f>RTD("wdf.rtq",,"10003988.SH","PctChg")</f>
        <v>3.0500000000000003</v>
      </c>
      <c r="N46" s="10">
        <f>RTD("wdf.rtq",,"10003988.SH","Volume")</f>
        <v>1325</v>
      </c>
      <c r="O46" s="10">
        <f>RTD("wdf.rtq",,"10003988.SH", "rt_oi","RT_Price")</f>
        <v>6752</v>
      </c>
      <c r="P46" s="10">
        <f>RTD("wdf.rtq",,"10003988.SH","ImpliedVol")</f>
        <v>0.19010000000000002</v>
      </c>
      <c r="Q46" s="10">
        <f>RTD("wdf.rtq",,"10003988.SH","rt_iv_change","RT_Price")</f>
        <v>-7.3000000000000001E-3</v>
      </c>
    </row>
    <row r="47" spans="1:17" s="4" customFormat="1" x14ac:dyDescent="0.3">
      <c r="A47" s="9" t="s">
        <v>96</v>
      </c>
      <c r="B47" s="10">
        <f>RTD("wdf.rtq",,"10003980.SH","LastPrice")</f>
        <v>1.49E-2</v>
      </c>
      <c r="C47" s="10">
        <f>RTD("wdf.rtq",,"10003980.SH","Change")</f>
        <v>-2.5000000000000001E-3</v>
      </c>
      <c r="D47" s="10">
        <f>RTD("wdf.rtq",,"10003980.SH","PctChg")</f>
        <v>-14.37</v>
      </c>
      <c r="E47" s="10">
        <f>RTD("wdf.rtq",,"10003980.SH","Volume")</f>
        <v>21117</v>
      </c>
      <c r="F47" s="10">
        <f>RTD("wdf.rtq",,"10003980.SH", "rt_oi","RT_Price")</f>
        <v>30489</v>
      </c>
      <c r="G47" s="10">
        <f>RTD("wdf.rtq",,"10003980.SH","ImpliedVol")</f>
        <v>0.19650000000000001</v>
      </c>
      <c r="H47" s="10">
        <f>RTD("wdf.rtq",,"10003980.SH","rt_iv_change","RT_Price")</f>
        <v>-5.1000000000000004E-3</v>
      </c>
      <c r="I47" s="10">
        <v>3.2</v>
      </c>
      <c r="J47" s="9" t="s">
        <v>97</v>
      </c>
      <c r="K47" s="10">
        <f>RTD("wdf.rtq",,"10003989.SH","LastPrice")</f>
        <v>0.32419999999999999</v>
      </c>
      <c r="L47" s="10">
        <f>RTD("wdf.rtq",,"10003989.SH","Change")</f>
        <v>6.7000000000000002E-3</v>
      </c>
      <c r="M47" s="10">
        <f>RTD("wdf.rtq",,"10003989.SH","PctChg")</f>
        <v>2.11</v>
      </c>
      <c r="N47" s="10">
        <f>RTD("wdf.rtq",,"10003989.SH","Volume")</f>
        <v>101</v>
      </c>
      <c r="O47" s="10">
        <f>RTD("wdf.rtq",,"10003989.SH", "rt_oi","RT_Price")</f>
        <v>5842</v>
      </c>
      <c r="P47" s="10">
        <f>RTD("wdf.rtq",,"10003989.SH","ImpliedVol")</f>
        <v>0.19800000000000001</v>
      </c>
      <c r="Q47" s="10">
        <f>RTD("wdf.rtq",,"10003989.SH","rt_iv_change","RT_Price")</f>
        <v>2.98E-2</v>
      </c>
    </row>
    <row r="48" spans="1:17" s="4" customFormat="1" x14ac:dyDescent="0.3">
      <c r="A48" s="9" t="s">
        <v>98</v>
      </c>
      <c r="B48" s="10">
        <f>RTD("wdf.rtq",,"10003981.SH","LastPrice")</f>
        <v>7.7000000000000002E-3</v>
      </c>
      <c r="C48" s="10">
        <f>RTD("wdf.rtq",,"10003981.SH","Change")</f>
        <v>-1.7000000000000001E-3</v>
      </c>
      <c r="D48" s="10">
        <f>RTD("wdf.rtq",,"10003981.SH","PctChg")</f>
        <v>-18.09</v>
      </c>
      <c r="E48" s="10">
        <f>RTD("wdf.rtq",,"10003981.SH","Volume")</f>
        <v>27625</v>
      </c>
      <c r="F48" s="10">
        <f>RTD("wdf.rtq",,"10003981.SH", "rt_oi","RT_Price")</f>
        <v>35253</v>
      </c>
      <c r="G48" s="10">
        <f>RTD("wdf.rtq",,"10003981.SH","ImpliedVol")</f>
        <v>0.20090000000000002</v>
      </c>
      <c r="H48" s="10">
        <f>RTD("wdf.rtq",,"10003981.SH","rt_iv_change","RT_Price")</f>
        <v>-1.2100000000000001E-2</v>
      </c>
      <c r="I48" s="10">
        <v>3.3</v>
      </c>
      <c r="J48" s="9" t="s">
        <v>99</v>
      </c>
      <c r="K48" s="10">
        <f>RTD("wdf.rtq",,"10003990.SH","LastPrice")</f>
        <v>0.41839999999999999</v>
      </c>
      <c r="L48" s="10">
        <f>RTD("wdf.rtq",,"10003990.SH","Change")</f>
        <v>5.4000000000000003E-3</v>
      </c>
      <c r="M48" s="10">
        <f>RTD("wdf.rtq",,"10003990.SH","PctChg")</f>
        <v>1.31</v>
      </c>
      <c r="N48" s="10">
        <f>RTD("wdf.rtq",,"10003990.SH","Volume")</f>
        <v>82</v>
      </c>
      <c r="O48" s="10">
        <f>RTD("wdf.rtq",,"10003990.SH", "rt_oi","RT_Price")</f>
        <v>4272</v>
      </c>
      <c r="P48" s="10">
        <f>RTD("wdf.rtq",,"10003990.SH","ImpliedVol")</f>
        <v>0.20430000000000001</v>
      </c>
      <c r="Q48" s="10">
        <f>RTD("wdf.rtq",,"10003990.SH","rt_iv_change","RT_Price")</f>
        <v>1.0500000000000001E-2</v>
      </c>
    </row>
    <row r="49" spans="1:17" s="4" customFormat="1" x14ac:dyDescent="0.3">
      <c r="A49" s="9" t="s">
        <v>100</v>
      </c>
      <c r="B49" s="10">
        <f>RTD("wdf.rtq",,"10003982.SH","LastPrice")</f>
        <v>4.8999999999999998E-3</v>
      </c>
      <c r="C49" s="10">
        <f>RTD("wdf.rtq",,"10003982.SH","Change")</f>
        <v>-9.0000000000000008E-4</v>
      </c>
      <c r="D49" s="10">
        <f>RTD("wdf.rtq",,"10003982.SH","PctChg")</f>
        <v>-15.52</v>
      </c>
      <c r="E49" s="10">
        <f>RTD("wdf.rtq",,"10003982.SH","Volume")</f>
        <v>10814</v>
      </c>
      <c r="F49" s="10">
        <f>RTD("wdf.rtq",,"10003982.SH", "rt_oi","RT_Price")</f>
        <v>49513</v>
      </c>
      <c r="G49" s="10">
        <f>RTD("wdf.rtq",,"10003982.SH","ImpliedVol")</f>
        <v>0.2142</v>
      </c>
      <c r="H49" s="10">
        <f>RTD("wdf.rtq",,"10003982.SH","rt_iv_change","RT_Price")</f>
        <v>-3.8E-3</v>
      </c>
      <c r="I49" s="10">
        <v>3.4</v>
      </c>
      <c r="J49" s="9" t="s">
        <v>101</v>
      </c>
      <c r="K49" s="10">
        <f>RTD("wdf.rtq",,"10003991.SH","LastPrice")</f>
        <v>0.5111</v>
      </c>
      <c r="L49" s="10">
        <f>RTD("wdf.rtq",,"10003991.SH","Change")</f>
        <v>-1.9E-3</v>
      </c>
      <c r="M49" s="10">
        <f>RTD("wdf.rtq",,"10003991.SH","PctChg")</f>
        <v>-0.37</v>
      </c>
      <c r="N49" s="10">
        <f>RTD("wdf.rtq",,"10003991.SH","Volume")</f>
        <v>28</v>
      </c>
      <c r="O49" s="10">
        <f>RTD("wdf.rtq",,"10003991.SH", "rt_oi","RT_Price")</f>
        <v>2915</v>
      </c>
      <c r="P49" s="10">
        <f>RTD("wdf.rtq",,"10003991.SH","ImpliedVol")</f>
        <v>0.20270000000000002</v>
      </c>
      <c r="Q49" s="10">
        <f>RTD("wdf.rtq",,"10003991.SH","rt_iv_change","RT_Price")</f>
        <v>-2.1600000000000001E-2</v>
      </c>
    </row>
    <row r="50" spans="1:17" s="4" customFormat="1" x14ac:dyDescent="0.3">
      <c r="A50" s="9" t="s">
        <v>102</v>
      </c>
      <c r="B50" s="10">
        <f>RTD("wdf.rtq",,"10003983.SH","LastPrice")</f>
        <v>4.2000000000000006E-3</v>
      </c>
      <c r="C50" s="10">
        <f>RTD("wdf.rtq",,"10003983.SH","Change")</f>
        <v>-2.0000000000000001E-4</v>
      </c>
      <c r="D50" s="10">
        <f>RTD("wdf.rtq",,"10003983.SH","PctChg")</f>
        <v>-4.55</v>
      </c>
      <c r="E50" s="10">
        <f>RTD("wdf.rtq",,"10003983.SH","Volume")</f>
        <v>9922</v>
      </c>
      <c r="F50" s="10">
        <f>RTD("wdf.rtq",,"10003983.SH", "rt_oi","RT_Price")</f>
        <v>63035</v>
      </c>
      <c r="G50" s="10">
        <f>RTD("wdf.rtq",,"10003983.SH","ImpliedVol")</f>
        <v>0.23820000000000002</v>
      </c>
      <c r="H50" s="10">
        <f>RTD("wdf.rtq",,"10003983.SH","rt_iv_change","RT_Price")</f>
        <v>1.95E-2</v>
      </c>
      <c r="I50" s="10">
        <v>3.5</v>
      </c>
      <c r="J50" s="9" t="s">
        <v>103</v>
      </c>
      <c r="K50" s="10">
        <f>RTD("wdf.rtq",,"10003992.SH","LastPrice")</f>
        <v>0.61140000000000005</v>
      </c>
      <c r="L50" s="10">
        <f>RTD("wdf.rtq",,"10003992.SH","Change")</f>
        <v>-1.6000000000000001E-3</v>
      </c>
      <c r="M50" s="10">
        <f>RTD("wdf.rtq",,"10003992.SH","PctChg")</f>
        <v>-0.26</v>
      </c>
      <c r="N50" s="10">
        <f>RTD("wdf.rtq",,"10003992.SH","Volume")</f>
        <v>9</v>
      </c>
      <c r="O50" s="10">
        <f>RTD("wdf.rtq",,"10003992.SH", "rt_oi","RT_Price")</f>
        <v>4019</v>
      </c>
      <c r="P50" s="10">
        <f>RTD("wdf.rtq",,"10003992.SH","ImpliedVol")</f>
        <v>0.22130000000000002</v>
      </c>
      <c r="Q50" s="10">
        <f>RTD("wdf.rtq",,"10003992.SH","rt_iv_change","RT_Price")</f>
        <v>0.10200000000000001</v>
      </c>
    </row>
    <row r="51" spans="1:17" s="4" customFormat="1" x14ac:dyDescent="0.3">
      <c r="A51" s="11" t="s">
        <v>104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 s="4" customFormat="1" x14ac:dyDescent="0.3">
      <c r="A52" s="9" t="s">
        <v>105</v>
      </c>
      <c r="B52" s="10">
        <f>RTD("wdf.rtq",,"10004237.SH","LastPrice")</f>
        <v>0.42200000000000004</v>
      </c>
      <c r="C52" s="10">
        <f>RTD("wdf.rtq",,"10004237.SH","Change")</f>
        <v>-1.1900000000000001E-2</v>
      </c>
      <c r="D52" s="10">
        <f>RTD("wdf.rtq",,"10004237.SH","PctChg")</f>
        <v>-2.74</v>
      </c>
      <c r="E52" s="10">
        <f>RTD("wdf.rtq",,"10004237.SH","Volume")</f>
        <v>152</v>
      </c>
      <c r="F52" s="10">
        <f>RTD("wdf.rtq",,"10004237.SH", "rt_oi","RT_Price")</f>
        <v>1498</v>
      </c>
      <c r="G52" s="10">
        <f>RTD("wdf.rtq",,"10004237.SH","ImpliedVol")</f>
        <v>0.21480000000000002</v>
      </c>
      <c r="H52" s="10">
        <f>RTD("wdf.rtq",,"10004237.SH","rt_iv_change","RT_Price")</f>
        <v>-8.7000000000000011E-3</v>
      </c>
      <c r="I52" s="10">
        <v>2.5</v>
      </c>
      <c r="J52" s="9" t="s">
        <v>106</v>
      </c>
      <c r="K52" s="10">
        <f>RTD("wdf.rtq",,"10004246.SH","LastPrice")</f>
        <v>2.9100000000000001E-2</v>
      </c>
      <c r="L52" s="10">
        <f>RTD("wdf.rtq",,"10004246.SH","Change")</f>
        <v>-2.0000000000000001E-4</v>
      </c>
      <c r="M52" s="10">
        <f>RTD("wdf.rtq",,"10004246.SH","PctChg")</f>
        <v>-0.68</v>
      </c>
      <c r="N52" s="10">
        <f>RTD("wdf.rtq",,"10004246.SH","Volume")</f>
        <v>862</v>
      </c>
      <c r="O52" s="10">
        <f>RTD("wdf.rtq",,"10004246.SH", "rt_oi","RT_Price")</f>
        <v>18807</v>
      </c>
      <c r="P52" s="10">
        <f>RTD("wdf.rtq",,"10004246.SH","ImpliedVol")</f>
        <v>0.21360000000000001</v>
      </c>
      <c r="Q52" s="10">
        <f>RTD("wdf.rtq",,"10004246.SH","rt_iv_change","RT_Price")</f>
        <v>-1.1900000000000001E-2</v>
      </c>
    </row>
    <row r="53" spans="1:17" s="4" customFormat="1" x14ac:dyDescent="0.3">
      <c r="A53" s="9" t="s">
        <v>107</v>
      </c>
      <c r="B53" s="10">
        <f>RTD("wdf.rtq",,"10004238.SH","LastPrice")</f>
        <v>0.3755</v>
      </c>
      <c r="C53" s="10">
        <f>RTD("wdf.rtq",,"10004238.SH","Change")</f>
        <v>-1.66E-2</v>
      </c>
      <c r="D53" s="10">
        <f>RTD("wdf.rtq",,"10004238.SH","PctChg")</f>
        <v>-4.2300000000000004</v>
      </c>
      <c r="E53" s="10">
        <f>RTD("wdf.rtq",,"10004238.SH","Volume")</f>
        <v>42</v>
      </c>
      <c r="F53" s="10">
        <f>RTD("wdf.rtq",,"10004238.SH", "rt_oi","RT_Price")</f>
        <v>515</v>
      </c>
      <c r="G53" s="10">
        <f>RTD("wdf.rtq",,"10004238.SH","ImpliedVol")</f>
        <v>0.21330000000000002</v>
      </c>
      <c r="H53" s="10">
        <f>RTD("wdf.rtq",,"10004238.SH","rt_iv_change","RT_Price")</f>
        <v>5.2000000000000006E-3</v>
      </c>
      <c r="I53" s="10">
        <v>2.5499999999999998</v>
      </c>
      <c r="J53" s="9" t="s">
        <v>108</v>
      </c>
      <c r="K53" s="10">
        <f>RTD("wdf.rtq",,"10004247.SH","LastPrice")</f>
        <v>3.7900000000000003E-2</v>
      </c>
      <c r="L53" s="10">
        <f>RTD("wdf.rtq",,"10004247.SH","Change")</f>
        <v>6.0000000000000006E-4</v>
      </c>
      <c r="M53" s="10">
        <f>RTD("wdf.rtq",,"10004247.SH","PctChg")</f>
        <v>1.6099999999999999</v>
      </c>
      <c r="N53" s="10">
        <f>RTD("wdf.rtq",,"10004247.SH","Volume")</f>
        <v>401</v>
      </c>
      <c r="O53" s="10">
        <f>RTD("wdf.rtq",,"10004247.SH", "rt_oi","RT_Price")</f>
        <v>16284</v>
      </c>
      <c r="P53" s="10">
        <f>RTD("wdf.rtq",,"10004247.SH","ImpliedVol")</f>
        <v>0.21280000000000002</v>
      </c>
      <c r="Q53" s="10">
        <f>RTD("wdf.rtq",,"10004247.SH","rt_iv_change","RT_Price")</f>
        <v>-9.4000000000000004E-3</v>
      </c>
    </row>
    <row r="54" spans="1:17" s="4" customFormat="1" x14ac:dyDescent="0.3">
      <c r="A54" s="9" t="s">
        <v>109</v>
      </c>
      <c r="B54" s="10">
        <f>RTD("wdf.rtq",,"10004239.SH","LastPrice")</f>
        <v>0.34200000000000003</v>
      </c>
      <c r="C54" s="10">
        <f>RTD("wdf.rtq",,"10004239.SH","Change")</f>
        <v>-1.0200000000000001E-2</v>
      </c>
      <c r="D54" s="10">
        <f>RTD("wdf.rtq",,"10004239.SH","PctChg")</f>
        <v>-2.9000000000000004</v>
      </c>
      <c r="E54" s="10">
        <f>RTD("wdf.rtq",,"10004239.SH","Volume")</f>
        <v>35</v>
      </c>
      <c r="F54" s="10">
        <f>RTD("wdf.rtq",,"10004239.SH", "rt_oi","RT_Price")</f>
        <v>420</v>
      </c>
      <c r="G54" s="10">
        <f>RTD("wdf.rtq",,"10004239.SH","ImpliedVol")</f>
        <v>0.2112</v>
      </c>
      <c r="H54" s="10">
        <f>RTD("wdf.rtq",,"10004239.SH","rt_iv_change","RT_Price")</f>
        <v>-1.3900000000000001E-2</v>
      </c>
      <c r="I54" s="10">
        <v>2.6</v>
      </c>
      <c r="J54" s="9" t="s">
        <v>110</v>
      </c>
      <c r="K54" s="10">
        <f>RTD("wdf.rtq",,"10004248.SH","LastPrice")</f>
        <v>4.7699999999999999E-2</v>
      </c>
      <c r="L54" s="10">
        <f>RTD("wdf.rtq",,"10004248.SH","Change")</f>
        <v>9.0000000000000008E-4</v>
      </c>
      <c r="M54" s="10">
        <f>RTD("wdf.rtq",,"10004248.SH","PctChg")</f>
        <v>1.9200000000000002</v>
      </c>
      <c r="N54" s="10">
        <f>RTD("wdf.rtq",,"10004248.SH","Volume")</f>
        <v>1347</v>
      </c>
      <c r="O54" s="10">
        <f>RTD("wdf.rtq",,"10004248.SH", "rt_oi","RT_Price")</f>
        <v>8813</v>
      </c>
      <c r="P54" s="10">
        <f>RTD("wdf.rtq",,"10004248.SH","ImpliedVol")</f>
        <v>0.21050000000000002</v>
      </c>
      <c r="Q54" s="10">
        <f>RTD("wdf.rtq",,"10004248.SH","rt_iv_change","RT_Price")</f>
        <v>-1.5000000000000001E-2</v>
      </c>
    </row>
    <row r="55" spans="1:17" s="4" customFormat="1" x14ac:dyDescent="0.3">
      <c r="A55" s="9" t="s">
        <v>111</v>
      </c>
      <c r="B55" s="10">
        <f>RTD("wdf.rtq",,"10004240.SH","LastPrice")</f>
        <v>0.3049</v>
      </c>
      <c r="C55" s="10">
        <f>RTD("wdf.rtq",,"10004240.SH","Change")</f>
        <v>-8.2000000000000007E-3</v>
      </c>
      <c r="D55" s="10">
        <f>RTD("wdf.rtq",,"10004240.SH","PctChg")</f>
        <v>-2.62</v>
      </c>
      <c r="E55" s="10">
        <f>RTD("wdf.rtq",,"10004240.SH","Volume")</f>
        <v>21</v>
      </c>
      <c r="F55" s="10">
        <f>RTD("wdf.rtq",,"10004240.SH", "rt_oi","RT_Price")</f>
        <v>654</v>
      </c>
      <c r="G55" s="10">
        <f>RTD("wdf.rtq",,"10004240.SH","ImpliedVol")</f>
        <v>0.21010000000000001</v>
      </c>
      <c r="H55" s="10">
        <f>RTD("wdf.rtq",,"10004240.SH","rt_iv_change","RT_Price")</f>
        <v>-2.3E-3</v>
      </c>
      <c r="I55" s="10">
        <v>2.65</v>
      </c>
      <c r="J55" s="9" t="s">
        <v>112</v>
      </c>
      <c r="K55" s="10">
        <f>RTD("wdf.rtq",,"10004249.SH","LastPrice")</f>
        <v>5.91E-2</v>
      </c>
      <c r="L55" s="10">
        <f>RTD("wdf.rtq",,"10004249.SH","Change")</f>
        <v>1.1000000000000001E-3</v>
      </c>
      <c r="M55" s="10">
        <f>RTD("wdf.rtq",,"10004249.SH","PctChg")</f>
        <v>1.9</v>
      </c>
      <c r="N55" s="10">
        <f>RTD("wdf.rtq",,"10004249.SH","Volume")</f>
        <v>858</v>
      </c>
      <c r="O55" s="10">
        <f>RTD("wdf.rtq",,"10004249.SH", "rt_oi","RT_Price")</f>
        <v>4374</v>
      </c>
      <c r="P55" s="10">
        <f>RTD("wdf.rtq",,"10004249.SH","ImpliedVol")</f>
        <v>0.20750000000000002</v>
      </c>
      <c r="Q55" s="10">
        <f>RTD("wdf.rtq",,"10004249.SH","rt_iv_change","RT_Price")</f>
        <v>-0.01</v>
      </c>
    </row>
    <row r="56" spans="1:17" s="4" customFormat="1" x14ac:dyDescent="0.3">
      <c r="A56" s="9" t="s">
        <v>113</v>
      </c>
      <c r="B56" s="10">
        <f>RTD("wdf.rtq",,"10004241.SH","LastPrice")</f>
        <v>0.26880000000000004</v>
      </c>
      <c r="C56" s="10">
        <f>RTD("wdf.rtq",,"10004241.SH","Change")</f>
        <v>-8.0999999999999996E-3</v>
      </c>
      <c r="D56" s="10">
        <f>RTD("wdf.rtq",,"10004241.SH","PctChg")</f>
        <v>-2.93</v>
      </c>
      <c r="E56" s="10">
        <f>RTD("wdf.rtq",,"10004241.SH","Volume")</f>
        <v>125</v>
      </c>
      <c r="F56" s="10">
        <f>RTD("wdf.rtq",,"10004241.SH", "rt_oi","RT_Price")</f>
        <v>1152</v>
      </c>
      <c r="G56" s="10">
        <f>RTD("wdf.rtq",,"10004241.SH","ImpliedVol")</f>
        <v>0.20750000000000002</v>
      </c>
      <c r="H56" s="10">
        <f>RTD("wdf.rtq",,"10004241.SH","rt_iv_change","RT_Price")</f>
        <v>-2.1000000000000001E-2</v>
      </c>
      <c r="I56" s="10">
        <v>2.7</v>
      </c>
      <c r="J56" s="9" t="s">
        <v>114</v>
      </c>
      <c r="K56" s="10">
        <f>RTD("wdf.rtq",,"10004250.SH","LastPrice")</f>
        <v>7.3099999999999998E-2</v>
      </c>
      <c r="L56" s="10">
        <f>RTD("wdf.rtq",,"10004250.SH","Change")</f>
        <v>1.5E-3</v>
      </c>
      <c r="M56" s="10">
        <f>RTD("wdf.rtq",,"10004250.SH","PctChg")</f>
        <v>2.0900000000000003</v>
      </c>
      <c r="N56" s="10">
        <f>RTD("wdf.rtq",,"10004250.SH","Volume")</f>
        <v>600</v>
      </c>
      <c r="O56" s="10">
        <f>RTD("wdf.rtq",,"10004250.SH", "rt_oi","RT_Price")</f>
        <v>10205</v>
      </c>
      <c r="P56" s="10">
        <f>RTD("wdf.rtq",,"10004250.SH","ImpliedVol")</f>
        <v>0.2059</v>
      </c>
      <c r="Q56" s="10">
        <f>RTD("wdf.rtq",,"10004250.SH","rt_iv_change","RT_Price")</f>
        <v>-8.7000000000000011E-3</v>
      </c>
    </row>
    <row r="57" spans="1:17" s="4" customFormat="1" x14ac:dyDescent="0.3">
      <c r="A57" s="9" t="s">
        <v>115</v>
      </c>
      <c r="B57" s="10">
        <f>RTD("wdf.rtq",,"10004242.SH","LastPrice")</f>
        <v>0.23520000000000002</v>
      </c>
      <c r="C57" s="10">
        <f>RTD("wdf.rtq",,"10004242.SH","Change")</f>
        <v>-1.15E-2</v>
      </c>
      <c r="D57" s="10">
        <f>RTD("wdf.rtq",,"10004242.SH","PctChg")</f>
        <v>-4.66</v>
      </c>
      <c r="E57" s="10">
        <f>RTD("wdf.rtq",,"10004242.SH","Volume")</f>
        <v>103</v>
      </c>
      <c r="F57" s="10">
        <f>RTD("wdf.rtq",,"10004242.SH", "rt_oi","RT_Price")</f>
        <v>1631</v>
      </c>
      <c r="G57" s="10">
        <f>RTD("wdf.rtq",,"10004242.SH","ImpliedVol")</f>
        <v>0.20520000000000002</v>
      </c>
      <c r="H57" s="10">
        <f>RTD("wdf.rtq",,"10004242.SH","rt_iv_change","RT_Price")</f>
        <v>-1.7899999999999999E-2</v>
      </c>
      <c r="I57" s="10">
        <v>2.75</v>
      </c>
      <c r="J57" s="9" t="s">
        <v>116</v>
      </c>
      <c r="K57" s="10">
        <f>RTD("wdf.rtq",,"10004251.SH","LastPrice")</f>
        <v>9.0400000000000008E-2</v>
      </c>
      <c r="L57" s="10">
        <f>RTD("wdf.rtq",,"10004251.SH","Change")</f>
        <v>-6.0000000000000006E-4</v>
      </c>
      <c r="M57" s="10">
        <f>RTD("wdf.rtq",,"10004251.SH","PctChg")</f>
        <v>-0.66</v>
      </c>
      <c r="N57" s="10">
        <f>RTD("wdf.rtq",,"10004251.SH","Volume")</f>
        <v>778</v>
      </c>
      <c r="O57" s="10">
        <f>RTD("wdf.rtq",,"10004251.SH", "rt_oi","RT_Price")</f>
        <v>4000</v>
      </c>
      <c r="P57" s="10">
        <f>RTD("wdf.rtq",,"10004251.SH","ImpliedVol")</f>
        <v>0.2056</v>
      </c>
      <c r="Q57" s="10">
        <f>RTD("wdf.rtq",,"10004251.SH","rt_iv_change","RT_Price")</f>
        <v>-2.7300000000000001E-2</v>
      </c>
    </row>
    <row r="58" spans="1:17" s="4" customFormat="1" x14ac:dyDescent="0.3">
      <c r="A58" s="9" t="s">
        <v>117</v>
      </c>
      <c r="B58" s="10">
        <f>RTD("wdf.rtq",,"10004243.SH","LastPrice")</f>
        <v>0.20660000000000001</v>
      </c>
      <c r="C58" s="10">
        <f>RTD("wdf.rtq",,"10004243.SH","Change")</f>
        <v>-9.0000000000000011E-3</v>
      </c>
      <c r="D58" s="10">
        <f>RTD("wdf.rtq",,"10004243.SH","PctChg")</f>
        <v>-4.17</v>
      </c>
      <c r="E58" s="10">
        <f>RTD("wdf.rtq",,"10004243.SH","Volume")</f>
        <v>199</v>
      </c>
      <c r="F58" s="10">
        <f>RTD("wdf.rtq",,"10004243.SH", "rt_oi","RT_Price")</f>
        <v>4625</v>
      </c>
      <c r="G58" s="10">
        <f>RTD("wdf.rtq",,"10004243.SH","ImpliedVol")</f>
        <v>0.20650000000000002</v>
      </c>
      <c r="H58" s="10">
        <f>RTD("wdf.rtq",,"10004243.SH","rt_iv_change","RT_Price")</f>
        <v>4.0000000000000002E-4</v>
      </c>
      <c r="I58" s="10">
        <v>2.8</v>
      </c>
      <c r="J58" s="9" t="s">
        <v>118</v>
      </c>
      <c r="K58" s="10">
        <f>RTD("wdf.rtq",,"10004252.SH","LastPrice")</f>
        <v>0.11</v>
      </c>
      <c r="L58" s="10">
        <f>RTD("wdf.rtq",,"10004252.SH","Change")</f>
        <v>2.7000000000000001E-3</v>
      </c>
      <c r="M58" s="10">
        <f>RTD("wdf.rtq",,"10004252.SH","PctChg")</f>
        <v>2.52</v>
      </c>
      <c r="N58" s="10">
        <f>RTD("wdf.rtq",,"10004252.SH","Volume")</f>
        <v>291</v>
      </c>
      <c r="O58" s="10">
        <f>RTD("wdf.rtq",,"10004252.SH", "rt_oi","RT_Price")</f>
        <v>3533</v>
      </c>
      <c r="P58" s="10">
        <f>RTD("wdf.rtq",,"10004252.SH","ImpliedVol")</f>
        <v>0.2051</v>
      </c>
      <c r="Q58" s="10">
        <f>RTD("wdf.rtq",,"10004252.SH","rt_iv_change","RT_Price")</f>
        <v>-1.7000000000000001E-2</v>
      </c>
    </row>
    <row r="59" spans="1:17" s="4" customFormat="1" x14ac:dyDescent="0.3">
      <c r="A59" s="9" t="s">
        <v>119</v>
      </c>
      <c r="B59" s="10">
        <f>RTD("wdf.rtq",,"10004244.SH","LastPrice")</f>
        <v>0.17860000000000001</v>
      </c>
      <c r="C59" s="10">
        <f>RTD("wdf.rtq",,"10004244.SH","Change")</f>
        <v>-1.0100000000000001E-2</v>
      </c>
      <c r="D59" s="10">
        <f>RTD("wdf.rtq",,"10004244.SH","PctChg")</f>
        <v>-5.3500000000000005</v>
      </c>
      <c r="E59" s="10">
        <f>RTD("wdf.rtq",,"10004244.SH","Volume")</f>
        <v>1017</v>
      </c>
      <c r="F59" s="10">
        <f>RTD("wdf.rtq",,"10004244.SH", "rt_oi","RT_Price")</f>
        <v>5086</v>
      </c>
      <c r="G59" s="10">
        <f>RTD("wdf.rtq",,"10004244.SH","ImpliedVol")</f>
        <v>0.20580000000000001</v>
      </c>
      <c r="H59" s="10">
        <f>RTD("wdf.rtq",,"10004244.SH","rt_iv_change","RT_Price")</f>
        <v>-1.23E-2</v>
      </c>
      <c r="I59" s="10">
        <v>2.85</v>
      </c>
      <c r="J59" s="9" t="s">
        <v>120</v>
      </c>
      <c r="K59" s="10">
        <f>RTD("wdf.rtq",,"10004253.SH","LastPrice")</f>
        <v>0.13200000000000001</v>
      </c>
      <c r="L59" s="10">
        <f>RTD("wdf.rtq",,"10004253.SH","Change")</f>
        <v>1.7000000000000001E-3</v>
      </c>
      <c r="M59" s="10">
        <f>RTD("wdf.rtq",,"10004253.SH","PctChg")</f>
        <v>1.3</v>
      </c>
      <c r="N59" s="10">
        <f>RTD("wdf.rtq",,"10004253.SH","Volume")</f>
        <v>310</v>
      </c>
      <c r="O59" s="10">
        <f>RTD("wdf.rtq",,"10004253.SH", "rt_oi","RT_Price")</f>
        <v>4237</v>
      </c>
      <c r="P59" s="10">
        <f>RTD("wdf.rtq",,"10004253.SH","ImpliedVol")</f>
        <v>0.2041</v>
      </c>
      <c r="Q59" s="10">
        <f>RTD("wdf.rtq",,"10004253.SH","rt_iv_change","RT_Price")</f>
        <v>-1.37E-2</v>
      </c>
    </row>
    <row r="60" spans="1:17" s="4" customFormat="1" x14ac:dyDescent="0.3">
      <c r="A60" s="9" t="s">
        <v>121</v>
      </c>
      <c r="B60" s="10">
        <f>RTD("wdf.rtq",,"10004245.SH","LastPrice")</f>
        <v>0.1527</v>
      </c>
      <c r="C60" s="10">
        <f>RTD("wdf.rtq",,"10004245.SH","Change")</f>
        <v>-8.5000000000000006E-3</v>
      </c>
      <c r="D60" s="10">
        <f>RTD("wdf.rtq",,"10004245.SH","PctChg")</f>
        <v>-5.2700000000000005</v>
      </c>
      <c r="E60" s="10">
        <f>RTD("wdf.rtq",,"10004245.SH","Volume")</f>
        <v>1189</v>
      </c>
      <c r="F60" s="10">
        <f>RTD("wdf.rtq",,"10004245.SH", "rt_oi","RT_Price")</f>
        <v>4535</v>
      </c>
      <c r="G60" s="10">
        <f>RTD("wdf.rtq",,"10004245.SH","ImpliedVol")</f>
        <v>0.20400000000000001</v>
      </c>
      <c r="H60" s="10">
        <f>RTD("wdf.rtq",,"10004245.SH","rt_iv_change","RT_Price")</f>
        <v>-9.9000000000000008E-3</v>
      </c>
      <c r="I60" s="10">
        <v>2.9</v>
      </c>
      <c r="J60" s="9" t="s">
        <v>122</v>
      </c>
      <c r="K60" s="10">
        <f>RTD("wdf.rtq",,"10004254.SH","LastPrice")</f>
        <v>0.1575</v>
      </c>
      <c r="L60" s="10">
        <f>RTD("wdf.rtq",,"10004254.SH","Change")</f>
        <v>2.5000000000000001E-3</v>
      </c>
      <c r="M60" s="10">
        <f>RTD("wdf.rtq",,"10004254.SH","PctChg")</f>
        <v>1.6099999999999999</v>
      </c>
      <c r="N60" s="10">
        <f>RTD("wdf.rtq",,"10004254.SH","Volume")</f>
        <v>493</v>
      </c>
      <c r="O60" s="10">
        <f>RTD("wdf.rtq",,"10004254.SH", "rt_oi","RT_Price")</f>
        <v>5676</v>
      </c>
      <c r="P60" s="10">
        <f>RTD("wdf.rtq",,"10004254.SH","ImpliedVol")</f>
        <v>0.20470000000000002</v>
      </c>
      <c r="Q60" s="10">
        <f>RTD("wdf.rtq",,"10004254.SH","rt_iv_change","RT_Price")</f>
        <v>-8.8999999999999999E-3</v>
      </c>
    </row>
    <row r="61" spans="1:17" s="4" customFormat="1" x14ac:dyDescent="0.3">
      <c r="A61" s="9" t="s">
        <v>123</v>
      </c>
      <c r="B61" s="10">
        <f>RTD("wdf.rtq",,"10004273.SH","LastPrice")</f>
        <v>0.13070000000000001</v>
      </c>
      <c r="C61" s="10">
        <f>RTD("wdf.rtq",,"10004273.SH","Change")</f>
        <v>-7.4000000000000003E-3</v>
      </c>
      <c r="D61" s="10">
        <f>RTD("wdf.rtq",,"10004273.SH","PctChg")</f>
        <v>-5.36</v>
      </c>
      <c r="E61" s="10">
        <f>RTD("wdf.rtq",,"10004273.SH","Volume")</f>
        <v>1587</v>
      </c>
      <c r="F61" s="10">
        <f>RTD("wdf.rtq",,"10004273.SH", "rt_oi","RT_Price")</f>
        <v>5317</v>
      </c>
      <c r="G61" s="10">
        <f>RTD("wdf.rtq",,"10004273.SH","ImpliedVol")</f>
        <v>0.20400000000000001</v>
      </c>
      <c r="H61" s="10">
        <f>RTD("wdf.rtq",,"10004273.SH","rt_iv_change","RT_Price")</f>
        <v>-5.2000000000000006E-3</v>
      </c>
      <c r="I61" s="10">
        <v>2.95</v>
      </c>
      <c r="J61" s="9" t="s">
        <v>124</v>
      </c>
      <c r="K61" s="10">
        <f>RTD("wdf.rtq",,"10004274.SH","LastPrice")</f>
        <v>0.18530000000000002</v>
      </c>
      <c r="L61" s="10">
        <f>RTD("wdf.rtq",,"10004274.SH","Change")</f>
        <v>2.3E-3</v>
      </c>
      <c r="M61" s="10">
        <f>RTD("wdf.rtq",,"10004274.SH","PctChg")</f>
        <v>1.26</v>
      </c>
      <c r="N61" s="10">
        <f>RTD("wdf.rtq",,"10004274.SH","Volume")</f>
        <v>307</v>
      </c>
      <c r="O61" s="10">
        <f>RTD("wdf.rtq",,"10004274.SH", "rt_oi","RT_Price")</f>
        <v>6835</v>
      </c>
      <c r="P61" s="10">
        <f>RTD("wdf.rtq",,"10004274.SH","ImpliedVol")</f>
        <v>0.20500000000000002</v>
      </c>
      <c r="Q61" s="10">
        <f>RTD("wdf.rtq",,"10004274.SH","rt_iv_change","RT_Price")</f>
        <v>-2.23E-2</v>
      </c>
    </row>
    <row r="62" spans="1:17" s="4" customFormat="1" x14ac:dyDescent="0.3">
      <c r="A62" s="9" t="s">
        <v>125</v>
      </c>
      <c r="B62" s="10">
        <f>RTD("wdf.rtq",,"10004275.SH","LastPrice")</f>
        <v>0.11030000000000001</v>
      </c>
      <c r="C62" s="10">
        <f>RTD("wdf.rtq",,"10004275.SH","Change")</f>
        <v>-7.9000000000000008E-3</v>
      </c>
      <c r="D62" s="10">
        <f>RTD("wdf.rtq",,"10004275.SH","PctChg")</f>
        <v>-6.68</v>
      </c>
      <c r="E62" s="10">
        <f>RTD("wdf.rtq",,"10004275.SH","Volume")</f>
        <v>4249</v>
      </c>
      <c r="F62" s="10">
        <f>RTD("wdf.rtq",,"10004275.SH", "rt_oi","RT_Price")</f>
        <v>9523</v>
      </c>
      <c r="G62" s="10">
        <f>RTD("wdf.rtq",,"10004275.SH","ImpliedVol")</f>
        <v>0.20280000000000001</v>
      </c>
      <c r="H62" s="10">
        <f>RTD("wdf.rtq",,"10004275.SH","rt_iv_change","RT_Price")</f>
        <v>-1.2500000000000001E-2</v>
      </c>
      <c r="I62" s="10">
        <v>3</v>
      </c>
      <c r="J62" s="9" t="s">
        <v>126</v>
      </c>
      <c r="K62" s="10">
        <f>RTD("wdf.rtq",,"10004276.SH","LastPrice")</f>
        <v>0.2132</v>
      </c>
      <c r="L62" s="10">
        <f>RTD("wdf.rtq",,"10004276.SH","Change")</f>
        <v>3.4000000000000002E-3</v>
      </c>
      <c r="M62" s="10">
        <f>RTD("wdf.rtq",,"10004276.SH","PctChg")</f>
        <v>1.6199999999999999</v>
      </c>
      <c r="N62" s="10">
        <f>RTD("wdf.rtq",,"10004276.SH","Volume")</f>
        <v>272</v>
      </c>
      <c r="O62" s="10">
        <f>RTD("wdf.rtq",,"10004276.SH", "rt_oi","RT_Price")</f>
        <v>5481</v>
      </c>
      <c r="P62" s="10">
        <f>RTD("wdf.rtq",,"10004276.SH","ImpliedVol")</f>
        <v>0.2026</v>
      </c>
      <c r="Q62" s="10">
        <f>RTD("wdf.rtq",,"10004276.SH","rt_iv_change","RT_Price")</f>
        <v>-1.0800000000000001E-2</v>
      </c>
    </row>
    <row r="63" spans="1:17" s="4" customFormat="1" x14ac:dyDescent="0.3">
      <c r="A63" s="9" t="s">
        <v>127</v>
      </c>
      <c r="B63" s="10">
        <f>RTD("wdf.rtq",,"10004327.SH","LastPrice")</f>
        <v>7.85E-2</v>
      </c>
      <c r="C63" s="10">
        <f>RTD("wdf.rtq",,"10004327.SH","Change")</f>
        <v>-5.0000000000000001E-3</v>
      </c>
      <c r="D63" s="10">
        <f>RTD("wdf.rtq",,"10004327.SH","PctChg")</f>
        <v>-5.99</v>
      </c>
      <c r="E63" s="10">
        <f>RTD("wdf.rtq",,"10004327.SH","Volume")</f>
        <v>1207</v>
      </c>
      <c r="F63" s="10">
        <f>RTD("wdf.rtq",,"10004327.SH", "rt_oi","RT_Price")</f>
        <v>7153</v>
      </c>
      <c r="G63" s="10">
        <f>RTD("wdf.rtq",,"10004327.SH","ImpliedVol")</f>
        <v>0.20320000000000002</v>
      </c>
      <c r="H63" s="10">
        <f>RTD("wdf.rtq",,"10004327.SH","rt_iv_change","RT_Price")</f>
        <v>-2.8E-3</v>
      </c>
      <c r="I63" s="10">
        <v>3.1</v>
      </c>
      <c r="J63" s="9" t="s">
        <v>128</v>
      </c>
      <c r="K63" s="10">
        <f>RTD("wdf.rtq",,"10004328.SH","LastPrice")</f>
        <v>0.28050000000000003</v>
      </c>
      <c r="L63" s="10">
        <f>RTD("wdf.rtq",,"10004328.SH","Change")</f>
        <v>7.1000000000000004E-3</v>
      </c>
      <c r="M63" s="10">
        <f>RTD("wdf.rtq",,"10004328.SH","PctChg")</f>
        <v>2.6</v>
      </c>
      <c r="N63" s="10">
        <f>RTD("wdf.rtq",,"10004328.SH","Volume")</f>
        <v>239</v>
      </c>
      <c r="O63" s="10">
        <f>RTD("wdf.rtq",,"10004328.SH", "rt_oi","RT_Price")</f>
        <v>2374</v>
      </c>
      <c r="P63" s="10">
        <f>RTD("wdf.rtq",,"10004328.SH","ImpliedVol")</f>
        <v>0.20320000000000002</v>
      </c>
      <c r="Q63" s="10">
        <f>RTD("wdf.rtq",,"10004328.SH","rt_iv_change","RT_Price")</f>
        <v>-1.66E-2</v>
      </c>
    </row>
    <row r="64" spans="1:17" s="4" customFormat="1" x14ac:dyDescent="0.3">
      <c r="A64" s="9" t="s">
        <v>129</v>
      </c>
      <c r="B64" s="10">
        <f>RTD("wdf.rtq",,"10004331.SH","LastPrice")</f>
        <v>5.3400000000000003E-2</v>
      </c>
      <c r="C64" s="10">
        <f>RTD("wdf.rtq",,"10004331.SH","Change")</f>
        <v>-4.5000000000000005E-3</v>
      </c>
      <c r="D64" s="10">
        <f>RTD("wdf.rtq",,"10004331.SH","PctChg")</f>
        <v>-7.7700000000000005</v>
      </c>
      <c r="E64" s="10">
        <f>RTD("wdf.rtq",,"10004331.SH","Volume")</f>
        <v>1399</v>
      </c>
      <c r="F64" s="10">
        <f>RTD("wdf.rtq",,"10004331.SH", "rt_oi","RT_Price")</f>
        <v>11190</v>
      </c>
      <c r="G64" s="10">
        <f>RTD("wdf.rtq",,"10004331.SH","ImpliedVol")</f>
        <v>0.20250000000000001</v>
      </c>
      <c r="H64" s="10">
        <f>RTD("wdf.rtq",,"10004331.SH","rt_iv_change","RT_Price")</f>
        <v>-8.3000000000000001E-3</v>
      </c>
      <c r="I64" s="10">
        <v>3.2</v>
      </c>
      <c r="J64" s="9" t="s">
        <v>130</v>
      </c>
      <c r="K64" s="10">
        <f>RTD("wdf.rtq",,"10004332.SH","LastPrice")</f>
        <v>0.35750000000000004</v>
      </c>
      <c r="L64" s="10">
        <f>RTD("wdf.rtq",,"10004332.SH","Change")</f>
        <v>1.14E-2</v>
      </c>
      <c r="M64" s="10">
        <f>RTD("wdf.rtq",,"10004332.SH","PctChg")</f>
        <v>3.29</v>
      </c>
      <c r="N64" s="10">
        <f>RTD("wdf.rtq",,"10004332.SH","Volume")</f>
        <v>172</v>
      </c>
      <c r="O64" s="10">
        <f>RTD("wdf.rtq",,"10004332.SH", "rt_oi","RT_Price")</f>
        <v>2125</v>
      </c>
      <c r="P64" s="10">
        <f>RTD("wdf.rtq",,"10004332.SH","ImpliedVol")</f>
        <v>0.2039</v>
      </c>
      <c r="Q64" s="10">
        <f>RTD("wdf.rtq",,"10004332.SH","rt_iv_change","RT_Price")</f>
        <v>-7.3000000000000001E-3</v>
      </c>
    </row>
    <row r="65" spans="1:17" s="4" customFormat="1" x14ac:dyDescent="0.3">
      <c r="A65" s="9" t="s">
        <v>131</v>
      </c>
      <c r="B65" s="10">
        <f>RTD("wdf.rtq",,"10004339.SH","LastPrice")</f>
        <v>3.6200000000000003E-2</v>
      </c>
      <c r="C65" s="10">
        <f>RTD("wdf.rtq",,"10004339.SH","Change")</f>
        <v>-3.3E-3</v>
      </c>
      <c r="D65" s="10">
        <f>RTD("wdf.rtq",,"10004339.SH","PctChg")</f>
        <v>-8.35</v>
      </c>
      <c r="E65" s="10">
        <f>RTD("wdf.rtq",,"10004339.SH","Volume")</f>
        <v>873</v>
      </c>
      <c r="F65" s="10">
        <f>RTD("wdf.rtq",,"10004339.SH", "rt_oi","RT_Price")</f>
        <v>6875</v>
      </c>
      <c r="G65" s="10">
        <f>RTD("wdf.rtq",,"10004339.SH","ImpliedVol")</f>
        <v>0.20300000000000001</v>
      </c>
      <c r="H65" s="10">
        <f>RTD("wdf.rtq",,"10004339.SH","rt_iv_change","RT_Price")</f>
        <v>-4.8000000000000004E-3</v>
      </c>
      <c r="I65" s="10">
        <v>3.3</v>
      </c>
      <c r="J65" s="9" t="s">
        <v>132</v>
      </c>
      <c r="K65" s="10">
        <f>RTD("wdf.rtq",,"10004340.SH","LastPrice")</f>
        <v>0.43240000000000001</v>
      </c>
      <c r="L65" s="10">
        <f>RTD("wdf.rtq",,"10004340.SH","Change")</f>
        <v>5.5000000000000005E-3</v>
      </c>
      <c r="M65" s="10">
        <f>RTD("wdf.rtq",,"10004340.SH","PctChg")</f>
        <v>1.29</v>
      </c>
      <c r="N65" s="10">
        <f>RTD("wdf.rtq",,"10004340.SH","Volume")</f>
        <v>18</v>
      </c>
      <c r="O65" s="10">
        <f>RTD("wdf.rtq",,"10004340.SH", "rt_oi","RT_Price")</f>
        <v>1384</v>
      </c>
      <c r="P65" s="10">
        <f>RTD("wdf.rtq",,"10004340.SH","ImpliedVol")</f>
        <v>0.20280000000000001</v>
      </c>
      <c r="Q65" s="10">
        <f>RTD("wdf.rtq",,"10004340.SH","rt_iv_change","RT_Price")</f>
        <v>-1.3800000000000002E-2</v>
      </c>
    </row>
    <row r="66" spans="1:17" s="4" customFormat="1" x14ac:dyDescent="0.3">
      <c r="A66" s="9" t="s">
        <v>133</v>
      </c>
      <c r="B66" s="10">
        <f>RTD("wdf.rtq",,"10004389.SH","LastPrice")</f>
        <v>2.4300000000000002E-2</v>
      </c>
      <c r="C66" s="10">
        <f>RTD("wdf.rtq",,"10004389.SH","Change")</f>
        <v>-2.1000000000000003E-3</v>
      </c>
      <c r="D66" s="10">
        <f>RTD("wdf.rtq",,"10004389.SH","PctChg")</f>
        <v>-7.95</v>
      </c>
      <c r="E66" s="10">
        <f>RTD("wdf.rtq",,"10004389.SH","Volume")</f>
        <v>1644</v>
      </c>
      <c r="F66" s="10">
        <f>RTD("wdf.rtq",,"10004389.SH", "rt_oi","RT_Price")</f>
        <v>7304</v>
      </c>
      <c r="G66" s="10">
        <f>RTD("wdf.rtq",,"10004389.SH","ImpliedVol")</f>
        <v>0.2039</v>
      </c>
      <c r="H66" s="10">
        <f>RTD("wdf.rtq",,"10004389.SH","rt_iv_change","RT_Price")</f>
        <v>-3.3E-3</v>
      </c>
      <c r="I66" s="10">
        <v>3.4</v>
      </c>
      <c r="J66" s="9" t="s">
        <v>134</v>
      </c>
      <c r="K66" s="10">
        <f>RTD("wdf.rtq",,"10004390.SH","LastPrice")</f>
        <v>0.52500000000000002</v>
      </c>
      <c r="L66" s="10">
        <f>RTD("wdf.rtq",,"10004390.SH","Change")</f>
        <v>1.2E-2</v>
      </c>
      <c r="M66" s="10">
        <f>RTD("wdf.rtq",,"10004390.SH","PctChg")</f>
        <v>2.34</v>
      </c>
      <c r="N66" s="10">
        <f>RTD("wdf.rtq",,"10004390.SH","Volume")</f>
        <v>2</v>
      </c>
      <c r="O66" s="10">
        <f>RTD("wdf.rtq",,"10004390.SH", "rt_oi","RT_Price")</f>
        <v>753</v>
      </c>
      <c r="P66" s="10">
        <f>RTD("wdf.rtq",,"10004390.SH","ImpliedVol")</f>
        <v>0.20220000000000002</v>
      </c>
      <c r="Q66" s="10">
        <f>RTD("wdf.rtq",,"10004390.SH","rt_iv_change","RT_Price")</f>
        <v>5.5000000000000005E-3</v>
      </c>
    </row>
    <row r="67" spans="1:17" s="4" customFormat="1" x14ac:dyDescent="0.3">
      <c r="A67" s="9" t="s">
        <v>135</v>
      </c>
      <c r="B67" s="10">
        <f>RTD("wdf.rtq",,"10004401.SH","LastPrice")</f>
        <v>1.6199999999999999E-2</v>
      </c>
      <c r="C67" s="10">
        <f>RTD("wdf.rtq",,"10004401.SH","Change")</f>
        <v>-1.8000000000000002E-3</v>
      </c>
      <c r="D67" s="10">
        <f>RTD("wdf.rtq",,"10004401.SH","PctChg")</f>
        <v>-10</v>
      </c>
      <c r="E67" s="10">
        <f>RTD("wdf.rtq",,"10004401.SH","Volume")</f>
        <v>2553</v>
      </c>
      <c r="F67" s="10">
        <f>RTD("wdf.rtq",,"10004401.SH", "rt_oi","RT_Price")</f>
        <v>8703</v>
      </c>
      <c r="G67" s="10">
        <f>RTD("wdf.rtq",,"10004401.SH","ImpliedVol")</f>
        <v>0.20600000000000002</v>
      </c>
      <c r="H67" s="10">
        <f>RTD("wdf.rtq",,"10004401.SH","rt_iv_change","RT_Price")</f>
        <v>-4.8000000000000004E-3</v>
      </c>
      <c r="I67" s="10">
        <v>3.5</v>
      </c>
      <c r="J67" s="9" t="s">
        <v>136</v>
      </c>
      <c r="K67" s="10">
        <f>RTD("wdf.rtq",,"10004402.SH","LastPrice")</f>
        <v>0.60899999999999999</v>
      </c>
      <c r="L67" s="10">
        <f>RTD("wdf.rtq",,"10004402.SH","Change")</f>
        <v>-4.0000000000000001E-3</v>
      </c>
      <c r="M67" s="10">
        <f>RTD("wdf.rtq",,"10004402.SH","PctChg")</f>
        <v>-0.65</v>
      </c>
      <c r="N67" s="10">
        <f>RTD("wdf.rtq",,"10004402.SH","Volume")</f>
        <v>29</v>
      </c>
      <c r="O67" s="10">
        <f>RTD("wdf.rtq",,"10004402.SH", "rt_oi","RT_Price")</f>
        <v>1405</v>
      </c>
      <c r="P67" s="10">
        <f>RTD("wdf.rtq",,"10004402.SH","ImpliedVol")</f>
        <v>0.20580000000000001</v>
      </c>
      <c r="Q67" s="10">
        <f>RTD("wdf.rtq",,"10004402.SH","rt_iv_change","RT_Price")</f>
        <v>1.03E-2</v>
      </c>
    </row>
    <row r="68" spans="1:17" s="4" customFormat="1" x14ac:dyDescent="0.3"/>
    <row r="69" spans="1:17" s="4" customFormat="1" x14ac:dyDescent="0.3"/>
    <row r="70" spans="1:17" s="4" customFormat="1" x14ac:dyDescent="0.3">
      <c r="A70" s="12" t="s">
        <v>137</v>
      </c>
    </row>
  </sheetData>
  <mergeCells count="7">
    <mergeCell ref="A51:Q51"/>
    <mergeCell ref="A1:H1"/>
    <mergeCell ref="I1:I2"/>
    <mergeCell ref="J1:Q1"/>
    <mergeCell ref="A3:Q3"/>
    <mergeCell ref="A19:Q19"/>
    <mergeCell ref="A33:Q3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 Xu</dc:creator>
  <cp:lastModifiedBy>Duo Xu</cp:lastModifiedBy>
  <dcterms:created xsi:type="dcterms:W3CDTF">2015-06-05T18:17:20Z</dcterms:created>
  <dcterms:modified xsi:type="dcterms:W3CDTF">2022-07-25T21:53:09Z</dcterms:modified>
</cp:coreProperties>
</file>