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f78f0a94443933/Documents/Desktop Folders/Python Learning/2022_05_Machine Learning Basics/Machine-Learning-Basics/2022_05 Classification Problems/"/>
    </mc:Choice>
  </mc:AlternateContent>
  <xr:revisionPtr revIDLastSave="219" documentId="13_ncr:1_{F616A338-CF54-ED41-941F-B1EA06C7F9FF}" xr6:coauthVersionLast="47" xr6:coauthVersionMax="47" xr10:uidLastSave="{2DCD502B-DADF-A04B-9566-ACDBA46EBE99}"/>
  <bookViews>
    <workbookView xWindow="0" yWindow="880" windowWidth="36000" windowHeight="21540" activeTab="1" xr2:uid="{C25C3FD8-34B9-E143-8C8D-132673CA40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2" l="1"/>
  <c r="S8" i="2" s="1"/>
  <c r="R24" i="2"/>
  <c r="S4" i="2"/>
  <c r="T29" i="2"/>
  <c r="S13" i="2"/>
  <c r="R23" i="2"/>
  <c r="T26" i="2"/>
  <c r="F86" i="2"/>
  <c r="F79" i="2"/>
  <c r="S10" i="2"/>
  <c r="S9" i="2"/>
  <c r="S7" i="2"/>
  <c r="S6" i="2"/>
  <c r="S5" i="2"/>
  <c r="S3" i="2"/>
  <c r="Q21" i="2"/>
  <c r="P21" i="2"/>
  <c r="O21" i="2"/>
  <c r="Q9" i="2"/>
  <c r="P9" i="2"/>
  <c r="O9" i="2"/>
  <c r="Q19" i="2"/>
  <c r="Q10" i="2"/>
  <c r="P10" i="2"/>
  <c r="O10" i="2"/>
  <c r="Q8" i="2"/>
  <c r="Q7" i="2"/>
  <c r="Q6" i="2"/>
  <c r="Q5" i="2"/>
  <c r="Q4" i="2"/>
  <c r="Q14" i="2" s="1"/>
  <c r="Q3" i="2"/>
  <c r="Q20" i="2"/>
  <c r="O20" i="2"/>
  <c r="P8" i="2"/>
  <c r="O8" i="2"/>
  <c r="P7" i="2"/>
  <c r="O7" i="2"/>
  <c r="O17" i="2" s="1"/>
  <c r="P6" i="2"/>
  <c r="O6" i="2"/>
  <c r="Q15" i="2"/>
  <c r="P5" i="2"/>
  <c r="P15" i="2" s="1"/>
  <c r="O5" i="2"/>
  <c r="O15" i="2" s="1"/>
  <c r="P4" i="2"/>
  <c r="P14" i="2" s="1"/>
  <c r="O4" i="2"/>
  <c r="O14" i="2" s="1"/>
  <c r="P3" i="2"/>
  <c r="O3" i="2"/>
  <c r="O13" i="2" s="1"/>
  <c r="Q18" i="2"/>
  <c r="Q17" i="2"/>
  <c r="Q16" i="2"/>
  <c r="Q13" i="2"/>
  <c r="P20" i="2"/>
  <c r="P19" i="2"/>
  <c r="P18" i="2"/>
  <c r="P17" i="2"/>
  <c r="P16" i="2"/>
  <c r="P13" i="2"/>
  <c r="O19" i="2"/>
  <c r="O18" i="2"/>
  <c r="O16" i="2"/>
  <c r="B65" i="2"/>
  <c r="K74" i="2"/>
  <c r="K73" i="2"/>
  <c r="K72" i="2"/>
  <c r="K71" i="2"/>
  <c r="K70" i="2"/>
  <c r="K69" i="2"/>
  <c r="K68" i="2"/>
  <c r="K67" i="2"/>
  <c r="J74" i="2"/>
  <c r="J73" i="2"/>
  <c r="J72" i="2"/>
  <c r="J71" i="2"/>
  <c r="J70" i="2"/>
  <c r="J69" i="2"/>
  <c r="J68" i="2"/>
  <c r="J67" i="2"/>
  <c r="I74" i="2"/>
  <c r="I73" i="2"/>
  <c r="I72" i="2"/>
  <c r="I71" i="2"/>
  <c r="I70" i="2"/>
  <c r="I69" i="2"/>
  <c r="I68" i="2"/>
  <c r="I67" i="2"/>
  <c r="C81" i="2"/>
  <c r="F84" i="2" s="1"/>
  <c r="D63" i="2"/>
  <c r="D62" i="2"/>
  <c r="D61" i="2"/>
  <c r="D60" i="2"/>
  <c r="D59" i="2"/>
  <c r="D58" i="2"/>
  <c r="D57" i="2"/>
  <c r="D56" i="2"/>
  <c r="F75" i="2"/>
  <c r="E75" i="2"/>
  <c r="C44" i="2"/>
  <c r="E40" i="2"/>
  <c r="E39" i="2"/>
  <c r="E38" i="2"/>
  <c r="E37" i="2"/>
  <c r="E36" i="2"/>
  <c r="E35" i="2"/>
  <c r="E34" i="2"/>
  <c r="F34" i="2" s="1"/>
  <c r="E33" i="2"/>
  <c r="H31" i="2"/>
  <c r="H34" i="2" s="1"/>
  <c r="H35" i="2" s="1"/>
  <c r="I10" i="2"/>
  <c r="I20" i="2" s="1"/>
  <c r="I9" i="2"/>
  <c r="I19" i="2" s="1"/>
  <c r="I8" i="2"/>
  <c r="I18" i="2" s="1"/>
  <c r="I7" i="2"/>
  <c r="I17" i="2" s="1"/>
  <c r="I6" i="2"/>
  <c r="I16" i="2" s="1"/>
  <c r="I5" i="2"/>
  <c r="I15" i="2" s="1"/>
  <c r="I4" i="2"/>
  <c r="I14" i="2" s="1"/>
  <c r="I3" i="2"/>
  <c r="I13" i="2" s="1"/>
  <c r="G3" i="2"/>
  <c r="G13" i="2" s="1"/>
  <c r="H3" i="2"/>
  <c r="H13" i="2" s="1"/>
  <c r="G4" i="2"/>
  <c r="G14" i="2" s="1"/>
  <c r="H4" i="2"/>
  <c r="H14" i="2" s="1"/>
  <c r="G5" i="2"/>
  <c r="G15" i="2" s="1"/>
  <c r="H5" i="2"/>
  <c r="H15" i="2" s="1"/>
  <c r="G6" i="2"/>
  <c r="G16" i="2" s="1"/>
  <c r="H6" i="2"/>
  <c r="H16" i="2" s="1"/>
  <c r="G7" i="2"/>
  <c r="G17" i="2" s="1"/>
  <c r="H7" i="2"/>
  <c r="H17" i="2" s="1"/>
  <c r="G8" i="2"/>
  <c r="G18" i="2" s="1"/>
  <c r="H8" i="2"/>
  <c r="H18" i="2" s="1"/>
  <c r="G9" i="2"/>
  <c r="G19" i="2" s="1"/>
  <c r="H9" i="2"/>
  <c r="H19" i="2" s="1"/>
  <c r="G10" i="2"/>
  <c r="G20" i="2" s="1"/>
  <c r="H10" i="2"/>
  <c r="H20" i="2" s="1"/>
  <c r="S20" i="2" l="1"/>
  <c r="S14" i="2"/>
  <c r="S15" i="2"/>
  <c r="S16" i="2"/>
  <c r="S17" i="2"/>
  <c r="S18" i="2"/>
  <c r="S19" i="2"/>
  <c r="T19" i="2" s="1"/>
  <c r="K75" i="2"/>
  <c r="I75" i="2"/>
  <c r="J75" i="2"/>
  <c r="F85" i="2"/>
  <c r="C82" i="2"/>
  <c r="F35" i="2"/>
  <c r="F36" i="2" s="1"/>
  <c r="F37" i="2" s="1"/>
  <c r="F38" i="2" s="1"/>
  <c r="F39" i="2" s="1"/>
  <c r="F40" i="2" s="1"/>
  <c r="C83" i="2"/>
  <c r="F80" i="2"/>
  <c r="F81" i="2"/>
  <c r="F82" i="2"/>
  <c r="F83" i="2"/>
  <c r="G75" i="2"/>
  <c r="H32" i="2"/>
  <c r="H33" i="2" s="1"/>
  <c r="C45" i="2"/>
  <c r="C46" i="2"/>
  <c r="I21" i="2"/>
  <c r="H21" i="2"/>
  <c r="G21" i="2"/>
  <c r="T18" i="2" l="1"/>
  <c r="T17" i="2"/>
  <c r="T16" i="2"/>
  <c r="T15" i="2"/>
  <c r="T14" i="2"/>
  <c r="T13" i="2"/>
  <c r="T20" i="2"/>
  <c r="G82" i="2"/>
  <c r="G81" i="2"/>
  <c r="G80" i="2"/>
  <c r="G79" i="2"/>
  <c r="G86" i="2"/>
  <c r="G85" i="2"/>
  <c r="G83" i="2"/>
  <c r="G84" i="2"/>
  <c r="D46" i="2"/>
  <c r="D45" i="2"/>
  <c r="C47" i="2"/>
  <c r="D47" i="2" l="1"/>
  <c r="C48" i="2"/>
  <c r="D48" i="2" l="1"/>
  <c r="C49" i="2"/>
  <c r="D49" i="2" l="1"/>
  <c r="C50" i="2"/>
  <c r="D50" i="2" l="1"/>
  <c r="C51" i="2"/>
  <c r="D51" i="2" s="1"/>
</calcChain>
</file>

<file path=xl/sharedStrings.xml><?xml version="1.0" encoding="utf-8"?>
<sst xmlns="http://schemas.openxmlformats.org/spreadsheetml/2006/main" count="190" uniqueCount="63">
  <si>
    <t>Random Forest</t>
  </si>
  <si>
    <t>Boosting</t>
  </si>
  <si>
    <t>Tree Type</t>
  </si>
  <si>
    <t>Training</t>
  </si>
  <si>
    <t>Performed in Parallel for all the trees</t>
  </si>
  <si>
    <t>Data Sampling</t>
  </si>
  <si>
    <t xml:space="preserve">Bagging used to sample the data, by selecting certain number of data points being extracted with replacement.
Meaning, some of the data-points will be sampled multiple times and some of them will not be sampled at all. </t>
  </si>
  <si>
    <t>Trees (stubs) are sequentially trained, basis the error of previous tree</t>
  </si>
  <si>
    <r>
      <t xml:space="preserve">For each of the subsequent stumps (small trees) the data which has higher errors are given highter weightage, which essentially means at each iteration data-points which get mis-classifed will be again sampled. Meaning the sampling is not actually random.
</t>
    </r>
    <r>
      <rPr>
        <i/>
        <sz val="16"/>
        <color theme="1"/>
        <rFont val="Arial"/>
        <family val="2"/>
      </rPr>
      <t>Note: Above is true for Adaboost</t>
    </r>
  </si>
  <si>
    <t>Complete Tree created by each sub-model
Generally done for all the variables (individual sub-trees might use specific set of features)</t>
  </si>
  <si>
    <t>Partial tree generally one decision point (stub) created by each model.
Stubs are typically trees with one node and two leaves. Generally done for one feature at a time.</t>
  </si>
  <si>
    <t>Tree Weights</t>
  </si>
  <si>
    <t>Each tree is given an equal weight, meaning each tree has equal say in the decision making</t>
  </si>
  <si>
    <t>First stub is the given the highest weightage and each subsequent stub is given lower weightage than previous. (again in case of Adaboost)</t>
  </si>
  <si>
    <t>Learners</t>
  </si>
  <si>
    <t>Combination of "weak" learners in serial</t>
  </si>
  <si>
    <t>Combination of "complete/ strong" learners in parallel</t>
  </si>
  <si>
    <t>Bias v/s Variance</t>
  </si>
  <si>
    <t>Random forest aims at minimizing Variance and not Bias</t>
  </si>
  <si>
    <t>Boosing aims at minimizing Bias and not variance</t>
  </si>
  <si>
    <t>Classification Accuracy</t>
  </si>
  <si>
    <t>Low</t>
  </si>
  <si>
    <t>High</t>
  </si>
  <si>
    <t>Chest Pain</t>
  </si>
  <si>
    <t>Blocked Arteries</t>
  </si>
  <si>
    <t>Patient Weight</t>
  </si>
  <si>
    <t>Heart Disease</t>
  </si>
  <si>
    <t>Yes</t>
  </si>
  <si>
    <t>No</t>
  </si>
  <si>
    <t>Weight</t>
  </si>
  <si>
    <t>Step 1</t>
  </si>
  <si>
    <t>1/8</t>
  </si>
  <si>
    <t>Chest Pain Classification</t>
  </si>
  <si>
    <t>Blocked Arteries Classification</t>
  </si>
  <si>
    <t>Chest Pain Classification
Accuracy</t>
  </si>
  <si>
    <t>Blocked Arteries Classification Accuracy</t>
  </si>
  <si>
    <t>Weight Classification
Accuracy</t>
  </si>
  <si>
    <t>Weight Classification (176)</t>
  </si>
  <si>
    <t>Classification</t>
  </si>
  <si>
    <t>Correct</t>
  </si>
  <si>
    <t>Incorrect</t>
  </si>
  <si>
    <t>Revised Weight</t>
  </si>
  <si>
    <t>Normalized Weight</t>
  </si>
  <si>
    <t>Step 2</t>
  </si>
  <si>
    <t>Cumulative Weight</t>
  </si>
  <si>
    <t>0 - 0.07</t>
  </si>
  <si>
    <t>Range</t>
  </si>
  <si>
    <t>Classification Accuracy (CP)</t>
  </si>
  <si>
    <t>Classification Accuracy (BA)</t>
  </si>
  <si>
    <t>Classification Accuracy (Weight&gt; 166)</t>
  </si>
  <si>
    <t>Step 3</t>
  </si>
  <si>
    <t>Original Weight</t>
  </si>
  <si>
    <t>New Weight</t>
  </si>
  <si>
    <t>Weighed Classification Accuracy (CP)</t>
  </si>
  <si>
    <t>Weighed Classification Accuracy (BA)</t>
  </si>
  <si>
    <t>Weight (1/8)</t>
  </si>
  <si>
    <t>Chest Pain Accuracy</t>
  </si>
  <si>
    <t>Blocked Arteries Accuracy</t>
  </si>
  <si>
    <t>Weight Classification (166)</t>
  </si>
  <si>
    <t>Weight Classification (166) Accuracy</t>
  </si>
  <si>
    <t>Normalized Weight
Last round</t>
  </si>
  <si>
    <t>Total Error</t>
  </si>
  <si>
    <t>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</si>
</sst>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_);_(* \(#,##0.00000\);_(* &quot;-&quot;??_);_(@_)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0"/>
      <name val="Arial"/>
      <family val="2"/>
    </font>
    <font>
      <sz val="14"/>
      <color theme="0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164" fontId="0" fillId="0" borderId="0" xfId="1" applyNumberFormat="1" applyFont="1"/>
    <xf numFmtId="0" fontId="2" fillId="3" borderId="1" xfId="0" applyFont="1" applyFill="1" applyBorder="1" applyAlignment="1">
      <alignment horizontal="center"/>
    </xf>
    <xf numFmtId="2" fontId="2" fillId="0" borderId="1" xfId="0" quotePrefix="1" applyNumberFormat="1" applyFont="1" applyFill="1" applyBorder="1" applyAlignment="1">
      <alignment horizontal="center"/>
    </xf>
    <xf numFmtId="2" fontId="2" fillId="4" borderId="1" xfId="0" quotePrefix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2" fontId="2" fillId="5" borderId="1" xfId="0" quotePrefix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4" fontId="2" fillId="7" borderId="1" xfId="0" applyNumberFormat="1" applyFont="1" applyFill="1" applyBorder="1" applyAlignment="1">
      <alignment horizontal="center"/>
    </xf>
    <xf numFmtId="4" fontId="2" fillId="8" borderId="1" xfId="0" applyNumberFormat="1" applyFont="1" applyFill="1" applyBorder="1" applyAlignment="1">
      <alignment horizontal="center"/>
    </xf>
    <xf numFmtId="4" fontId="0" fillId="0" borderId="0" xfId="0" applyNumberFormat="1"/>
    <xf numFmtId="165" fontId="2" fillId="0" borderId="1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0695-5638-114D-9F86-737464F742E1}">
  <dimension ref="B2:D23"/>
  <sheetViews>
    <sheetView showGridLines="0" workbookViewId="0">
      <selection activeCell="C12" sqref="C12"/>
    </sheetView>
  </sheetViews>
  <sheetFormatPr baseColWidth="10" defaultRowHeight="20" x14ac:dyDescent="0.2"/>
  <cols>
    <col min="1" max="1" width="10.83203125" style="1"/>
    <col min="2" max="2" width="27.1640625" style="1" customWidth="1"/>
    <col min="3" max="4" width="69" style="1" customWidth="1"/>
    <col min="5" max="16384" width="10.83203125" style="1"/>
  </cols>
  <sheetData>
    <row r="2" spans="2:4" ht="31" customHeight="1" x14ac:dyDescent="0.2">
      <c r="C2" s="11" t="s">
        <v>0</v>
      </c>
      <c r="D2" s="11" t="s">
        <v>1</v>
      </c>
    </row>
    <row r="3" spans="2:4" ht="84" x14ac:dyDescent="0.2">
      <c r="B3" s="8" t="s">
        <v>2</v>
      </c>
      <c r="C3" s="5" t="s">
        <v>9</v>
      </c>
      <c r="D3" s="6" t="s">
        <v>10</v>
      </c>
    </row>
    <row r="4" spans="2:4" ht="42" x14ac:dyDescent="0.2">
      <c r="B4" s="8" t="s">
        <v>3</v>
      </c>
      <c r="C4" s="7" t="s">
        <v>4</v>
      </c>
      <c r="D4" s="6" t="s">
        <v>7</v>
      </c>
    </row>
    <row r="5" spans="2:4" ht="126" x14ac:dyDescent="0.2">
      <c r="B5" s="8" t="s">
        <v>5</v>
      </c>
      <c r="C5" s="5" t="s">
        <v>6</v>
      </c>
      <c r="D5" s="9" t="s">
        <v>8</v>
      </c>
    </row>
    <row r="6" spans="2:4" ht="63" x14ac:dyDescent="0.2">
      <c r="B6" s="8" t="s">
        <v>11</v>
      </c>
      <c r="C6" s="5" t="s">
        <v>12</v>
      </c>
      <c r="D6" s="6" t="s">
        <v>13</v>
      </c>
    </row>
    <row r="7" spans="2:4" ht="21" x14ac:dyDescent="0.2">
      <c r="B7" s="8" t="s">
        <v>14</v>
      </c>
      <c r="C7" s="7" t="s">
        <v>16</v>
      </c>
      <c r="D7" s="6" t="s">
        <v>15</v>
      </c>
    </row>
    <row r="8" spans="2:4" ht="21" x14ac:dyDescent="0.2">
      <c r="B8" s="8" t="s">
        <v>17</v>
      </c>
      <c r="C8" s="7" t="s">
        <v>18</v>
      </c>
      <c r="D8" s="6" t="s">
        <v>19</v>
      </c>
    </row>
    <row r="9" spans="2:4" ht="42" x14ac:dyDescent="0.2">
      <c r="B9" s="10" t="s">
        <v>20</v>
      </c>
      <c r="C9" s="7" t="s">
        <v>21</v>
      </c>
      <c r="D9" s="9" t="s">
        <v>22</v>
      </c>
    </row>
    <row r="10" spans="2:4" x14ac:dyDescent="0.2">
      <c r="B10" s="3"/>
      <c r="C10" s="2"/>
      <c r="D10" s="4"/>
    </row>
    <row r="11" spans="2:4" x14ac:dyDescent="0.2">
      <c r="B11" s="3"/>
      <c r="C11" s="2"/>
      <c r="D11" s="4"/>
    </row>
    <row r="12" spans="2:4" x14ac:dyDescent="0.2">
      <c r="B12" s="3"/>
      <c r="C12" s="2"/>
      <c r="D12" s="4"/>
    </row>
    <row r="13" spans="2:4" x14ac:dyDescent="0.2">
      <c r="B13" s="3"/>
      <c r="C13" s="2"/>
      <c r="D13" s="4"/>
    </row>
    <row r="14" spans="2:4" x14ac:dyDescent="0.2">
      <c r="B14" s="3"/>
      <c r="C14" s="2"/>
      <c r="D14" s="4"/>
    </row>
    <row r="15" spans="2:4" x14ac:dyDescent="0.2">
      <c r="B15" s="3"/>
      <c r="C15" s="2"/>
      <c r="D15" s="4"/>
    </row>
    <row r="16" spans="2:4" x14ac:dyDescent="0.2">
      <c r="B16" s="3"/>
      <c r="C16" s="2"/>
      <c r="D16" s="4"/>
    </row>
    <row r="17" spans="2:4" x14ac:dyDescent="0.2">
      <c r="B17" s="3"/>
      <c r="C17" s="2"/>
      <c r="D17" s="4"/>
    </row>
    <row r="18" spans="2:4" x14ac:dyDescent="0.2">
      <c r="B18" s="3"/>
      <c r="C18" s="2"/>
      <c r="D18" s="4"/>
    </row>
    <row r="19" spans="2:4" x14ac:dyDescent="0.2">
      <c r="C19" s="2"/>
      <c r="D19" s="4"/>
    </row>
    <row r="20" spans="2:4" x14ac:dyDescent="0.2">
      <c r="C20" s="2"/>
      <c r="D20" s="4"/>
    </row>
    <row r="21" spans="2:4" x14ac:dyDescent="0.2">
      <c r="C21" s="2"/>
      <c r="D21" s="4"/>
    </row>
    <row r="22" spans="2:4" x14ac:dyDescent="0.2">
      <c r="C22" s="2"/>
      <c r="D22" s="4"/>
    </row>
    <row r="23" spans="2:4" x14ac:dyDescent="0.2">
      <c r="D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2DE5-7666-1146-9198-FBB04080A70A}">
  <dimension ref="B2:T86"/>
  <sheetViews>
    <sheetView showGridLines="0" tabSelected="1" topLeftCell="K6" zoomScale="120" zoomScaleNormal="120" workbookViewId="0">
      <selection activeCell="R24" sqref="R24"/>
    </sheetView>
  </sheetViews>
  <sheetFormatPr baseColWidth="10" defaultColWidth="21.6640625" defaultRowHeight="16" x14ac:dyDescent="0.2"/>
  <cols>
    <col min="7" max="7" width="23.83203125" customWidth="1"/>
    <col min="8" max="8" width="27.6640625" bestFit="1" customWidth="1"/>
    <col min="9" max="9" width="26.83203125" customWidth="1"/>
  </cols>
  <sheetData>
    <row r="2" spans="3:20" ht="38" x14ac:dyDescent="0.2">
      <c r="C2" s="15" t="s">
        <v>23</v>
      </c>
      <c r="D2" s="15" t="s">
        <v>24</v>
      </c>
      <c r="E2" s="15" t="s">
        <v>25</v>
      </c>
      <c r="F2" s="15" t="s">
        <v>26</v>
      </c>
      <c r="G2" s="16" t="s">
        <v>32</v>
      </c>
      <c r="H2" s="14" t="s">
        <v>33</v>
      </c>
      <c r="I2" s="14" t="s">
        <v>37</v>
      </c>
      <c r="K2" s="15" t="s">
        <v>23</v>
      </c>
      <c r="L2" s="15" t="s">
        <v>24</v>
      </c>
      <c r="M2" s="15" t="s">
        <v>25</v>
      </c>
      <c r="N2" s="15" t="s">
        <v>26</v>
      </c>
      <c r="O2" s="17" t="s">
        <v>32</v>
      </c>
      <c r="P2" s="14" t="s">
        <v>33</v>
      </c>
      <c r="Q2" s="14" t="s">
        <v>58</v>
      </c>
      <c r="R2" s="14" t="s">
        <v>42</v>
      </c>
    </row>
    <row r="3" spans="3:20" ht="18" x14ac:dyDescent="0.2">
      <c r="C3" s="12" t="s">
        <v>27</v>
      </c>
      <c r="D3" s="12" t="s">
        <v>27</v>
      </c>
      <c r="E3" s="12">
        <v>205</v>
      </c>
      <c r="F3" s="12" t="s">
        <v>27</v>
      </c>
      <c r="G3" s="12" t="str">
        <f>IF(C3="Yes","Yes","No")</f>
        <v>Yes</v>
      </c>
      <c r="H3" s="12" t="str">
        <f>IF(D3="Yes","Yes","No")</f>
        <v>Yes</v>
      </c>
      <c r="I3" s="12" t="str">
        <f>IF(E3&gt;=176,"Yes","No")</f>
        <v>Yes</v>
      </c>
      <c r="K3" s="34" t="s">
        <v>27</v>
      </c>
      <c r="L3" s="34" t="s">
        <v>27</v>
      </c>
      <c r="M3" s="34">
        <v>172</v>
      </c>
      <c r="N3" s="34" t="s">
        <v>28</v>
      </c>
      <c r="O3" s="34" t="str">
        <f t="shared" ref="O3:O10" si="0">IF(K3="Yes","Yes","No")</f>
        <v>Yes</v>
      </c>
      <c r="P3" s="34" t="str">
        <f t="shared" ref="P3:P10" si="1">IF(L3="Yes","Yes","No")</f>
        <v>Yes</v>
      </c>
      <c r="Q3" s="34" t="str">
        <f>IF(M3&gt;166,"Yes","No")</f>
        <v>Yes</v>
      </c>
      <c r="R3" s="37">
        <v>3.8044397207662034E-2</v>
      </c>
      <c r="S3" s="37">
        <f>0.5*EXP($O$24)*R3</f>
        <v>2.427604338096374E-2</v>
      </c>
    </row>
    <row r="4" spans="3:20" ht="18" x14ac:dyDescent="0.2">
      <c r="C4" s="12" t="s">
        <v>28</v>
      </c>
      <c r="D4" s="12" t="s">
        <v>27</v>
      </c>
      <c r="E4" s="12">
        <v>180</v>
      </c>
      <c r="F4" s="12" t="s">
        <v>27</v>
      </c>
      <c r="G4" s="12" t="str">
        <f t="shared" ref="G4:G10" si="2">IF(C4="Yes","Yes","No")</f>
        <v>No</v>
      </c>
      <c r="H4" s="12" t="str">
        <f t="shared" ref="H4:H10" si="3">IF(D4="Yes","Yes","No")</f>
        <v>Yes</v>
      </c>
      <c r="I4" s="12" t="str">
        <f t="shared" ref="I4:I10" si="4">IF(E4&gt;=176,"Yes","No")</f>
        <v>Yes</v>
      </c>
      <c r="K4" s="34" t="s">
        <v>27</v>
      </c>
      <c r="L4" s="34" t="s">
        <v>27</v>
      </c>
      <c r="M4" s="34">
        <v>172</v>
      </c>
      <c r="N4" s="34" t="s">
        <v>28</v>
      </c>
      <c r="O4" s="34" t="str">
        <f t="shared" si="0"/>
        <v>Yes</v>
      </c>
      <c r="P4" s="34" t="str">
        <f t="shared" si="1"/>
        <v>Yes</v>
      </c>
      <c r="Q4" s="34" t="str">
        <f t="shared" ref="Q4:Q10" si="5">IF(M4&gt;166,"Yes","No")</f>
        <v>Yes</v>
      </c>
      <c r="R4" s="37">
        <v>3.8044397207662034E-2</v>
      </c>
      <c r="S4" s="37">
        <f t="shared" ref="S4:S6" si="6">0.5*EXP($O$24)*R4</f>
        <v>2.427604338096374E-2</v>
      </c>
    </row>
    <row r="5" spans="3:20" ht="18" x14ac:dyDescent="0.2">
      <c r="C5" s="12" t="s">
        <v>27</v>
      </c>
      <c r="D5" s="12" t="s">
        <v>28</v>
      </c>
      <c r="E5" s="12">
        <v>210</v>
      </c>
      <c r="F5" s="12" t="s">
        <v>27</v>
      </c>
      <c r="G5" s="12" t="str">
        <f t="shared" si="2"/>
        <v>Yes</v>
      </c>
      <c r="H5" s="12" t="str">
        <f t="shared" si="3"/>
        <v>No</v>
      </c>
      <c r="I5" s="12" t="str">
        <f t="shared" si="4"/>
        <v>Yes</v>
      </c>
      <c r="K5" s="34" t="s">
        <v>27</v>
      </c>
      <c r="L5" s="34" t="s">
        <v>27</v>
      </c>
      <c r="M5" s="34">
        <v>172</v>
      </c>
      <c r="N5" s="34" t="s">
        <v>28</v>
      </c>
      <c r="O5" s="34" t="str">
        <f t="shared" si="0"/>
        <v>Yes</v>
      </c>
      <c r="P5" s="34" t="str">
        <f t="shared" si="1"/>
        <v>Yes</v>
      </c>
      <c r="Q5" s="34" t="str">
        <f t="shared" si="5"/>
        <v>Yes</v>
      </c>
      <c r="R5" s="37">
        <v>3.8044397207662034E-2</v>
      </c>
      <c r="S5" s="37">
        <f t="shared" si="6"/>
        <v>2.427604338096374E-2</v>
      </c>
    </row>
    <row r="6" spans="3:20" ht="18" x14ac:dyDescent="0.2">
      <c r="C6" s="12" t="s">
        <v>27</v>
      </c>
      <c r="D6" s="12" t="s">
        <v>27</v>
      </c>
      <c r="E6" s="12">
        <v>167</v>
      </c>
      <c r="F6" s="12" t="s">
        <v>27</v>
      </c>
      <c r="G6" s="12" t="str">
        <f t="shared" si="2"/>
        <v>Yes</v>
      </c>
      <c r="H6" s="12" t="str">
        <f t="shared" si="3"/>
        <v>Yes</v>
      </c>
      <c r="I6" s="12" t="str">
        <f t="shared" si="4"/>
        <v>No</v>
      </c>
      <c r="K6" s="34" t="s">
        <v>27</v>
      </c>
      <c r="L6" s="34" t="s">
        <v>27</v>
      </c>
      <c r="M6" s="34">
        <v>172</v>
      </c>
      <c r="N6" s="34" t="s">
        <v>28</v>
      </c>
      <c r="O6" s="34" t="str">
        <f t="shared" si="0"/>
        <v>Yes</v>
      </c>
      <c r="P6" s="34" t="str">
        <f t="shared" si="1"/>
        <v>Yes</v>
      </c>
      <c r="Q6" s="34" t="str">
        <f t="shared" si="5"/>
        <v>Yes</v>
      </c>
      <c r="R6" s="37">
        <v>0.26628662528080399</v>
      </c>
      <c r="S6" s="37">
        <f t="shared" si="6"/>
        <v>0.1699168903058694</v>
      </c>
    </row>
    <row r="7" spans="3:20" ht="18" x14ac:dyDescent="0.2">
      <c r="C7" s="12" t="s">
        <v>28</v>
      </c>
      <c r="D7" s="12" t="s">
        <v>27</v>
      </c>
      <c r="E7" s="12">
        <v>156</v>
      </c>
      <c r="F7" s="12" t="s">
        <v>28</v>
      </c>
      <c r="G7" s="12" t="str">
        <f t="shared" si="2"/>
        <v>No</v>
      </c>
      <c r="H7" s="12" t="str">
        <f t="shared" si="3"/>
        <v>Yes</v>
      </c>
      <c r="I7" s="12" t="str">
        <f t="shared" si="4"/>
        <v>No</v>
      </c>
      <c r="K7" s="35" t="s">
        <v>27</v>
      </c>
      <c r="L7" s="35" t="s">
        <v>27</v>
      </c>
      <c r="M7" s="35">
        <v>167</v>
      </c>
      <c r="N7" s="35" t="s">
        <v>27</v>
      </c>
      <c r="O7" s="35" t="str">
        <f t="shared" si="0"/>
        <v>Yes</v>
      </c>
      <c r="P7" s="35" t="str">
        <f t="shared" si="1"/>
        <v>Yes</v>
      </c>
      <c r="Q7" s="35" t="str">
        <f t="shared" si="5"/>
        <v>Yes</v>
      </c>
      <c r="R7" s="38">
        <v>3.8044397207662034E-2</v>
      </c>
      <c r="S7" s="38">
        <f>0.5*EXP(-$O$24)*R7</f>
        <v>1.490539599246777E-2</v>
      </c>
    </row>
    <row r="8" spans="3:20" ht="18" x14ac:dyDescent="0.2">
      <c r="C8" s="12" t="s">
        <v>28</v>
      </c>
      <c r="D8" s="12" t="s">
        <v>27</v>
      </c>
      <c r="E8" s="12">
        <v>125</v>
      </c>
      <c r="F8" s="12" t="s">
        <v>28</v>
      </c>
      <c r="G8" s="12" t="str">
        <f t="shared" si="2"/>
        <v>No</v>
      </c>
      <c r="H8" s="12" t="str">
        <f t="shared" si="3"/>
        <v>Yes</v>
      </c>
      <c r="I8" s="12" t="str">
        <f t="shared" si="4"/>
        <v>No</v>
      </c>
      <c r="K8" s="35" t="s">
        <v>27</v>
      </c>
      <c r="L8" s="35" t="s">
        <v>27</v>
      </c>
      <c r="M8" s="35">
        <v>167</v>
      </c>
      <c r="N8" s="35" t="s">
        <v>27</v>
      </c>
      <c r="O8" s="35" t="str">
        <f t="shared" si="0"/>
        <v>Yes</v>
      </c>
      <c r="P8" s="35" t="str">
        <f t="shared" si="1"/>
        <v>Yes</v>
      </c>
      <c r="Q8" s="35" t="str">
        <f t="shared" si="5"/>
        <v>Yes</v>
      </c>
      <c r="R8" s="38">
        <v>3.8044397207662034E-2</v>
      </c>
      <c r="S8" s="38">
        <f t="shared" ref="S8:S10" si="7">0.5*EXP(-$O$24)*R8</f>
        <v>1.490539599246777E-2</v>
      </c>
    </row>
    <row r="9" spans="3:20" ht="18" x14ac:dyDescent="0.2">
      <c r="C9" s="12" t="s">
        <v>27</v>
      </c>
      <c r="D9" s="12" t="s">
        <v>28</v>
      </c>
      <c r="E9" s="12">
        <v>168</v>
      </c>
      <c r="F9" s="12" t="s">
        <v>28</v>
      </c>
      <c r="G9" s="12" t="str">
        <f t="shared" si="2"/>
        <v>Yes</v>
      </c>
      <c r="H9" s="12" t="str">
        <f t="shared" si="3"/>
        <v>No</v>
      </c>
      <c r="I9" s="12" t="str">
        <f t="shared" si="4"/>
        <v>No</v>
      </c>
      <c r="K9" s="35" t="s">
        <v>27</v>
      </c>
      <c r="L9" s="35" t="s">
        <v>27</v>
      </c>
      <c r="M9" s="35">
        <v>167</v>
      </c>
      <c r="N9" s="35" t="s">
        <v>27</v>
      </c>
      <c r="O9" s="35" t="str">
        <f t="shared" si="0"/>
        <v>Yes</v>
      </c>
      <c r="P9" s="35" t="str">
        <f t="shared" si="1"/>
        <v>Yes</v>
      </c>
      <c r="Q9" s="35" t="str">
        <f>IF(M9&gt;166,"Yes","No")</f>
        <v>Yes</v>
      </c>
      <c r="R9" s="38">
        <v>3.8044397207662034E-2</v>
      </c>
      <c r="S9" s="38">
        <f t="shared" si="7"/>
        <v>1.490539599246777E-2</v>
      </c>
    </row>
    <row r="10" spans="3:20" ht="18" x14ac:dyDescent="0.2">
      <c r="C10" s="12" t="s">
        <v>27</v>
      </c>
      <c r="D10" s="12" t="s">
        <v>27</v>
      </c>
      <c r="E10" s="12">
        <v>172</v>
      </c>
      <c r="F10" s="12" t="s">
        <v>28</v>
      </c>
      <c r="G10" s="12" t="str">
        <f t="shared" si="2"/>
        <v>Yes</v>
      </c>
      <c r="H10" s="12" t="str">
        <f t="shared" si="3"/>
        <v>Yes</v>
      </c>
      <c r="I10" s="12" t="str">
        <f t="shared" si="4"/>
        <v>No</v>
      </c>
      <c r="K10" s="36" t="s">
        <v>27</v>
      </c>
      <c r="L10" s="36" t="s">
        <v>28</v>
      </c>
      <c r="M10" s="36">
        <v>168</v>
      </c>
      <c r="N10" s="36" t="s">
        <v>28</v>
      </c>
      <c r="O10" s="36" t="str">
        <f t="shared" si="0"/>
        <v>Yes</v>
      </c>
      <c r="P10" s="36" t="str">
        <f t="shared" si="1"/>
        <v>No</v>
      </c>
      <c r="Q10" s="36" t="str">
        <f t="shared" si="5"/>
        <v>Yes</v>
      </c>
      <c r="R10" s="39">
        <v>0.50544699147322392</v>
      </c>
      <c r="S10" s="39">
        <f t="shared" si="7"/>
        <v>0.19802883247135741</v>
      </c>
    </row>
    <row r="12" spans="3:20" ht="57" x14ac:dyDescent="0.2">
      <c r="G12" s="17" t="s">
        <v>34</v>
      </c>
      <c r="H12" s="14" t="s">
        <v>35</v>
      </c>
      <c r="I12" s="14" t="s">
        <v>36</v>
      </c>
      <c r="O12" s="17" t="s">
        <v>56</v>
      </c>
      <c r="P12" s="17" t="s">
        <v>57</v>
      </c>
      <c r="Q12" s="14" t="s">
        <v>59</v>
      </c>
      <c r="R12" s="24" t="s">
        <v>60</v>
      </c>
      <c r="S12" s="24" t="s">
        <v>52</v>
      </c>
      <c r="T12" s="24" t="s">
        <v>42</v>
      </c>
    </row>
    <row r="13" spans="3:20" ht="18" x14ac:dyDescent="0.2">
      <c r="G13" s="12">
        <f t="shared" ref="G13:G20" si="8">IF(G3=F3,1,0)</f>
        <v>1</v>
      </c>
      <c r="H13" s="12">
        <f t="shared" ref="H13:H20" si="9">IF(H3=F3,1,0)</f>
        <v>1</v>
      </c>
      <c r="I13" s="12">
        <f>IF(I3=F3,1,0)</f>
        <v>1</v>
      </c>
      <c r="O13" s="34">
        <f>IF($N3=O3,1,0)</f>
        <v>0</v>
      </c>
      <c r="P13" s="34">
        <f>IF($N3=P3,1,0)</f>
        <v>0</v>
      </c>
      <c r="Q13" s="34">
        <f>IF($N3=Q3,1,0)</f>
        <v>0</v>
      </c>
      <c r="R13" s="33">
        <v>3.8044397207662034E-2</v>
      </c>
      <c r="S13" s="33">
        <f>R13*EXP($R$24)</f>
        <v>4.8552086761927481E-2</v>
      </c>
      <c r="T13" s="33">
        <f>S13/SUM($S$13:$S$20)</f>
        <v>5.0003174804749494E-2</v>
      </c>
    </row>
    <row r="14" spans="3:20" ht="18" x14ac:dyDescent="0.2">
      <c r="G14" s="12">
        <f t="shared" si="8"/>
        <v>0</v>
      </c>
      <c r="H14" s="12">
        <f t="shared" si="9"/>
        <v>1</v>
      </c>
      <c r="I14" s="12">
        <f t="shared" ref="I14:I20" si="10">IF(I4=F4,1,0)</f>
        <v>1</v>
      </c>
      <c r="O14" s="34">
        <f t="shared" ref="O14:P20" si="11">IF($N4=O4,1,0)</f>
        <v>0</v>
      </c>
      <c r="P14" s="34">
        <f t="shared" si="11"/>
        <v>0</v>
      </c>
      <c r="Q14" s="34">
        <f t="shared" ref="Q14" si="12">IF($N4=Q4,1,0)</f>
        <v>0</v>
      </c>
      <c r="R14" s="33">
        <v>3.8044397207662034E-2</v>
      </c>
      <c r="S14" s="33">
        <f>R14*EXP($R$24)</f>
        <v>4.8552086761927481E-2</v>
      </c>
      <c r="T14" s="33">
        <f t="shared" ref="T14:T20" si="13">S14/SUM($S$13:$S$20)</f>
        <v>5.0003174804749494E-2</v>
      </c>
    </row>
    <row r="15" spans="3:20" ht="18" x14ac:dyDescent="0.2">
      <c r="G15" s="12">
        <f t="shared" si="8"/>
        <v>1</v>
      </c>
      <c r="H15" s="12">
        <f t="shared" si="9"/>
        <v>0</v>
      </c>
      <c r="I15" s="12">
        <f t="shared" si="10"/>
        <v>1</v>
      </c>
      <c r="O15" s="34">
        <f t="shared" si="11"/>
        <v>0</v>
      </c>
      <c r="P15" s="34">
        <f t="shared" si="11"/>
        <v>0</v>
      </c>
      <c r="Q15" s="34">
        <f t="shared" ref="Q15" si="14">IF($N5=Q5,1,0)</f>
        <v>0</v>
      </c>
      <c r="R15" s="33">
        <v>3.8044397207662034E-2</v>
      </c>
      <c r="S15" s="33">
        <f>R15*EXP($R$24)</f>
        <v>4.8552086761927481E-2</v>
      </c>
      <c r="T15" s="33">
        <f t="shared" si="13"/>
        <v>5.0003174804749494E-2</v>
      </c>
    </row>
    <row r="16" spans="3:20" ht="18" x14ac:dyDescent="0.2">
      <c r="G16" s="12">
        <f t="shared" si="8"/>
        <v>1</v>
      </c>
      <c r="H16" s="12">
        <f t="shared" si="9"/>
        <v>1</v>
      </c>
      <c r="I16" s="12">
        <f t="shared" si="10"/>
        <v>0</v>
      </c>
      <c r="O16" s="34">
        <f t="shared" si="11"/>
        <v>0</v>
      </c>
      <c r="P16" s="34">
        <f t="shared" si="11"/>
        <v>0</v>
      </c>
      <c r="Q16" s="34">
        <f t="shared" ref="Q16" si="15">IF($N6=Q6,1,0)</f>
        <v>0</v>
      </c>
      <c r="R16" s="33">
        <v>0.26628662528080399</v>
      </c>
      <c r="S16" s="33">
        <f>R16*EXP($R$24)</f>
        <v>0.3398337806117388</v>
      </c>
      <c r="T16" s="33">
        <f t="shared" si="13"/>
        <v>0.34999047558575141</v>
      </c>
    </row>
    <row r="17" spans="2:20" ht="18" x14ac:dyDescent="0.2">
      <c r="G17" s="12">
        <f t="shared" si="8"/>
        <v>1</v>
      </c>
      <c r="H17" s="12">
        <f t="shared" si="9"/>
        <v>0</v>
      </c>
      <c r="I17" s="12">
        <f t="shared" si="10"/>
        <v>1</v>
      </c>
      <c r="O17" s="35">
        <f t="shared" si="11"/>
        <v>1</v>
      </c>
      <c r="P17" s="35">
        <f t="shared" si="11"/>
        <v>1</v>
      </c>
      <c r="Q17" s="35">
        <f t="shared" ref="Q17" si="16">IF($N7=Q7,1,0)</f>
        <v>1</v>
      </c>
      <c r="R17" s="21">
        <v>3.8044397207662034E-2</v>
      </c>
      <c r="S17" s="21">
        <f>R17*EXP(-$R$24)</f>
        <v>2.9810791984935539E-2</v>
      </c>
      <c r="T17" s="21">
        <f t="shared" si="13"/>
        <v>3.0701754385964931E-2</v>
      </c>
    </row>
    <row r="18" spans="2:20" ht="18" x14ac:dyDescent="0.2">
      <c r="G18" s="12">
        <f t="shared" si="8"/>
        <v>1</v>
      </c>
      <c r="H18" s="12">
        <f t="shared" si="9"/>
        <v>0</v>
      </c>
      <c r="I18" s="12">
        <f t="shared" si="10"/>
        <v>1</v>
      </c>
      <c r="O18" s="35">
        <f t="shared" si="11"/>
        <v>1</v>
      </c>
      <c r="P18" s="35">
        <f t="shared" si="11"/>
        <v>1</v>
      </c>
      <c r="Q18" s="35">
        <f t="shared" ref="Q18" si="17">IF($N8=Q8,1,0)</f>
        <v>1</v>
      </c>
      <c r="R18" s="21">
        <v>3.8044397207662034E-2</v>
      </c>
      <c r="S18" s="21">
        <f>R18*EXP(-$R$24)</f>
        <v>2.9810791984935539E-2</v>
      </c>
      <c r="T18" s="21">
        <f t="shared" si="13"/>
        <v>3.0701754385964931E-2</v>
      </c>
    </row>
    <row r="19" spans="2:20" ht="18" x14ac:dyDescent="0.2">
      <c r="G19" s="12">
        <f t="shared" si="8"/>
        <v>0</v>
      </c>
      <c r="H19" s="12">
        <f t="shared" si="9"/>
        <v>1</v>
      </c>
      <c r="I19" s="12">
        <f t="shared" si="10"/>
        <v>1</v>
      </c>
      <c r="O19" s="35">
        <f t="shared" si="11"/>
        <v>1</v>
      </c>
      <c r="P19" s="35">
        <f t="shared" si="11"/>
        <v>1</v>
      </c>
      <c r="Q19" s="35">
        <f t="shared" ref="Q19" si="18">IF($N9=Q9,1,0)</f>
        <v>1</v>
      </c>
      <c r="R19" s="21">
        <v>3.8044397207662034E-2</v>
      </c>
      <c r="S19" s="21">
        <f>R19*EXP(-$R$24)</f>
        <v>2.9810791984935539E-2</v>
      </c>
      <c r="T19" s="21">
        <f t="shared" si="13"/>
        <v>3.0701754385964931E-2</v>
      </c>
    </row>
    <row r="20" spans="2:20" ht="18" x14ac:dyDescent="0.2">
      <c r="G20" s="12">
        <f t="shared" si="8"/>
        <v>0</v>
      </c>
      <c r="H20" s="12">
        <f t="shared" si="9"/>
        <v>0</v>
      </c>
      <c r="I20" s="12">
        <f t="shared" si="10"/>
        <v>1</v>
      </c>
      <c r="O20" s="36">
        <f t="shared" si="11"/>
        <v>0</v>
      </c>
      <c r="P20" s="36">
        <f t="shared" si="11"/>
        <v>1</v>
      </c>
      <c r="Q20" s="36">
        <f t="shared" ref="Q20" si="19">IF($N10=Q10,1,0)</f>
        <v>0</v>
      </c>
      <c r="R20" s="22">
        <v>0.50544699147322392</v>
      </c>
      <c r="S20" s="21">
        <f>R20*EXP(-$R$24)</f>
        <v>0.39605766494271483</v>
      </c>
      <c r="T20" s="21">
        <f t="shared" si="13"/>
        <v>0.40789473684210531</v>
      </c>
    </row>
    <row r="21" spans="2:20" ht="18" x14ac:dyDescent="0.2">
      <c r="G21" s="18">
        <f>SUM(G13:G20)</f>
        <v>5</v>
      </c>
      <c r="H21" s="18">
        <f>SUM(H13:H20)</f>
        <v>4</v>
      </c>
      <c r="I21" s="18">
        <f>SUM(I13:I20)</f>
        <v>7</v>
      </c>
      <c r="O21" s="38">
        <f>SUMPRODUCT(O13:O20,$R$3:$R$10)</f>
        <v>0.1141331916229861</v>
      </c>
      <c r="P21" s="38">
        <f>SUMPRODUCT(P13:P20,$R$3:$R$10)</f>
        <v>0.61958018309620999</v>
      </c>
      <c r="Q21" s="38">
        <f>SUMPRODUCT(Q13:Q20,$R$3:$R$10)</f>
        <v>0.1141331916229861</v>
      </c>
    </row>
    <row r="23" spans="2:20" ht="18" x14ac:dyDescent="0.2">
      <c r="Q23" s="38" t="s">
        <v>61</v>
      </c>
      <c r="R23" s="21">
        <f>SUM(R13:R16)</f>
        <v>0.38041981690379012</v>
      </c>
    </row>
    <row r="24" spans="2:20" ht="18" x14ac:dyDescent="0.2">
      <c r="O24">
        <f>(1/2)*LOG((1-SUM(R3:R6))/SUM(R3:R6),EXP(1))</f>
        <v>0.24388335021216712</v>
      </c>
      <c r="Q24" s="38" t="s">
        <v>62</v>
      </c>
      <c r="R24" s="41">
        <f>0.5*LN((1-R23)/R23)</f>
        <v>0.24388335021216712</v>
      </c>
    </row>
    <row r="25" spans="2:20" x14ac:dyDescent="0.2">
      <c r="T25">
        <v>0.21</v>
      </c>
    </row>
    <row r="26" spans="2:20" x14ac:dyDescent="0.2">
      <c r="T26" s="40">
        <f>0.5*LN((1-T25)/T25)</f>
        <v>0.66246270737179935</v>
      </c>
    </row>
    <row r="28" spans="2:20" x14ac:dyDescent="0.2">
      <c r="T28">
        <v>7.0999999999999994E-2</v>
      </c>
    </row>
    <row r="29" spans="2:20" x14ac:dyDescent="0.2">
      <c r="T29">
        <f>T28*EXP(T26)</f>
        <v>0.13770897539652927</v>
      </c>
    </row>
    <row r="31" spans="2:20" ht="18" x14ac:dyDescent="0.2">
      <c r="B31" s="26" t="s">
        <v>30</v>
      </c>
      <c r="C31" s="27"/>
      <c r="D31" s="27"/>
      <c r="E31" s="27"/>
      <c r="H31">
        <f>LOG((1-1/8)/(1/8),EXP(1))*1/2</f>
        <v>0.97295507452765662</v>
      </c>
    </row>
    <row r="32" spans="2:20" ht="18" x14ac:dyDescent="0.2">
      <c r="B32" s="20" t="s">
        <v>38</v>
      </c>
      <c r="C32" s="20" t="s">
        <v>29</v>
      </c>
      <c r="D32" s="20" t="s">
        <v>41</v>
      </c>
      <c r="E32" s="20" t="s">
        <v>42</v>
      </c>
      <c r="H32">
        <f>EXP(H31)</f>
        <v>2.6457513110645903</v>
      </c>
    </row>
    <row r="33" spans="2:8" ht="18" x14ac:dyDescent="0.2">
      <c r="B33" s="13" t="s">
        <v>39</v>
      </c>
      <c r="C33" s="13" t="s">
        <v>31</v>
      </c>
      <c r="D33" s="21">
        <v>4.725E-2</v>
      </c>
      <c r="E33" s="21">
        <f>D33/SUM($D$33:$D$40)</f>
        <v>7.1431810966483739E-2</v>
      </c>
      <c r="F33" s="21">
        <v>0</v>
      </c>
      <c r="H33" s="19">
        <f>H32/8</f>
        <v>0.33071891388307378</v>
      </c>
    </row>
    <row r="34" spans="2:8" ht="18" x14ac:dyDescent="0.2">
      <c r="B34" s="13" t="s">
        <v>39</v>
      </c>
      <c r="C34" s="13" t="s">
        <v>31</v>
      </c>
      <c r="D34" s="21">
        <v>4.725E-2</v>
      </c>
      <c r="E34" s="21">
        <f t="shared" ref="E34:E40" si="20">D34/SUM($D$33:$D$40)</f>
        <v>7.1431810966483739E-2</v>
      </c>
      <c r="F34" s="21">
        <f>F33+E34</f>
        <v>7.1431810966483739E-2</v>
      </c>
      <c r="H34">
        <f>EXP(-H31)</f>
        <v>0.37796447300922725</v>
      </c>
    </row>
    <row r="35" spans="2:8" ht="18" x14ac:dyDescent="0.2">
      <c r="B35" s="13" t="s">
        <v>39</v>
      </c>
      <c r="C35" s="13" t="s">
        <v>31</v>
      </c>
      <c r="D35" s="21">
        <v>4.725E-2</v>
      </c>
      <c r="E35" s="21">
        <f t="shared" si="20"/>
        <v>7.1431810966483739E-2</v>
      </c>
      <c r="F35" s="21">
        <f t="shared" ref="F35:F40" si="21">F34+E35</f>
        <v>0.14286362193296748</v>
      </c>
      <c r="H35" s="19">
        <f>H34/8</f>
        <v>4.7245559126153407E-2</v>
      </c>
    </row>
    <row r="36" spans="2:8" ht="18" x14ac:dyDescent="0.2">
      <c r="B36" s="13" t="s">
        <v>40</v>
      </c>
      <c r="C36" s="13" t="s">
        <v>31</v>
      </c>
      <c r="D36" s="21">
        <v>0.33072000000000001</v>
      </c>
      <c r="E36" s="21">
        <f t="shared" si="20"/>
        <v>0.49997732323461386</v>
      </c>
      <c r="F36" s="21">
        <f t="shared" si="21"/>
        <v>0.64284094516758139</v>
      </c>
    </row>
    <row r="37" spans="2:8" ht="18" x14ac:dyDescent="0.2">
      <c r="B37" s="13" t="s">
        <v>39</v>
      </c>
      <c r="C37" s="13" t="s">
        <v>31</v>
      </c>
      <c r="D37" s="21">
        <v>4.725E-2</v>
      </c>
      <c r="E37" s="21">
        <f t="shared" si="20"/>
        <v>7.1431810966483739E-2</v>
      </c>
      <c r="F37" s="21">
        <f t="shared" si="21"/>
        <v>0.71427275613406516</v>
      </c>
    </row>
    <row r="38" spans="2:8" ht="18" x14ac:dyDescent="0.2">
      <c r="B38" s="13" t="s">
        <v>39</v>
      </c>
      <c r="C38" s="13" t="s">
        <v>31</v>
      </c>
      <c r="D38" s="21">
        <v>4.725E-2</v>
      </c>
      <c r="E38" s="21">
        <f t="shared" si="20"/>
        <v>7.1431810966483739E-2</v>
      </c>
      <c r="F38" s="21">
        <f t="shared" si="21"/>
        <v>0.78570456710054892</v>
      </c>
    </row>
    <row r="39" spans="2:8" ht="18" x14ac:dyDescent="0.2">
      <c r="B39" s="13" t="s">
        <v>39</v>
      </c>
      <c r="C39" s="13" t="s">
        <v>31</v>
      </c>
      <c r="D39" s="21">
        <v>4.725E-2</v>
      </c>
      <c r="E39" s="21">
        <f t="shared" si="20"/>
        <v>7.1431810966483739E-2</v>
      </c>
      <c r="F39" s="21">
        <f t="shared" si="21"/>
        <v>0.85713637806703269</v>
      </c>
    </row>
    <row r="40" spans="2:8" ht="18" x14ac:dyDescent="0.2">
      <c r="B40" s="13" t="s">
        <v>39</v>
      </c>
      <c r="C40" s="13" t="s">
        <v>31</v>
      </c>
      <c r="D40" s="21">
        <v>4.725E-2</v>
      </c>
      <c r="E40" s="21">
        <f t="shared" si="20"/>
        <v>7.1431810966483739E-2</v>
      </c>
      <c r="F40" s="21">
        <f t="shared" si="21"/>
        <v>0.92856818903351646</v>
      </c>
    </row>
    <row r="42" spans="2:8" ht="18" x14ac:dyDescent="0.2">
      <c r="B42" s="28" t="s">
        <v>43</v>
      </c>
      <c r="C42" s="29"/>
      <c r="D42" s="29"/>
      <c r="E42" s="29"/>
      <c r="F42" s="29"/>
      <c r="G42" s="29"/>
      <c r="H42" s="29"/>
    </row>
    <row r="43" spans="2:8" ht="18" x14ac:dyDescent="0.2">
      <c r="B43" s="20" t="s">
        <v>42</v>
      </c>
      <c r="C43" s="20" t="s">
        <v>44</v>
      </c>
      <c r="D43" s="20" t="s">
        <v>46</v>
      </c>
      <c r="E43" s="20" t="s">
        <v>23</v>
      </c>
      <c r="F43" s="20" t="s">
        <v>24</v>
      </c>
      <c r="G43" s="20" t="s">
        <v>25</v>
      </c>
      <c r="H43" s="20" t="s">
        <v>26</v>
      </c>
    </row>
    <row r="44" spans="2:8" ht="18" x14ac:dyDescent="0.2">
      <c r="B44" s="21">
        <v>7.1431810966483739E-2</v>
      </c>
      <c r="C44" s="21">
        <f>B44</f>
        <v>7.1431810966483739E-2</v>
      </c>
      <c r="D44" s="21" t="s">
        <v>45</v>
      </c>
      <c r="E44" s="12" t="s">
        <v>27</v>
      </c>
      <c r="F44" s="12" t="s">
        <v>27</v>
      </c>
      <c r="G44" s="12">
        <v>205</v>
      </c>
      <c r="H44" s="12" t="s">
        <v>27</v>
      </c>
    </row>
    <row r="45" spans="2:8" ht="18" x14ac:dyDescent="0.2">
      <c r="B45" s="21">
        <v>7.1431810966483739E-2</v>
      </c>
      <c r="C45" s="21">
        <f>C44+B45</f>
        <v>0.14286362193296748</v>
      </c>
      <c r="D45" s="21" t="str">
        <f>_xlfn.CONCAT(ROUND(C44,2)," - ",ROUND(C45,2))</f>
        <v>0.07 - 0.14</v>
      </c>
      <c r="E45" s="12" t="s">
        <v>28</v>
      </c>
      <c r="F45" s="12" t="s">
        <v>27</v>
      </c>
      <c r="G45" s="12">
        <v>180</v>
      </c>
      <c r="H45" s="12" t="s">
        <v>27</v>
      </c>
    </row>
    <row r="46" spans="2:8" ht="18" x14ac:dyDescent="0.2">
      <c r="B46" s="21">
        <v>7.1431810966483739E-2</v>
      </c>
      <c r="C46" s="21">
        <f t="shared" ref="C46:C51" si="22">C45+B46</f>
        <v>0.21429543289945122</v>
      </c>
      <c r="D46" s="21" t="str">
        <f t="shared" ref="D46:D51" si="23">_xlfn.CONCAT(ROUND(C45,2)," - ",ROUND(C46,2))</f>
        <v>0.14 - 0.21</v>
      </c>
      <c r="E46" s="12" t="s">
        <v>27</v>
      </c>
      <c r="F46" s="12" t="s">
        <v>28</v>
      </c>
      <c r="G46" s="12">
        <v>210</v>
      </c>
      <c r="H46" s="12" t="s">
        <v>27</v>
      </c>
    </row>
    <row r="47" spans="2:8" ht="18" x14ac:dyDescent="0.2">
      <c r="B47" s="21">
        <v>0.49997732323461386</v>
      </c>
      <c r="C47" s="21">
        <f t="shared" si="22"/>
        <v>0.71427275613406505</v>
      </c>
      <c r="D47" s="22" t="str">
        <f t="shared" si="23"/>
        <v>0.21 - 0.71</v>
      </c>
      <c r="E47" s="12" t="s">
        <v>27</v>
      </c>
      <c r="F47" s="12" t="s">
        <v>27</v>
      </c>
      <c r="G47" s="12">
        <v>167</v>
      </c>
      <c r="H47" s="12" t="s">
        <v>27</v>
      </c>
    </row>
    <row r="48" spans="2:8" ht="18" x14ac:dyDescent="0.2">
      <c r="B48" s="21">
        <v>7.1431810966483739E-2</v>
      </c>
      <c r="C48" s="21">
        <f t="shared" si="22"/>
        <v>0.78570456710054881</v>
      </c>
      <c r="D48" s="21" t="str">
        <f t="shared" si="23"/>
        <v>0.71 - 0.79</v>
      </c>
      <c r="E48" s="12" t="s">
        <v>28</v>
      </c>
      <c r="F48" s="12" t="s">
        <v>27</v>
      </c>
      <c r="G48" s="12">
        <v>156</v>
      </c>
      <c r="H48" s="12" t="s">
        <v>28</v>
      </c>
    </row>
    <row r="49" spans="2:8" ht="18" x14ac:dyDescent="0.2">
      <c r="B49" s="21">
        <v>7.1431810966483739E-2</v>
      </c>
      <c r="C49" s="21">
        <f t="shared" si="22"/>
        <v>0.85713637806703258</v>
      </c>
      <c r="D49" s="21" t="str">
        <f t="shared" si="23"/>
        <v>0.79 - 0.86</v>
      </c>
      <c r="E49" s="12" t="s">
        <v>28</v>
      </c>
      <c r="F49" s="12" t="s">
        <v>27</v>
      </c>
      <c r="G49" s="12">
        <v>125</v>
      </c>
      <c r="H49" s="12" t="s">
        <v>28</v>
      </c>
    </row>
    <row r="50" spans="2:8" ht="18" x14ac:dyDescent="0.2">
      <c r="B50" s="21">
        <v>7.1431810966483739E-2</v>
      </c>
      <c r="C50" s="21">
        <f t="shared" si="22"/>
        <v>0.92856818903351634</v>
      </c>
      <c r="D50" s="21" t="str">
        <f t="shared" si="23"/>
        <v>0.86 - 0.93</v>
      </c>
      <c r="E50" s="12" t="s">
        <v>27</v>
      </c>
      <c r="F50" s="12" t="s">
        <v>28</v>
      </c>
      <c r="G50" s="12">
        <v>168</v>
      </c>
      <c r="H50" s="12" t="s">
        <v>28</v>
      </c>
    </row>
    <row r="51" spans="2:8" ht="18" x14ac:dyDescent="0.2">
      <c r="B51" s="21">
        <v>7.1431810966483739E-2</v>
      </c>
      <c r="C51" s="21">
        <f t="shared" si="22"/>
        <v>1</v>
      </c>
      <c r="D51" s="21" t="str">
        <f t="shared" si="23"/>
        <v>0.93 - 1</v>
      </c>
      <c r="E51" s="12" t="s">
        <v>27</v>
      </c>
      <c r="F51" s="12" t="s">
        <v>27</v>
      </c>
      <c r="G51" s="12">
        <v>172</v>
      </c>
      <c r="H51" s="12" t="s">
        <v>28</v>
      </c>
    </row>
    <row r="54" spans="2:8" ht="18" x14ac:dyDescent="0.2">
      <c r="E54" s="29" t="s">
        <v>50</v>
      </c>
      <c r="F54" s="29"/>
      <c r="G54" s="29"/>
      <c r="H54" s="29"/>
    </row>
    <row r="55" spans="2:8" ht="18" x14ac:dyDescent="0.2">
      <c r="E55" s="20" t="s">
        <v>23</v>
      </c>
      <c r="F55" s="20" t="s">
        <v>24</v>
      </c>
      <c r="G55" s="20" t="s">
        <v>25</v>
      </c>
      <c r="H55" s="20" t="s">
        <v>26</v>
      </c>
    </row>
    <row r="56" spans="2:8" ht="18" x14ac:dyDescent="0.2">
      <c r="D56" t="str">
        <f>IF(G56&gt;=167,"Yes","No")</f>
        <v>Yes</v>
      </c>
      <c r="E56" s="12" t="s">
        <v>27</v>
      </c>
      <c r="F56" s="12" t="s">
        <v>27</v>
      </c>
      <c r="G56" s="12">
        <v>167</v>
      </c>
      <c r="H56" s="12" t="s">
        <v>27</v>
      </c>
    </row>
    <row r="57" spans="2:8" ht="18" x14ac:dyDescent="0.2">
      <c r="D57" t="str">
        <f t="shared" ref="D57:D63" si="24">IF(G57&gt;=167,"Yes","No")</f>
        <v>Yes</v>
      </c>
      <c r="E57" s="12" t="s">
        <v>27</v>
      </c>
      <c r="F57" s="12" t="s">
        <v>27</v>
      </c>
      <c r="G57" s="12">
        <v>167</v>
      </c>
      <c r="H57" s="12" t="s">
        <v>27</v>
      </c>
    </row>
    <row r="58" spans="2:8" ht="18" x14ac:dyDescent="0.2">
      <c r="D58" t="str">
        <f t="shared" si="24"/>
        <v>Yes</v>
      </c>
      <c r="E58" s="12" t="s">
        <v>27</v>
      </c>
      <c r="F58" s="12" t="s">
        <v>27</v>
      </c>
      <c r="G58" s="12">
        <v>167</v>
      </c>
      <c r="H58" s="12" t="s">
        <v>27</v>
      </c>
    </row>
    <row r="59" spans="2:8" ht="18" x14ac:dyDescent="0.2">
      <c r="D59" t="str">
        <f t="shared" si="24"/>
        <v>Yes</v>
      </c>
      <c r="E59" s="12" t="s">
        <v>27</v>
      </c>
      <c r="F59" s="12" t="s">
        <v>27</v>
      </c>
      <c r="G59" s="12">
        <v>167</v>
      </c>
      <c r="H59" s="12" t="s">
        <v>27</v>
      </c>
    </row>
    <row r="60" spans="2:8" ht="18" x14ac:dyDescent="0.2">
      <c r="D60" t="str">
        <f t="shared" si="24"/>
        <v>Yes</v>
      </c>
      <c r="E60" s="12" t="s">
        <v>27</v>
      </c>
      <c r="F60" s="12" t="s">
        <v>28</v>
      </c>
      <c r="G60" s="12">
        <v>210</v>
      </c>
      <c r="H60" s="12" t="s">
        <v>27</v>
      </c>
    </row>
    <row r="61" spans="2:8" ht="18" x14ac:dyDescent="0.2">
      <c r="D61" t="str">
        <f t="shared" si="24"/>
        <v>Yes</v>
      </c>
      <c r="E61" s="12" t="s">
        <v>28</v>
      </c>
      <c r="F61" s="12" t="s">
        <v>27</v>
      </c>
      <c r="G61" s="12">
        <v>180</v>
      </c>
      <c r="H61" s="12" t="s">
        <v>27</v>
      </c>
    </row>
    <row r="62" spans="2:8" ht="18" x14ac:dyDescent="0.2">
      <c r="D62" t="str">
        <f t="shared" si="24"/>
        <v>No</v>
      </c>
      <c r="E62" s="12" t="s">
        <v>28</v>
      </c>
      <c r="F62" s="12" t="s">
        <v>27</v>
      </c>
      <c r="G62" s="12">
        <v>125</v>
      </c>
      <c r="H62" s="12" t="s">
        <v>28</v>
      </c>
    </row>
    <row r="63" spans="2:8" ht="18" x14ac:dyDescent="0.2">
      <c r="D63" t="str">
        <f t="shared" si="24"/>
        <v>Yes</v>
      </c>
      <c r="E63" s="12" t="s">
        <v>27</v>
      </c>
      <c r="F63" s="12" t="s">
        <v>27</v>
      </c>
      <c r="G63" s="12">
        <v>172</v>
      </c>
      <c r="H63" s="12" t="s">
        <v>28</v>
      </c>
    </row>
    <row r="65" spans="2:11" x14ac:dyDescent="0.2">
      <c r="B65">
        <f>0.65*8</f>
        <v>5.2</v>
      </c>
    </row>
    <row r="66" spans="2:11" ht="57" x14ac:dyDescent="0.2">
      <c r="E66" s="24" t="s">
        <v>47</v>
      </c>
      <c r="F66" s="24" t="s">
        <v>48</v>
      </c>
      <c r="G66" s="23" t="s">
        <v>49</v>
      </c>
      <c r="H66" s="24" t="s">
        <v>55</v>
      </c>
      <c r="I66" s="24" t="s">
        <v>53</v>
      </c>
      <c r="J66" s="24" t="s">
        <v>54</v>
      </c>
      <c r="K66" s="23" t="s">
        <v>49</v>
      </c>
    </row>
    <row r="67" spans="2:11" ht="18" x14ac:dyDescent="0.2">
      <c r="E67" s="12">
        <v>1</v>
      </c>
      <c r="F67" s="12">
        <v>1</v>
      </c>
      <c r="G67" s="12">
        <v>1</v>
      </c>
      <c r="H67" s="21">
        <v>7.1431810966483739E-2</v>
      </c>
      <c r="I67" s="30">
        <f>$H67*E67</f>
        <v>7.1431810966483739E-2</v>
      </c>
      <c r="J67" s="30">
        <f>$H67*F67</f>
        <v>7.1431810966483739E-2</v>
      </c>
      <c r="K67" s="30">
        <f>$H67*G67</f>
        <v>7.1431810966483739E-2</v>
      </c>
    </row>
    <row r="68" spans="2:11" ht="18" x14ac:dyDescent="0.2">
      <c r="E68" s="12">
        <v>1</v>
      </c>
      <c r="F68" s="12">
        <v>1</v>
      </c>
      <c r="G68" s="12">
        <v>1</v>
      </c>
      <c r="H68" s="21">
        <v>7.1431810966483739E-2</v>
      </c>
      <c r="I68" s="30">
        <f t="shared" ref="I68:K74" si="25">$H68*E68</f>
        <v>7.1431810966483739E-2</v>
      </c>
      <c r="J68" s="30">
        <f t="shared" si="25"/>
        <v>7.1431810966483739E-2</v>
      </c>
      <c r="K68" s="30">
        <f t="shared" si="25"/>
        <v>7.1431810966483739E-2</v>
      </c>
    </row>
    <row r="69" spans="2:11" ht="18" x14ac:dyDescent="0.2">
      <c r="E69" s="12">
        <v>1</v>
      </c>
      <c r="F69" s="12">
        <v>1</v>
      </c>
      <c r="G69" s="12">
        <v>1</v>
      </c>
      <c r="H69" s="21">
        <v>7.1431810966483739E-2</v>
      </c>
      <c r="I69" s="30">
        <f t="shared" si="25"/>
        <v>7.1431810966483739E-2</v>
      </c>
      <c r="J69" s="30">
        <f t="shared" si="25"/>
        <v>7.1431810966483739E-2</v>
      </c>
      <c r="K69" s="30">
        <f t="shared" si="25"/>
        <v>7.1431810966483739E-2</v>
      </c>
    </row>
    <row r="70" spans="2:11" ht="18" x14ac:dyDescent="0.2">
      <c r="E70" s="12">
        <v>1</v>
      </c>
      <c r="F70" s="12">
        <v>1</v>
      </c>
      <c r="G70" s="12">
        <v>1</v>
      </c>
      <c r="H70" s="21">
        <v>0.49997732323461386</v>
      </c>
      <c r="I70" s="30">
        <f t="shared" si="25"/>
        <v>0.49997732323461386</v>
      </c>
      <c r="J70" s="30">
        <f t="shared" si="25"/>
        <v>0.49997732323461386</v>
      </c>
      <c r="K70" s="30">
        <f t="shared" si="25"/>
        <v>0.49997732323461386</v>
      </c>
    </row>
    <row r="71" spans="2:11" ht="18" x14ac:dyDescent="0.2">
      <c r="E71" s="12">
        <v>1</v>
      </c>
      <c r="F71" s="12">
        <v>0</v>
      </c>
      <c r="G71" s="12">
        <v>1</v>
      </c>
      <c r="H71" s="21">
        <v>7.1431810966483739E-2</v>
      </c>
      <c r="I71" s="30">
        <f t="shared" si="25"/>
        <v>7.1431810966483739E-2</v>
      </c>
      <c r="J71" s="30">
        <f t="shared" si="25"/>
        <v>0</v>
      </c>
      <c r="K71" s="30">
        <f t="shared" si="25"/>
        <v>7.1431810966483739E-2</v>
      </c>
    </row>
    <row r="72" spans="2:11" ht="18" x14ac:dyDescent="0.2">
      <c r="E72" s="12">
        <v>0</v>
      </c>
      <c r="F72" s="12">
        <v>1</v>
      </c>
      <c r="G72" s="12">
        <v>1</v>
      </c>
      <c r="H72" s="21">
        <v>7.1431810966483739E-2</v>
      </c>
      <c r="I72" s="30">
        <f t="shared" si="25"/>
        <v>0</v>
      </c>
      <c r="J72" s="30">
        <f t="shared" si="25"/>
        <v>7.1431810966483739E-2</v>
      </c>
      <c r="K72" s="30">
        <f t="shared" si="25"/>
        <v>7.1431810966483739E-2</v>
      </c>
    </row>
    <row r="73" spans="2:11" ht="18" x14ac:dyDescent="0.2">
      <c r="E73" s="12">
        <v>1</v>
      </c>
      <c r="F73" s="12">
        <v>0</v>
      </c>
      <c r="G73" s="12">
        <v>1</v>
      </c>
      <c r="H73" s="21">
        <v>7.1431810966483739E-2</v>
      </c>
      <c r="I73" s="30">
        <f t="shared" si="25"/>
        <v>7.1431810966483739E-2</v>
      </c>
      <c r="J73" s="30">
        <f t="shared" si="25"/>
        <v>0</v>
      </c>
      <c r="K73" s="30">
        <f t="shared" si="25"/>
        <v>7.1431810966483739E-2</v>
      </c>
    </row>
    <row r="74" spans="2:11" ht="18" x14ac:dyDescent="0.2">
      <c r="E74" s="25">
        <v>0</v>
      </c>
      <c r="F74" s="25">
        <v>0</v>
      </c>
      <c r="G74" s="25">
        <v>0</v>
      </c>
      <c r="H74" s="22">
        <v>7.1431810966483739E-2</v>
      </c>
      <c r="I74" s="31">
        <f t="shared" si="25"/>
        <v>0</v>
      </c>
      <c r="J74" s="31">
        <f t="shared" si="25"/>
        <v>0</v>
      </c>
      <c r="K74" s="31">
        <f t="shared" si="25"/>
        <v>0</v>
      </c>
    </row>
    <row r="75" spans="2:11" ht="18" x14ac:dyDescent="0.2">
      <c r="E75" s="20">
        <f>SUM(E67:E74)</f>
        <v>6</v>
      </c>
      <c r="F75" s="20">
        <f>SUM(F67:F74)</f>
        <v>5</v>
      </c>
      <c r="G75" s="20">
        <f>SUM(G67:G74)</f>
        <v>7</v>
      </c>
      <c r="I75" s="32">
        <f>SUM(I67:I74)</f>
        <v>0.85713637806703258</v>
      </c>
      <c r="J75" s="32">
        <f>SUM(J67:J74)</f>
        <v>0.78570456710054881</v>
      </c>
      <c r="K75" s="32">
        <f>SUM(K67:K74)</f>
        <v>0.92856818903351634</v>
      </c>
    </row>
    <row r="78" spans="2:11" ht="19" x14ac:dyDescent="0.2">
      <c r="E78" s="24" t="s">
        <v>51</v>
      </c>
      <c r="F78" s="24" t="s">
        <v>52</v>
      </c>
      <c r="G78" s="24" t="s">
        <v>42</v>
      </c>
    </row>
    <row r="79" spans="2:11" ht="18" x14ac:dyDescent="0.2">
      <c r="E79" s="21">
        <v>7.1431810966483739E-2</v>
      </c>
      <c r="F79" s="21">
        <f>E79*EXP(-$C$81)</f>
        <v>1.95974338142491E-2</v>
      </c>
      <c r="G79" s="21">
        <f>F79/SUM($F$79:$F$86)</f>
        <v>3.8044397207662034E-2</v>
      </c>
    </row>
    <row r="80" spans="2:11" ht="18" x14ac:dyDescent="0.2">
      <c r="E80" s="21">
        <v>7.1431810966483739E-2</v>
      </c>
      <c r="F80" s="21">
        <f t="shared" ref="F80:F85" si="26">E80*EXP(-$C$81)</f>
        <v>1.95974338142491E-2</v>
      </c>
      <c r="G80" s="21">
        <f t="shared" ref="G80:G86" si="27">F80/SUM($F$79:$F$86)</f>
        <v>3.8044397207662034E-2</v>
      </c>
    </row>
    <row r="81" spans="3:7" ht="18" x14ac:dyDescent="0.2">
      <c r="C81">
        <f>LN((1-0.07)/0.07)*0.5</f>
        <v>1.2933446720489712</v>
      </c>
      <c r="E81" s="21">
        <v>7.1431810966483739E-2</v>
      </c>
      <c r="F81" s="21">
        <f t="shared" si="26"/>
        <v>1.95974338142491E-2</v>
      </c>
      <c r="G81" s="21">
        <f t="shared" si="27"/>
        <v>3.8044397207662034E-2</v>
      </c>
    </row>
    <row r="82" spans="3:7" ht="18" x14ac:dyDescent="0.2">
      <c r="C82">
        <f>0.5*EXP(-C81)</f>
        <v>0.13717581529218362</v>
      </c>
      <c r="E82" s="33">
        <v>0.49997732323461386</v>
      </c>
      <c r="F82" s="33">
        <f t="shared" si="26"/>
        <v>0.13716959388462355</v>
      </c>
      <c r="G82" s="33">
        <f t="shared" si="27"/>
        <v>0.26628662528080399</v>
      </c>
    </row>
    <row r="83" spans="3:7" ht="18" x14ac:dyDescent="0.2">
      <c r="C83">
        <f>0.07*EXP(C81)</f>
        <v>0.25514701644346144</v>
      </c>
      <c r="E83" s="21">
        <v>7.1431810966483739E-2</v>
      </c>
      <c r="F83" s="21">
        <f t="shared" si="26"/>
        <v>1.95974338142491E-2</v>
      </c>
      <c r="G83" s="21">
        <f t="shared" si="27"/>
        <v>3.8044397207662034E-2</v>
      </c>
    </row>
    <row r="84" spans="3:7" ht="18" x14ac:dyDescent="0.2">
      <c r="E84" s="21">
        <v>7.1431810966483739E-2</v>
      </c>
      <c r="F84" s="21">
        <f t="shared" si="26"/>
        <v>1.95974338142491E-2</v>
      </c>
      <c r="G84" s="21">
        <f t="shared" si="27"/>
        <v>3.8044397207662034E-2</v>
      </c>
    </row>
    <row r="85" spans="3:7" ht="18" x14ac:dyDescent="0.2">
      <c r="E85" s="21">
        <v>7.1431810966483739E-2</v>
      </c>
      <c r="F85" s="21">
        <f t="shared" si="26"/>
        <v>1.95974338142491E-2</v>
      </c>
      <c r="G85" s="21">
        <f t="shared" si="27"/>
        <v>3.8044397207662034E-2</v>
      </c>
    </row>
    <row r="86" spans="3:7" ht="18" x14ac:dyDescent="0.2">
      <c r="E86" s="22">
        <v>7.1431810966483739E-2</v>
      </c>
      <c r="F86" s="22">
        <f>E86*EXP(+C81)</f>
        <v>0.26036590638930934</v>
      </c>
      <c r="G86" s="22">
        <f t="shared" si="27"/>
        <v>0.50544699147322392</v>
      </c>
    </row>
  </sheetData>
  <mergeCells count="3">
    <mergeCell ref="B31:E31"/>
    <mergeCell ref="B42:H42"/>
    <mergeCell ref="E54:H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 Sharma</dc:creator>
  <cp:lastModifiedBy>Mudit Sharma</cp:lastModifiedBy>
  <dcterms:created xsi:type="dcterms:W3CDTF">2022-06-06T13:50:24Z</dcterms:created>
  <dcterms:modified xsi:type="dcterms:W3CDTF">2022-06-08T18:29:43Z</dcterms:modified>
</cp:coreProperties>
</file>