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6a_Projekte\2700-2799\2759\1 Brandschutz\1 Arbeitsordner Brandschutz\Brandlastermittlung\"/>
    </mc:Choice>
  </mc:AlternateContent>
  <bookViews>
    <workbookView xWindow="480" yWindow="105" windowWidth="17715" windowHeight="7935" activeTab="3"/>
  </bookViews>
  <sheets>
    <sheet name="Zulässige Fläche" sheetId="1" r:id="rId1"/>
    <sheet name="Äquivalente Branddauer tä" sheetId="2" r:id="rId2"/>
    <sheet name="Feuerwiderstandsdauer tf" sheetId="3" r:id="rId3"/>
    <sheet name="Rückwärtsrechnung" sheetId="4" r:id="rId4"/>
    <sheet name="Tabelle1" sheetId="5" r:id="rId5"/>
  </sheets>
  <calcPr calcId="152511"/>
</workbook>
</file>

<file path=xl/calcChain.xml><?xml version="1.0" encoding="utf-8"?>
<calcChain xmlns="http://schemas.openxmlformats.org/spreadsheetml/2006/main">
  <c r="D59" i="4" l="1"/>
  <c r="D48" i="4"/>
  <c r="D46" i="4"/>
  <c r="F26" i="4"/>
  <c r="B28" i="4"/>
  <c r="F17" i="4"/>
  <c r="B24" i="4" l="1"/>
  <c r="D125" i="4" l="1"/>
  <c r="D123" i="4"/>
  <c r="M43" i="4" l="1"/>
  <c r="M42" i="4"/>
  <c r="M41" i="4"/>
  <c r="F19" i="4" l="1"/>
  <c r="D69" i="4"/>
  <c r="D65" i="4"/>
  <c r="B16" i="4"/>
  <c r="F16" i="4" s="1"/>
  <c r="F14" i="4"/>
  <c r="F15" i="4"/>
  <c r="F18" i="4"/>
  <c r="F20" i="4"/>
  <c r="F21" i="4"/>
  <c r="F22" i="4"/>
  <c r="F23" i="4"/>
  <c r="F6" i="5"/>
  <c r="F7" i="5"/>
  <c r="F13" i="5"/>
  <c r="F12" i="5"/>
  <c r="F5" i="5"/>
  <c r="F8" i="5"/>
  <c r="F9" i="5"/>
  <c r="F10" i="5"/>
  <c r="F11" i="5"/>
  <c r="F4" i="5"/>
  <c r="F3" i="5"/>
  <c r="F14" i="5" l="1"/>
  <c r="F16" i="5" s="1"/>
  <c r="D122" i="4" l="1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39" i="4" l="1"/>
  <c r="D43" i="4" s="1"/>
  <c r="F25" i="4"/>
  <c r="D47" i="4"/>
  <c r="D44" i="4"/>
  <c r="D50" i="4" l="1"/>
  <c r="E55" i="1" l="1"/>
  <c r="F10" i="2"/>
  <c r="F9" i="2"/>
  <c r="N17" i="2"/>
  <c r="N11" i="2"/>
  <c r="N14" i="2" s="1"/>
  <c r="F11" i="2"/>
  <c r="F24" i="4"/>
  <c r="B31" i="4" l="1"/>
  <c r="D66" i="4" s="1"/>
  <c r="B13" i="2"/>
  <c r="B20" i="2" s="1"/>
  <c r="L69" i="4"/>
  <c r="L68" i="4" l="1"/>
  <c r="N9" i="2"/>
  <c r="N13" i="2" s="1"/>
  <c r="L70" i="4" l="1"/>
  <c r="L71" i="4" l="1"/>
  <c r="F3" i="1"/>
  <c r="N18" i="2" l="1"/>
  <c r="N16" i="2" l="1"/>
  <c r="N20" i="2" s="1"/>
  <c r="E2" i="2" l="1"/>
  <c r="E2" i="3" s="1"/>
  <c r="B2" i="3" s="1"/>
  <c r="B9" i="1" l="1"/>
</calcChain>
</file>

<file path=xl/sharedStrings.xml><?xml version="1.0" encoding="utf-8"?>
<sst xmlns="http://schemas.openxmlformats.org/spreadsheetml/2006/main" count="286" uniqueCount="204">
  <si>
    <t>zulässige Fläche je Geschoss</t>
  </si>
  <si>
    <r>
      <t>t</t>
    </r>
    <r>
      <rPr>
        <vertAlign val="subscript"/>
        <sz val="11"/>
        <color theme="1"/>
        <rFont val="Calibri"/>
        <family val="2"/>
        <scheme val="minor"/>
      </rPr>
      <t>ä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q</t>
    </r>
    <r>
      <rPr>
        <vertAlign val="subscript"/>
        <sz val="11"/>
        <color theme="1"/>
        <rFont val="Calibri"/>
        <family val="2"/>
        <scheme val="minor"/>
      </rPr>
      <t>R</t>
    </r>
    <r>
      <rPr>
        <i/>
        <sz val="11"/>
        <color theme="1"/>
        <rFont val="Calibri"/>
        <family val="2"/>
        <scheme val="minor"/>
      </rPr>
      <t>*c*w</t>
    </r>
  </si>
  <si>
    <t>m²</t>
  </si>
  <si>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>∑</t>
    </r>
    <r>
      <rPr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*H</t>
    </r>
    <r>
      <rPr>
        <vertAlign val="subscript"/>
        <sz val="11"/>
        <color theme="1"/>
        <rFont val="Calibri"/>
        <family val="2"/>
        <scheme val="minor"/>
      </rPr>
      <t>ui</t>
    </r>
    <r>
      <rPr>
        <sz val="11"/>
        <color theme="1"/>
        <rFont val="Calibri"/>
        <family val="2"/>
        <scheme val="minor"/>
      </rPr>
      <t>*m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/A</t>
    </r>
    <r>
      <rPr>
        <vertAlign val="subscript"/>
        <sz val="11"/>
        <color theme="1"/>
        <rFont val="Calibri"/>
        <family val="2"/>
        <scheme val="minor"/>
      </rPr>
      <t>B</t>
    </r>
  </si>
  <si>
    <t>kWh/m²</t>
  </si>
  <si>
    <r>
      <t xml:space="preserve">Rechnerische Brandbelastung </t>
    </r>
    <r>
      <rPr>
        <b/>
        <i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R</t>
    </r>
  </si>
  <si>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R,ges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/>
    </r>
  </si>
  <si>
    <r>
      <t xml:space="preserve">Umrechnungsfaktor </t>
    </r>
    <r>
      <rPr>
        <b/>
        <i/>
        <sz val="11"/>
        <color theme="1"/>
        <rFont val="Calibri"/>
        <family val="2"/>
        <scheme val="minor"/>
      </rPr>
      <t>c</t>
    </r>
  </si>
  <si>
    <r>
      <t>t</t>
    </r>
    <r>
      <rPr>
        <vertAlign val="subscript"/>
        <sz val="11"/>
        <color theme="1"/>
        <rFont val="Calibri"/>
        <family val="2"/>
        <scheme val="minor"/>
      </rPr>
      <t>ä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= </t>
    </r>
  </si>
  <si>
    <r>
      <t xml:space="preserve">Wärmeabzugsfaktor </t>
    </r>
    <r>
      <rPr>
        <b/>
        <i/>
        <sz val="11"/>
        <color theme="1"/>
        <rFont val="Calibri"/>
        <family val="2"/>
        <scheme val="minor"/>
      </rPr>
      <t>w</t>
    </r>
  </si>
  <si>
    <t>vertikale Flächen:</t>
  </si>
  <si>
    <t>horizontale Flächen:</t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</si>
  <si>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=</t>
    </r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</si>
  <si>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=</t>
    </r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</si>
  <si>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=</t>
    </r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</si>
  <si>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=</t>
    </r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</si>
  <si>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=</t>
    </r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A</t>
    </r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</si>
  <si>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=</t>
    </r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A</t>
    </r>
  </si>
  <si>
    <r>
      <rPr>
        <i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=</t>
    </r>
    <r>
      <rPr>
        <i/>
        <sz val="11"/>
        <color theme="1"/>
        <rFont val="Calibri"/>
        <family val="2"/>
        <scheme val="minor"/>
      </rPr>
      <t>w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*</t>
    </r>
    <r>
      <rPr>
        <i/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</rPr>
      <t>w</t>
    </r>
    <r>
      <rPr>
        <sz val="11"/>
        <color theme="1"/>
        <rFont val="Calibri"/>
        <family val="2"/>
      </rPr>
      <t xml:space="preserve"> ≥ 0,5</t>
    </r>
  </si>
  <si>
    <t>c =</t>
  </si>
  <si>
    <r>
      <rPr>
        <i/>
        <sz val="11"/>
        <color theme="1"/>
        <rFont val="Calibri"/>
        <family val="2"/>
        <scheme val="minor"/>
      </rPr>
      <t>w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= 1,0+145,0*(0,4-</t>
    </r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/(1,6+</t>
    </r>
    <r>
      <rPr>
        <sz val="11"/>
        <color theme="1"/>
        <rFont val="Calibri"/>
        <family val="2"/>
      </rPr>
      <t>β</t>
    </r>
    <r>
      <rPr>
        <vertAlign val="subscript"/>
        <sz val="11"/>
        <color theme="1"/>
        <rFont val="Calibri"/>
        <family val="2"/>
      </rPr>
      <t>w</t>
    </r>
    <r>
      <rPr>
        <sz val="11"/>
        <color theme="1"/>
        <rFont val="Calibri"/>
        <family val="2"/>
      </rPr>
      <t>*a</t>
    </r>
    <r>
      <rPr>
        <vertAlign val="subscript"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>)</t>
    </r>
  </si>
  <si>
    <r>
      <rPr>
        <i/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</rPr>
      <t>w</t>
    </r>
    <r>
      <rPr>
        <sz val="11"/>
        <color theme="1"/>
        <rFont val="Calibri"/>
        <family val="2"/>
      </rPr>
      <t>=(6,0/</t>
    </r>
    <r>
      <rPr>
        <i/>
        <sz val="11"/>
        <color theme="1"/>
        <rFont val="Calibri"/>
        <family val="2"/>
      </rPr>
      <t>h)</t>
    </r>
    <r>
      <rPr>
        <vertAlign val="superscript"/>
        <sz val="11"/>
        <color theme="1"/>
        <rFont val="Calibri"/>
        <family val="2"/>
      </rPr>
      <t>0,3</t>
    </r>
  </si>
  <si>
    <r>
      <rPr>
        <i/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</rPr>
      <t>w</t>
    </r>
    <r>
      <rPr>
        <sz val="11"/>
        <color theme="1"/>
        <rFont val="Calibri"/>
        <family val="2"/>
      </rPr>
      <t>=</t>
    </r>
  </si>
  <si>
    <r>
      <rPr>
        <i/>
        <sz val="11"/>
        <color theme="1"/>
        <rFont val="Calibri"/>
        <family val="2"/>
      </rPr>
      <t>β</t>
    </r>
    <r>
      <rPr>
        <vertAlign val="subscript"/>
        <sz val="11"/>
        <color theme="1"/>
        <rFont val="Calibri"/>
        <family val="2"/>
      </rPr>
      <t>w</t>
    </r>
    <r>
      <rPr>
        <sz val="11"/>
        <color theme="1"/>
        <rFont val="Calibri"/>
        <family val="2"/>
      </rPr>
      <t>=</t>
    </r>
  </si>
  <si>
    <r>
      <rPr>
        <i/>
        <sz val="11"/>
        <color theme="1"/>
        <rFont val="Calibri"/>
        <family val="2"/>
        <scheme val="minor"/>
      </rPr>
      <t>w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= </t>
    </r>
  </si>
  <si>
    <r>
      <rPr>
        <i/>
        <sz val="11"/>
        <color theme="1"/>
        <rFont val="Calibri"/>
        <family val="2"/>
      </rPr>
      <t>β</t>
    </r>
    <r>
      <rPr>
        <vertAlign val="subscript"/>
        <sz val="11"/>
        <color theme="1"/>
        <rFont val="Calibri"/>
        <family val="2"/>
      </rPr>
      <t>w</t>
    </r>
    <r>
      <rPr>
        <sz val="11"/>
        <color theme="1"/>
        <rFont val="Calibri"/>
        <family val="2"/>
      </rPr>
      <t>=20,0*(1+10*</t>
    </r>
    <r>
      <rPr>
        <i/>
        <sz val="11"/>
        <color theme="1"/>
        <rFont val="Calibri"/>
        <family val="2"/>
      </rPr>
      <t>a</t>
    </r>
    <r>
      <rPr>
        <vertAlign val="subscript"/>
        <sz val="11"/>
        <color theme="1"/>
        <rFont val="Calibri"/>
        <family val="2"/>
      </rPr>
      <t>v</t>
    </r>
    <r>
      <rPr>
        <sz val="11"/>
        <color theme="1"/>
        <rFont val="Calibri"/>
        <family val="2"/>
      </rPr>
      <t>-64*</t>
    </r>
    <r>
      <rPr>
        <i/>
        <sz val="11"/>
        <color theme="1"/>
        <rFont val="Calibri"/>
        <family val="2"/>
      </rPr>
      <t>a</t>
    </r>
    <r>
      <rPr>
        <vertAlign val="subscript"/>
        <sz val="11"/>
        <color theme="1"/>
        <rFont val="Calibri"/>
        <family val="2"/>
      </rPr>
      <t>v</t>
    </r>
    <r>
      <rPr>
        <sz val="11"/>
        <color theme="1"/>
        <rFont val="Calibri"/>
        <family val="2"/>
      </rPr>
      <t>²)</t>
    </r>
  </si>
  <si>
    <r>
      <rPr>
        <i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=</t>
    </r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</si>
  <si>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v,ges.</t>
    </r>
    <r>
      <rPr>
        <sz val="11"/>
        <color theme="1"/>
        <rFont val="Calibri"/>
        <family val="2"/>
        <scheme val="minor"/>
      </rPr>
      <t>=</t>
    </r>
  </si>
  <si>
    <r>
      <t>t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t</t>
    </r>
    <r>
      <rPr>
        <vertAlign val="subscript"/>
        <sz val="11"/>
        <color theme="1"/>
        <rFont val="Calibri"/>
        <family val="2"/>
        <scheme val="minor"/>
      </rPr>
      <t>ä</t>
    </r>
    <r>
      <rPr>
        <i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</rPr>
      <t>γ</t>
    </r>
    <r>
      <rPr>
        <i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</rPr>
      <t>L</t>
    </r>
  </si>
  <si>
    <r>
      <t>t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= </t>
    </r>
  </si>
  <si>
    <t>Sicherheitsbeiwert γ</t>
  </si>
  <si>
    <t>γ=</t>
  </si>
  <si>
    <r>
      <t xml:space="preserve"> </t>
    </r>
    <r>
      <rPr>
        <i/>
        <sz val="11"/>
        <color theme="1"/>
        <rFont val="Calibri"/>
        <family val="2"/>
        <scheme val="minor"/>
      </rPr>
      <t>α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=</t>
    </r>
  </si>
  <si>
    <t>F1</t>
  </si>
  <si>
    <t>F2</t>
  </si>
  <si>
    <t>F3</t>
  </si>
  <si>
    <t>F4</t>
  </si>
  <si>
    <t>F5</t>
  </si>
  <si>
    <r>
      <t xml:space="preserve">mit </t>
    </r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 xml:space="preserve">v </t>
    </r>
    <r>
      <rPr>
        <sz val="11"/>
        <color theme="1"/>
        <rFont val="Calibri"/>
        <family val="2"/>
      </rPr>
      <t>≥ 0,025</t>
    </r>
  </si>
  <si>
    <t>Bemessung der zulässigen Flächen</t>
  </si>
  <si>
    <t>F-Faktoren Verfahren (Ziffer 7.5.1)</t>
  </si>
  <si>
    <t>Objektdaten</t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</si>
  <si>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60.000 m²</t>
    </r>
  </si>
  <si>
    <r>
      <t>t</t>
    </r>
    <r>
      <rPr>
        <vertAlign val="subscript"/>
        <sz val="11"/>
        <rFont val="Calibri"/>
        <family val="2"/>
        <scheme val="minor"/>
      </rPr>
      <t>ä</t>
    </r>
  </si>
  <si>
    <t>Höhenlage</t>
  </si>
  <si>
    <t>Geschosszahl</t>
  </si>
  <si>
    <t>Zeile</t>
  </si>
  <si>
    <t>Sicherheitskat.</t>
  </si>
  <si>
    <t>K_4</t>
  </si>
  <si>
    <r>
      <t xml:space="preserve">zul. </t>
    </r>
    <r>
      <rPr>
        <i/>
        <sz val="11"/>
        <color theme="1"/>
        <rFont val="Calibri"/>
        <family val="2"/>
        <scheme val="minor"/>
      </rPr>
      <t>A</t>
    </r>
    <r>
      <rPr>
        <i/>
        <vertAlign val="subscript"/>
        <sz val="11"/>
        <color theme="1"/>
        <rFont val="Calibri"/>
        <family val="2"/>
        <scheme val="minor"/>
      </rPr>
      <t xml:space="preserve">G,BRA </t>
    </r>
    <r>
      <rPr>
        <sz val="11"/>
        <color theme="1"/>
        <rFont val="Calibri"/>
        <family val="2"/>
        <scheme val="minor"/>
      </rPr>
      <t>= 3000*F1*F2*F3*F4*F5</t>
    </r>
  </si>
  <si>
    <r>
      <t xml:space="preserve">zul. </t>
    </r>
    <r>
      <rPr>
        <i/>
        <sz val="11"/>
        <color theme="1"/>
        <rFont val="Calibri"/>
        <family val="2"/>
        <scheme val="minor"/>
      </rPr>
      <t>A</t>
    </r>
    <r>
      <rPr>
        <i/>
        <vertAlign val="subscript"/>
        <sz val="11"/>
        <color theme="1"/>
        <rFont val="Calibri"/>
        <family val="2"/>
        <scheme val="minor"/>
      </rPr>
      <t>G,BRA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</si>
  <si>
    <r>
      <t xml:space="preserve">≥ </t>
    </r>
    <r>
      <rPr>
        <i/>
        <sz val="11"/>
        <color theme="1"/>
        <rFont val="Calibri"/>
        <family val="2"/>
      </rPr>
      <t>t</t>
    </r>
    <r>
      <rPr>
        <vertAlign val="subscript"/>
        <sz val="11"/>
        <color theme="1"/>
        <rFont val="Calibri"/>
        <family val="2"/>
      </rPr>
      <t>ä</t>
    </r>
  </si>
  <si>
    <t>min</t>
  </si>
  <si>
    <t>Annahmen:</t>
  </si>
  <si>
    <t>Tor und Türabmessungen siehe oben</t>
  </si>
  <si>
    <t>Gebäudehöhe h=13,00 m</t>
  </si>
  <si>
    <t>Grundlage dieser Berechnung ist das Brandschutztechnische Gutachten zur Brandlastermittlung der Materialforschungs- und Prüfungsanstalt für Bauwesen Leipzig, erstellt von Dr.-Ing. Rönn</t>
  </si>
  <si>
    <r>
      <t xml:space="preserve">Zusatzbeiwert </t>
    </r>
    <r>
      <rPr>
        <b/>
        <i/>
        <sz val="11"/>
        <color theme="1"/>
        <rFont val="Calibri"/>
        <family val="2"/>
        <scheme val="minor"/>
      </rPr>
      <t>α</t>
    </r>
    <r>
      <rPr>
        <b/>
        <vertAlign val="subscript"/>
        <sz val="11"/>
        <color theme="1"/>
        <rFont val="Calibri"/>
        <family val="2"/>
        <scheme val="minor"/>
      </rPr>
      <t>L</t>
    </r>
  </si>
  <si>
    <t>Eine Brandlast aus Kabeln wurde überschlägig mit 50000 kWh angenommen</t>
  </si>
  <si>
    <t>Sicherheitsfaktor = 1,2</t>
  </si>
  <si>
    <t>maßgebend:</t>
  </si>
  <si>
    <t>2% aerodynamisch wirksame Öffnungsfläche</t>
  </si>
  <si>
    <t>NRA</t>
  </si>
  <si>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R,vorh.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/>
    </r>
  </si>
  <si>
    <t>Ausnutzungsfaktor=</t>
  </si>
  <si>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R,Diff.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/>
    </r>
  </si>
  <si>
    <t>5 Tore 5,0x4,8</t>
  </si>
  <si>
    <t>%</t>
  </si>
  <si>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R,zul.</t>
    </r>
    <r>
      <rPr>
        <sz val="11"/>
        <color theme="1"/>
        <rFont val="Calibri"/>
        <family val="2"/>
        <scheme val="minor"/>
      </rPr>
      <t xml:space="preserve">= </t>
    </r>
    <r>
      <rPr>
        <i/>
        <sz val="11"/>
        <color theme="1"/>
        <rFont val="Calibri"/>
        <family val="2"/>
      </rPr>
      <t>t</t>
    </r>
    <r>
      <rPr>
        <vertAlign val="subscript"/>
        <sz val="11"/>
        <color theme="1"/>
        <rFont val="Calibri"/>
        <family val="2"/>
      </rPr>
      <t>ä</t>
    </r>
    <r>
      <rPr>
        <sz val="11"/>
        <color theme="1"/>
        <rFont val="Calibri"/>
        <family val="2"/>
      </rPr>
      <t>/(</t>
    </r>
    <r>
      <rPr>
        <i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 xml:space="preserve"> x </t>
    </r>
    <r>
      <rPr>
        <i/>
        <sz val="11"/>
        <color theme="1"/>
        <rFont val="Calibri"/>
        <family val="2"/>
      </rPr>
      <t>w</t>
    </r>
    <r>
      <rPr>
        <sz val="11"/>
        <color theme="1"/>
        <rFont val="Calibri"/>
        <family val="2"/>
      </rPr>
      <t>)</t>
    </r>
  </si>
  <si>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R,vorh.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>∑q</t>
    </r>
    <r>
      <rPr>
        <vertAlign val="subscript"/>
        <sz val="11"/>
        <color theme="1"/>
        <rFont val="Calibri"/>
        <family val="2"/>
      </rPr>
      <t>R</t>
    </r>
    <r>
      <rPr>
        <sz val="11"/>
        <color theme="1"/>
        <rFont val="Calibri"/>
        <family val="2"/>
      </rPr>
      <t>*1,2/A</t>
    </r>
    <r>
      <rPr>
        <vertAlign val="subscript"/>
        <sz val="11"/>
        <color theme="1"/>
        <rFont val="Calibri"/>
        <family val="2"/>
      </rPr>
      <t>B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</si>
  <si>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ä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 xml:space="preserve">15,9 min </t>
    </r>
  </si>
  <si>
    <t>Lagerstoff</t>
  </si>
  <si>
    <t>Abbrandfaktor</t>
  </si>
  <si>
    <t>Vergrößerungsfaktor (Lagerhöhe &gt; 4,5 m)</t>
  </si>
  <si>
    <t>Karton</t>
  </si>
  <si>
    <t>Masse in kg</t>
  </si>
  <si>
    <t>Heizwert in kWh/kg</t>
  </si>
  <si>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/>
    </r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</si>
  <si>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B</t>
    </r>
  </si>
  <si>
    <t>Q in kWh</t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</si>
  <si>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B=</t>
    </r>
  </si>
  <si>
    <r>
      <rPr>
        <i/>
        <sz val="11"/>
        <color theme="1"/>
        <rFont val="Calibri"/>
        <family val="2"/>
        <scheme val="minor"/>
      </rPr>
      <t>∑q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/>
    </r>
  </si>
  <si>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R,ges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>∑q</t>
    </r>
    <r>
      <rPr>
        <vertAlign val="subscript"/>
        <sz val="11"/>
        <color theme="1"/>
        <rFont val="Calibri"/>
        <family val="2"/>
      </rPr>
      <t>R</t>
    </r>
    <r>
      <rPr>
        <sz val="11"/>
        <color theme="1"/>
        <rFont val="Calibri"/>
        <family val="2"/>
      </rPr>
      <t>*1,2</t>
    </r>
  </si>
  <si>
    <t>Kfz Instrumenttafel</t>
  </si>
  <si>
    <t>h</t>
  </si>
  <si>
    <t>RW</t>
  </si>
  <si>
    <t>äquivalente Branddauer tä</t>
  </si>
  <si>
    <t>Eingangsparameter</t>
  </si>
  <si>
    <t>Hallenhöhe:</t>
  </si>
  <si>
    <t>9,5 m</t>
  </si>
  <si>
    <t>Sicherheitskategorie:</t>
  </si>
  <si>
    <t>(RWA 1,5 m² á 400 m²)</t>
  </si>
  <si>
    <t>(aus Planunterlagen)</t>
  </si>
  <si>
    <t>Rechnerische Brandbelastung</t>
  </si>
  <si>
    <r>
      <rPr>
        <b/>
        <i/>
        <sz val="11"/>
        <color theme="1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>=</t>
    </r>
  </si>
  <si>
    <t>(aus Tabelle)</t>
  </si>
  <si>
    <t>Globaler Nachweis in Tabellenform nach Abschnitt 7 IndBauR NRW</t>
  </si>
  <si>
    <r>
      <rPr>
        <b/>
        <i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R,zul.</t>
    </r>
    <r>
      <rPr>
        <b/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/>
    </r>
  </si>
  <si>
    <t>m² (85% angesetzt)</t>
  </si>
  <si>
    <t>(großer Wärmeabfluss: 
Umfassungsbauteile aus 
Aluminium und Stahl)</t>
  </si>
  <si>
    <t>K4</t>
  </si>
  <si>
    <t>(selbsttätige Feuerlöschanlage)</t>
  </si>
  <si>
    <t>(1 Brandabschnitt)</t>
  </si>
  <si>
    <t>39.800 m²</t>
  </si>
  <si>
    <t>Halle</t>
  </si>
  <si>
    <t>B</t>
  </si>
  <si>
    <t>H</t>
  </si>
  <si>
    <t>Fläche</t>
  </si>
  <si>
    <t>Halle 1</t>
  </si>
  <si>
    <t>Halle 3</t>
  </si>
  <si>
    <t>Halle 4</t>
  </si>
  <si>
    <t>Halle 6</t>
  </si>
  <si>
    <t>Halle 7</t>
  </si>
  <si>
    <t>Halle 8</t>
  </si>
  <si>
    <t>Halle 9</t>
  </si>
  <si>
    <t>Halle 10</t>
  </si>
  <si>
    <t>Halle 11</t>
  </si>
  <si>
    <t>Av</t>
  </si>
  <si>
    <t>Ah</t>
  </si>
  <si>
    <t>vertikale Fläche Av</t>
  </si>
  <si>
    <t>Horizontale Fläche Ah</t>
  </si>
  <si>
    <t>39.800 m² / 400 *1,5</t>
  </si>
  <si>
    <t>(gerundet)</t>
  </si>
  <si>
    <t>Umrechnungsfaktor c</t>
  </si>
  <si>
    <t>c= 0,15</t>
  </si>
  <si>
    <t>c</t>
  </si>
  <si>
    <t>Einflussgruppe der Umfassungsbauteile</t>
  </si>
  <si>
    <t>ll: Mittlerer Wärmeabfluss: 
Beton, KS-Stein, Ziegel</t>
  </si>
  <si>
    <t>l: Großer Wärmeabfluss: 
Verglasung, Alu, Stahl, offene Bauweise</t>
  </si>
  <si>
    <t>lll: Geringer Wämeabfluss:
Porenbeton, Dämmung, Holz</t>
  </si>
  <si>
    <t>Sicherheitskategorie K 4</t>
  </si>
  <si>
    <t>Brandbekämpfungsabschnitt 53.070 m² (Abew.)</t>
  </si>
  <si>
    <t>tä=</t>
  </si>
  <si>
    <t>42.000 - 70.000</t>
  </si>
  <si>
    <t>30 - 15</t>
  </si>
  <si>
    <t>15 +</t>
  </si>
  <si>
    <t>* (53.070 - 70.000)</t>
  </si>
  <si>
    <t xml:space="preserve">Min. </t>
  </si>
  <si>
    <t>Brandbelastung qr</t>
  </si>
  <si>
    <t>Material</t>
  </si>
  <si>
    <t>Anzahl
[Stück]
[m²]</t>
  </si>
  <si>
    <t>Masse
[kg]
[L]</t>
  </si>
  <si>
    <t>Heizwert 
[kWh/kg]
[kWh/L]</t>
  </si>
  <si>
    <t>Brandlast
Q [kWh]</t>
  </si>
  <si>
    <t>Lagergut aus Stahl</t>
  </si>
  <si>
    <t>Verpackungsfolie</t>
  </si>
  <si>
    <t>Euro-Paletten</t>
  </si>
  <si>
    <t>Stapler</t>
  </si>
  <si>
    <t>Kranbahn</t>
  </si>
  <si>
    <t>Installationen 
5 kWh/m² (Pauschal)</t>
  </si>
  <si>
    <t>m-Faktor [-]</t>
  </si>
  <si>
    <t>Sandwichelemente Außenwand (4,32 kg/m²)</t>
  </si>
  <si>
    <t>Maschinen 
5 kWh/m² (pauschal)</t>
  </si>
  <si>
    <t>brennbarer Dachaufbau
6,7 kWh/m² (pauschal)</t>
  </si>
  <si>
    <t>Span-Paletten</t>
  </si>
  <si>
    <t>Lagersäcke</t>
  </si>
  <si>
    <t>qr=</t>
  </si>
  <si>
    <t>kWh</t>
  </si>
  <si>
    <t xml:space="preserve">m² </t>
  </si>
  <si>
    <t>Grundfläche =</t>
  </si>
  <si>
    <t>Heizwert in kWh/kg bzw. kWh/m²</t>
  </si>
  <si>
    <t>Masse in kg bzw. Fläche in m² bzw. Stück</t>
  </si>
  <si>
    <t>Lagergut aus Stahl 
in kg</t>
  </si>
  <si>
    <t>Verpackungsfolie
in kg</t>
  </si>
  <si>
    <t>Euro-Paletten 
500 Stück á 23 kg</t>
  </si>
  <si>
    <t>Lagersäcke
100 Stück á 10 kg</t>
  </si>
  <si>
    <t>Vergrößerungs-faktor (Lagerhöhe 
&gt; 4,5 m)</t>
  </si>
  <si>
    <t>qr (Gesamt) =</t>
  </si>
  <si>
    <t>zulässige Fläche</t>
  </si>
  <si>
    <t>mit Abew</t>
  </si>
  <si>
    <t>=</t>
  </si>
  <si>
    <t>tä</t>
  </si>
  <si>
    <t>zul. Abew</t>
  </si>
  <si>
    <t>0,75 * zul Abew</t>
  </si>
  <si>
    <t>Sicherheitsfaktor</t>
  </si>
  <si>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R (ohne Faktoren)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1"/>
        <rFont val="Calibri"/>
        <family val="2"/>
      </rPr>
      <t/>
    </r>
  </si>
  <si>
    <t>Min.</t>
  </si>
  <si>
    <t>Zusammenfassung der rechnerischen Ergebnisse</t>
  </si>
  <si>
    <t>Voraussetzungen</t>
  </si>
  <si>
    <t>LKW
10.000 kWh 
(pauschal)</t>
  </si>
  <si>
    <t>Stapler
5.000 kWh
(pauschal)</t>
  </si>
  <si>
    <t>Berücksichtigung brennbare Bestandteile von Bauteilen (Außenwand, Dach, etc.)</t>
  </si>
  <si>
    <t>Berücksichtigung brennbare Installationen der technischen Gebäudeausrüstung</t>
  </si>
  <si>
    <t>Feuerwiderstandsdauer erf. tf</t>
  </si>
  <si>
    <t>Feuerwiderstandsdauer</t>
  </si>
  <si>
    <t>mit</t>
  </si>
  <si>
    <t>min.</t>
  </si>
  <si>
    <t>[-]</t>
  </si>
  <si>
    <t>min (SKb3)</t>
  </si>
  <si>
    <t>min (SKb2)</t>
  </si>
  <si>
    <t>min (SKb1)</t>
  </si>
  <si>
    <t>A bew</t>
  </si>
  <si>
    <t>Abbrand-faktor
m
[-]</t>
  </si>
  <si>
    <t>Maschinen 
2.000 kWh
(pauschal)</t>
  </si>
  <si>
    <t>Kranbahn
15.000 kWh
(pauschal)</t>
  </si>
  <si>
    <t>Berücksichtigung eines Sicherheitsfaktors von 20%</t>
  </si>
  <si>
    <t>Faktor 0,85</t>
  </si>
  <si>
    <t>(interpoliert aus der Tabelle)</t>
  </si>
  <si>
    <t>Sandwichelemente Außenwand (nur QH1)
1.782 m² * 4,32 kg/m²</t>
  </si>
  <si>
    <t>Holz (Verpackung + Produktion)</t>
  </si>
  <si>
    <r>
      <rPr>
        <i/>
        <sz val="11"/>
        <color theme="1"/>
        <rFont val="Calibri"/>
        <family val="2"/>
        <scheme val="minor"/>
      </rPr>
      <t>(a</t>
    </r>
    <r>
      <rPr>
        <vertAlign val="subscript"/>
        <sz val="11"/>
        <color theme="1"/>
        <rFont val="Calibri"/>
        <family val="2"/>
        <scheme val="minor"/>
      </rPr>
      <t xml:space="preserve">v </t>
    </r>
    <r>
      <rPr>
        <sz val="11"/>
        <color theme="1"/>
        <rFont val="Calibri"/>
        <family val="2"/>
      </rPr>
      <t>&lt; 0,025 -&gt; av = 0,025)</t>
    </r>
  </si>
  <si>
    <r>
      <t xml:space="preserve">mit </t>
    </r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 xml:space="preserve">v </t>
    </r>
    <r>
      <rPr>
        <sz val="11"/>
        <color theme="1"/>
        <rFont val="Calibri"/>
        <family val="2"/>
      </rPr>
      <t>= 0,025</t>
    </r>
  </si>
  <si>
    <r>
      <t xml:space="preserve">mit </t>
    </r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 xml:space="preserve">v </t>
    </r>
    <r>
      <rPr>
        <sz val="11"/>
        <color theme="1"/>
        <rFont val="Calibri"/>
        <family val="2"/>
      </rPr>
      <t>=0,025</t>
    </r>
  </si>
  <si>
    <t>52,32*0,15*1,992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</si>
</sst>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0.000"/>
    <numFmt numFmtId="165" formatCode="#,##0.000"/>
    <numFmt numFmtId="166" formatCode="_-* #,##0\ _€_-;\-* #,##0\ _€_-;_-* &quot;-&quot;??\ _€_-;_-@_-"/>
    <numFmt numFmtId="167" formatCode="0.0"/>
  </numFmts>
  <fonts count="17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i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 style="thin">
        <color theme="0" tint="-0.249977111117893"/>
      </bottom>
      <diagonal/>
    </border>
    <border>
      <left/>
      <right style="thin">
        <color theme="0" tint="-0.499984740745262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30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/>
    <xf numFmtId="0" fontId="2" fillId="0" borderId="0" xfId="0" applyFont="1"/>
    <xf numFmtId="0" fontId="4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3" xfId="0" applyBorder="1"/>
    <xf numFmtId="0" fontId="13" fillId="0" borderId="1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2" fontId="13" fillId="0" borderId="2" xfId="0" applyNumberFormat="1" applyFont="1" applyBorder="1"/>
    <xf numFmtId="0" fontId="13" fillId="0" borderId="0" xfId="0" applyFont="1" applyAlignment="1">
      <alignment vertical="top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4" fontId="3" fillId="0" borderId="0" xfId="0" applyNumberFormat="1" applyFont="1"/>
    <xf numFmtId="4" fontId="0" fillId="2" borderId="0" xfId="0" applyNumberFormat="1" applyFill="1" applyAlignment="1">
      <alignment horizontal="right"/>
    </xf>
    <xf numFmtId="4" fontId="0" fillId="2" borderId="0" xfId="0" applyNumberFormat="1" applyFill="1"/>
    <xf numFmtId="4" fontId="2" fillId="2" borderId="0" xfId="0" applyNumberFormat="1" applyFont="1" applyFill="1" applyAlignment="1">
      <alignment horizontal="right"/>
    </xf>
    <xf numFmtId="4" fontId="0" fillId="0" borderId="0" xfId="0" applyNumberFormat="1" applyFill="1"/>
    <xf numFmtId="0" fontId="0" fillId="0" borderId="0" xfId="0" applyBorder="1"/>
    <xf numFmtId="0" fontId="0" fillId="0" borderId="0" xfId="0" applyBorder="1" applyAlignment="1">
      <alignment horizontal="right"/>
    </xf>
    <xf numFmtId="0" fontId="11" fillId="0" borderId="0" xfId="0" applyFont="1" applyBorder="1"/>
    <xf numFmtId="4" fontId="3" fillId="0" borderId="0" xfId="0" applyNumberFormat="1" applyFont="1" applyAlignment="1">
      <alignment horizontal="right"/>
    </xf>
    <xf numFmtId="165" fontId="0" fillId="0" borderId="0" xfId="0" applyNumberFormat="1"/>
    <xf numFmtId="4" fontId="0" fillId="0" borderId="0" xfId="0" applyNumberFormat="1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horizontal="left"/>
    </xf>
    <xf numFmtId="164" fontId="4" fillId="2" borderId="0" xfId="0" applyNumberFormat="1" applyFont="1" applyFill="1"/>
    <xf numFmtId="165" fontId="0" fillId="2" borderId="0" xfId="0" applyNumberFormat="1" applyFill="1"/>
    <xf numFmtId="0" fontId="0" fillId="0" borderId="0" xfId="0" applyAlignment="1">
      <alignment vertical="top" wrapText="1"/>
    </xf>
    <xf numFmtId="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/>
    <xf numFmtId="0" fontId="0" fillId="0" borderId="10" xfId="0" applyBorder="1"/>
    <xf numFmtId="4" fontId="0" fillId="0" borderId="0" xfId="0" applyNumberFormat="1" applyFill="1" applyAlignment="1">
      <alignment horizontal="right"/>
    </xf>
    <xf numFmtId="0" fontId="0" fillId="0" borderId="5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4" fillId="2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" fontId="0" fillId="0" borderId="19" xfId="0" applyNumberFormat="1" applyBorder="1"/>
    <xf numFmtId="4" fontId="0" fillId="0" borderId="12" xfId="0" applyNumberFormat="1" applyBorder="1"/>
    <xf numFmtId="4" fontId="0" fillId="0" borderId="12" xfId="0" applyNumberFormat="1" applyBorder="1" applyAlignment="1">
      <alignment horizontal="left"/>
    </xf>
    <xf numFmtId="4" fontId="3" fillId="0" borderId="12" xfId="0" applyNumberFormat="1" applyFont="1" applyBorder="1" applyAlignment="1">
      <alignment horizontal="left"/>
    </xf>
    <xf numFmtId="4" fontId="0" fillId="0" borderId="17" xfId="0" applyNumberFormat="1" applyFill="1" applyBorder="1" applyAlignment="1">
      <alignment horizontal="left"/>
    </xf>
    <xf numFmtId="4" fontId="0" fillId="0" borderId="23" xfId="0" applyNumberFormat="1" applyFill="1" applyBorder="1" applyAlignment="1">
      <alignment horizontal="right"/>
    </xf>
    <xf numFmtId="4" fontId="0" fillId="0" borderId="18" xfId="0" applyNumberFormat="1" applyBorder="1"/>
    <xf numFmtId="4" fontId="0" fillId="0" borderId="13" xfId="0" applyNumberFormat="1" applyFont="1" applyFill="1" applyBorder="1" applyAlignment="1">
      <alignment horizontal="left"/>
    </xf>
    <xf numFmtId="0" fontId="0" fillId="0" borderId="12" xfId="0" applyFill="1" applyBorder="1"/>
    <xf numFmtId="4" fontId="0" fillId="0" borderId="13" xfId="0" applyNumberFormat="1" applyFill="1" applyBorder="1" applyAlignment="1">
      <alignment horizontal="right"/>
    </xf>
    <xf numFmtId="4" fontId="0" fillId="0" borderId="13" xfId="0" applyNumberFormat="1" applyFill="1" applyBorder="1"/>
    <xf numFmtId="4" fontId="0" fillId="0" borderId="12" xfId="0" applyNumberFormat="1" applyFill="1" applyBorder="1" applyAlignment="1">
      <alignment horizontal="right" wrapText="1"/>
    </xf>
    <xf numFmtId="4" fontId="0" fillId="0" borderId="13" xfId="0" applyNumberFormat="1" applyFill="1" applyBorder="1" applyAlignment="1">
      <alignment horizontal="right" wrapText="1"/>
    </xf>
    <xf numFmtId="4" fontId="0" fillId="0" borderId="13" xfId="0" applyNumberFormat="1" applyFill="1" applyBorder="1" applyAlignment="1">
      <alignment horizontal="left"/>
    </xf>
    <xf numFmtId="4" fontId="0" fillId="0" borderId="18" xfId="0" applyNumberFormat="1" applyFill="1" applyBorder="1"/>
    <xf numFmtId="4" fontId="0" fillId="0" borderId="19" xfId="0" applyNumberFormat="1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11" xfId="0" applyFill="1" applyBorder="1" applyAlignment="1">
      <alignment horizontal="center" wrapText="1"/>
    </xf>
    <xf numFmtId="0" fontId="0" fillId="0" borderId="1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15" xfId="0" applyFill="1" applyBorder="1" applyAlignment="1">
      <alignment horizontal="right"/>
    </xf>
    <xf numFmtId="164" fontId="0" fillId="0" borderId="18" xfId="0" applyNumberFormat="1" applyFill="1" applyBorder="1"/>
    <xf numFmtId="0" fontId="0" fillId="0" borderId="16" xfId="0" applyFill="1" applyBorder="1" applyAlignment="1">
      <alignment horizontal="right"/>
    </xf>
    <xf numFmtId="0" fontId="0" fillId="0" borderId="20" xfId="0" applyFill="1" applyBorder="1"/>
    <xf numFmtId="0" fontId="0" fillId="0" borderId="0" xfId="0" applyFill="1" applyBorder="1"/>
    <xf numFmtId="0" fontId="0" fillId="0" borderId="21" xfId="0" applyFill="1" applyBorder="1"/>
    <xf numFmtId="0" fontId="0" fillId="0" borderId="13" xfId="0" applyFill="1" applyBorder="1"/>
    <xf numFmtId="0" fontId="0" fillId="0" borderId="14" xfId="0" applyFill="1" applyBorder="1"/>
    <xf numFmtId="0" fontId="2" fillId="0" borderId="18" xfId="0" applyFont="1" applyBorder="1" applyAlignment="1">
      <alignment horizontal="right"/>
    </xf>
    <xf numFmtId="0" fontId="4" fillId="2" borderId="22" xfId="0" applyFont="1" applyFill="1" applyBorder="1"/>
    <xf numFmtId="0" fontId="0" fillId="2" borderId="23" xfId="0" applyFill="1" applyBorder="1"/>
    <xf numFmtId="4" fontId="0" fillId="2" borderId="23" xfId="0" applyNumberFormat="1" applyFill="1" applyBorder="1"/>
    <xf numFmtId="0" fontId="0" fillId="2" borderId="24" xfId="0" applyFill="1" applyBorder="1"/>
    <xf numFmtId="0" fontId="0" fillId="0" borderId="14" xfId="0" applyBorder="1" applyAlignment="1">
      <alignment horizontal="center"/>
    </xf>
    <xf numFmtId="0" fontId="0" fillId="4" borderId="12" xfId="0" applyFill="1" applyBorder="1"/>
    <xf numFmtId="0" fontId="0" fillId="4" borderId="13" xfId="0" applyFill="1" applyBorder="1" applyAlignment="1">
      <alignment horizontal="right"/>
    </xf>
    <xf numFmtId="0" fontId="0" fillId="4" borderId="13" xfId="0" applyFill="1" applyBorder="1"/>
    <xf numFmtId="0" fontId="0" fillId="4" borderId="14" xfId="0" applyFill="1" applyBorder="1"/>
    <xf numFmtId="0" fontId="0" fillId="0" borderId="13" xfId="0" applyFill="1" applyBorder="1" applyAlignment="1">
      <alignment horizontal="right"/>
    </xf>
    <xf numFmtId="0" fontId="0" fillId="0" borderId="19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2" xfId="0" applyBorder="1" applyAlignment="1">
      <alignment horizontal="right"/>
    </xf>
    <xf numFmtId="0" fontId="0" fillId="0" borderId="26" xfId="0" applyBorder="1" applyAlignment="1">
      <alignment horizontal="left"/>
    </xf>
    <xf numFmtId="0" fontId="0" fillId="5" borderId="12" xfId="0" applyFill="1" applyBorder="1"/>
    <xf numFmtId="4" fontId="4" fillId="5" borderId="13" xfId="0" applyNumberFormat="1" applyFont="1" applyFill="1" applyBorder="1" applyAlignment="1">
      <alignment horizontal="right"/>
    </xf>
    <xf numFmtId="4" fontId="4" fillId="5" borderId="13" xfId="0" applyNumberFormat="1" applyFont="1" applyFill="1" applyBorder="1"/>
    <xf numFmtId="0" fontId="0" fillId="5" borderId="13" xfId="0" applyFill="1" applyBorder="1"/>
    <xf numFmtId="0" fontId="0" fillId="5" borderId="14" xfId="0" applyFill="1" applyBorder="1"/>
    <xf numFmtId="0" fontId="0" fillId="0" borderId="30" xfId="0" applyBorder="1" applyAlignment="1">
      <alignment horizontal="right"/>
    </xf>
    <xf numFmtId="0" fontId="0" fillId="3" borderId="0" xfId="0" applyFill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4" fillId="2" borderId="39" xfId="0" applyFont="1" applyFill="1" applyBorder="1"/>
    <xf numFmtId="0" fontId="0" fillId="2" borderId="40" xfId="0" applyFill="1" applyBorder="1"/>
    <xf numFmtId="0" fontId="0" fillId="2" borderId="41" xfId="0" applyFill="1" applyBorder="1"/>
    <xf numFmtId="0" fontId="4" fillId="0" borderId="0" xfId="0" applyFont="1" applyFill="1" applyBorder="1"/>
    <xf numFmtId="0" fontId="0" fillId="0" borderId="0" xfId="0" applyFill="1" applyBorder="1" applyAlignment="1">
      <alignment horizontal="right"/>
    </xf>
    <xf numFmtId="0" fontId="4" fillId="2" borderId="40" xfId="0" applyFont="1" applyFill="1" applyBorder="1"/>
    <xf numFmtId="0" fontId="0" fillId="4" borderId="38" xfId="0" applyFill="1" applyBorder="1" applyAlignment="1">
      <alignment horizontal="center"/>
    </xf>
    <xf numFmtId="0" fontId="0" fillId="4" borderId="38" xfId="0" applyFill="1" applyBorder="1" applyAlignment="1">
      <alignment horizontal="center" wrapText="1"/>
    </xf>
    <xf numFmtId="3" fontId="0" fillId="0" borderId="0" xfId="0" applyNumberFormat="1"/>
    <xf numFmtId="0" fontId="0" fillId="0" borderId="39" xfId="0" applyBorder="1"/>
    <xf numFmtId="3" fontId="0" fillId="0" borderId="40" xfId="0" applyNumberFormat="1" applyBorder="1"/>
    <xf numFmtId="0" fontId="0" fillId="0" borderId="40" xfId="0" applyBorder="1"/>
    <xf numFmtId="3" fontId="0" fillId="0" borderId="41" xfId="0" applyNumberFormat="1" applyBorder="1"/>
    <xf numFmtId="3" fontId="0" fillId="0" borderId="40" xfId="0" applyNumberFormat="1" applyFill="1" applyBorder="1"/>
    <xf numFmtId="0" fontId="0" fillId="0" borderId="39" xfId="0" applyBorder="1" applyAlignment="1">
      <alignment wrapText="1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40" xfId="0" applyBorder="1" applyAlignment="1">
      <alignment horizontal="right"/>
    </xf>
    <xf numFmtId="0" fontId="0" fillId="0" borderId="41" xfId="0" applyBorder="1"/>
    <xf numFmtId="0" fontId="0" fillId="3" borderId="40" xfId="0" applyFill="1" applyBorder="1"/>
    <xf numFmtId="4" fontId="0" fillId="0" borderId="13" xfId="0" applyNumberFormat="1" applyBorder="1" applyAlignment="1">
      <alignment horizontal="left"/>
    </xf>
    <xf numFmtId="4" fontId="3" fillId="0" borderId="13" xfId="0" applyNumberFormat="1" applyFont="1" applyBorder="1" applyAlignment="1">
      <alignment horizontal="left"/>
    </xf>
    <xf numFmtId="4" fontId="0" fillId="0" borderId="18" xfId="0" applyNumberFormat="1" applyFill="1" applyBorder="1" applyAlignment="1">
      <alignment horizontal="left"/>
    </xf>
    <xf numFmtId="0" fontId="0" fillId="0" borderId="51" xfId="0" applyBorder="1"/>
    <xf numFmtId="0" fontId="0" fillId="0" borderId="52" xfId="0" applyBorder="1"/>
    <xf numFmtId="0" fontId="0" fillId="0" borderId="52" xfId="0" applyBorder="1" applyAlignment="1">
      <alignment vertical="top" wrapText="1"/>
    </xf>
    <xf numFmtId="0" fontId="0" fillId="0" borderId="47" xfId="0" applyBorder="1"/>
    <xf numFmtId="4" fontId="4" fillId="0" borderId="45" xfId="0" applyNumberFormat="1" applyFont="1" applyFill="1" applyBorder="1" applyAlignment="1">
      <alignment horizontal="right"/>
    </xf>
    <xf numFmtId="4" fontId="0" fillId="0" borderId="46" xfId="0" applyNumberFormat="1" applyBorder="1"/>
    <xf numFmtId="4" fontId="0" fillId="0" borderId="40" xfId="0" applyNumberFormat="1" applyBorder="1"/>
    <xf numFmtId="0" fontId="0" fillId="0" borderId="41" xfId="0" applyBorder="1" applyAlignment="1">
      <alignment vertical="top" wrapText="1"/>
    </xf>
    <xf numFmtId="4" fontId="3" fillId="0" borderId="53" xfId="0" applyNumberFormat="1" applyFont="1" applyBorder="1" applyAlignment="1">
      <alignment horizontal="right"/>
    </xf>
    <xf numFmtId="4" fontId="0" fillId="0" borderId="0" xfId="0" applyNumberFormat="1" applyBorder="1"/>
    <xf numFmtId="4" fontId="3" fillId="0" borderId="39" xfId="0" applyNumberFormat="1" applyFont="1" applyBorder="1" applyAlignment="1">
      <alignment horizontal="right"/>
    </xf>
    <xf numFmtId="4" fontId="0" fillId="0" borderId="53" xfId="0" applyNumberFormat="1" applyBorder="1" applyAlignment="1">
      <alignment horizontal="right"/>
    </xf>
    <xf numFmtId="4" fontId="0" fillId="0" borderId="39" xfId="0" applyNumberFormat="1" applyBorder="1" applyAlignment="1">
      <alignment horizontal="right"/>
    </xf>
    <xf numFmtId="165" fontId="0" fillId="0" borderId="0" xfId="0" applyNumberFormat="1" applyBorder="1"/>
    <xf numFmtId="165" fontId="0" fillId="0" borderId="40" xfId="0" applyNumberFormat="1" applyBorder="1"/>
    <xf numFmtId="4" fontId="0" fillId="0" borderId="42" xfId="0" applyNumberFormat="1" applyBorder="1" applyAlignment="1">
      <alignment horizontal="right"/>
    </xf>
    <xf numFmtId="4" fontId="0" fillId="0" borderId="54" xfId="0" applyNumberFormat="1" applyBorder="1"/>
    <xf numFmtId="4" fontId="0" fillId="0" borderId="53" xfId="0" applyNumberFormat="1" applyBorder="1"/>
    <xf numFmtId="0" fontId="0" fillId="0" borderId="40" xfId="0" applyBorder="1" applyAlignment="1">
      <alignment horizontal="center"/>
    </xf>
    <xf numFmtId="0" fontId="0" fillId="0" borderId="15" xfId="0" applyFill="1" applyBorder="1" applyAlignment="1">
      <alignment horizontal="center" wrapText="1"/>
    </xf>
    <xf numFmtId="0" fontId="0" fillId="0" borderId="38" xfId="0" applyBorder="1"/>
    <xf numFmtId="3" fontId="0" fillId="0" borderId="38" xfId="0" applyNumberFormat="1" applyBorder="1"/>
    <xf numFmtId="0" fontId="0" fillId="0" borderId="12" xfId="0" applyFill="1" applyBorder="1" applyAlignment="1">
      <alignment horizontal="center" wrapText="1"/>
    </xf>
    <xf numFmtId="0" fontId="0" fillId="0" borderId="12" xfId="0" applyFill="1" applyBorder="1" applyAlignment="1">
      <alignment horizontal="center"/>
    </xf>
    <xf numFmtId="3" fontId="0" fillId="0" borderId="43" xfId="0" applyNumberFormat="1" applyBorder="1"/>
    <xf numFmtId="0" fontId="0" fillId="0" borderId="43" xfId="0" applyBorder="1" applyAlignment="1">
      <alignment horizontal="center"/>
    </xf>
    <xf numFmtId="0" fontId="0" fillId="0" borderId="17" xfId="0" applyFill="1" applyBorder="1" applyAlignment="1">
      <alignment horizontal="center"/>
    </xf>
    <xf numFmtId="4" fontId="0" fillId="2" borderId="24" xfId="0" applyNumberFormat="1" applyFill="1" applyBorder="1"/>
    <xf numFmtId="0" fontId="0" fillId="0" borderId="38" xfId="0" applyFill="1" applyBorder="1"/>
    <xf numFmtId="0" fontId="0" fillId="0" borderId="52" xfId="0" applyFill="1" applyBorder="1"/>
    <xf numFmtId="0" fontId="0" fillId="0" borderId="45" xfId="0" applyBorder="1"/>
    <xf numFmtId="0" fontId="0" fillId="0" borderId="46" xfId="0" applyBorder="1"/>
    <xf numFmtId="0" fontId="0" fillId="0" borderId="38" xfId="0" applyBorder="1" applyAlignment="1">
      <alignment wrapText="1"/>
    </xf>
    <xf numFmtId="4" fontId="5" fillId="0" borderId="38" xfId="0" applyNumberFormat="1" applyFont="1" applyFill="1" applyBorder="1" applyAlignment="1">
      <alignment horizontal="right"/>
    </xf>
    <xf numFmtId="4" fontId="4" fillId="0" borderId="38" xfId="0" applyNumberFormat="1" applyFont="1" applyFill="1" applyBorder="1"/>
    <xf numFmtId="0" fontId="0" fillId="0" borderId="38" xfId="0" applyFill="1" applyBorder="1" applyAlignment="1">
      <alignment horizontal="left" wrapText="1"/>
    </xf>
    <xf numFmtId="0" fontId="4" fillId="2" borderId="17" xfId="0" applyFont="1" applyFill="1" applyBorder="1"/>
    <xf numFmtId="0" fontId="0" fillId="2" borderId="18" xfId="0" applyFill="1" applyBorder="1"/>
    <xf numFmtId="0" fontId="0" fillId="2" borderId="18" xfId="0" applyFill="1" applyBorder="1" applyAlignment="1">
      <alignment vertical="top" wrapText="1"/>
    </xf>
    <xf numFmtId="0" fontId="0" fillId="2" borderId="19" xfId="0" applyFill="1" applyBorder="1"/>
    <xf numFmtId="0" fontId="0" fillId="0" borderId="55" xfId="0" applyBorder="1"/>
    <xf numFmtId="4" fontId="5" fillId="0" borderId="40" xfId="0" applyNumberFormat="1" applyFont="1" applyFill="1" applyBorder="1" applyAlignment="1">
      <alignment horizontal="right"/>
    </xf>
    <xf numFmtId="0" fontId="0" fillId="0" borderId="45" xfId="0" applyBorder="1" applyAlignment="1">
      <alignment vertical="top" wrapText="1"/>
    </xf>
    <xf numFmtId="0" fontId="0" fillId="0" borderId="46" xfId="0" applyBorder="1" applyAlignment="1">
      <alignment vertical="top" wrapText="1"/>
    </xf>
    <xf numFmtId="0" fontId="2" fillId="0" borderId="17" xfId="0" applyFont="1" applyBorder="1"/>
    <xf numFmtId="0" fontId="2" fillId="0" borderId="40" xfId="0" applyFont="1" applyBorder="1" applyAlignment="1">
      <alignment horizontal="right"/>
    </xf>
    <xf numFmtId="4" fontId="4" fillId="2" borderId="22" xfId="0" applyNumberFormat="1" applyFont="1" applyFill="1" applyBorder="1"/>
    <xf numFmtId="0" fontId="0" fillId="0" borderId="42" xfId="0" applyBorder="1"/>
    <xf numFmtId="0" fontId="0" fillId="0" borderId="43" xfId="0" applyBorder="1"/>
    <xf numFmtId="0" fontId="2" fillId="0" borderId="43" xfId="0" applyFont="1" applyBorder="1" applyAlignment="1">
      <alignment horizontal="right"/>
    </xf>
    <xf numFmtId="164" fontId="0" fillId="0" borderId="43" xfId="0" applyNumberFormat="1" applyFill="1" applyBorder="1"/>
    <xf numFmtId="0" fontId="0" fillId="0" borderId="44" xfId="0" applyBorder="1"/>
    <xf numFmtId="164" fontId="0" fillId="0" borderId="46" xfId="0" applyNumberFormat="1" applyBorder="1"/>
    <xf numFmtId="0" fontId="0" fillId="0" borderId="48" xfId="0" applyBorder="1" applyAlignment="1">
      <alignment wrapText="1"/>
    </xf>
    <xf numFmtId="3" fontId="0" fillId="0" borderId="43" xfId="0" applyNumberFormat="1" applyFill="1" applyBorder="1"/>
    <xf numFmtId="0" fontId="0" fillId="0" borderId="17" xfId="0" applyFill="1" applyBorder="1" applyAlignment="1">
      <alignment horizontal="center" wrapText="1"/>
    </xf>
    <xf numFmtId="0" fontId="0" fillId="0" borderId="50" xfId="0" applyBorder="1" applyAlignment="1">
      <alignment wrapText="1"/>
    </xf>
    <xf numFmtId="3" fontId="0" fillId="0" borderId="46" xfId="0" applyNumberFormat="1" applyBorder="1"/>
    <xf numFmtId="3" fontId="0" fillId="0" borderId="50" xfId="0" applyNumberFormat="1" applyBorder="1"/>
    <xf numFmtId="0" fontId="0" fillId="0" borderId="46" xfId="0" applyBorder="1" applyAlignment="1">
      <alignment horizontal="center"/>
    </xf>
    <xf numFmtId="0" fontId="0" fillId="0" borderId="22" xfId="0" applyFill="1" applyBorder="1" applyAlignment="1">
      <alignment horizontal="center" wrapText="1"/>
    </xf>
    <xf numFmtId="0" fontId="0" fillId="0" borderId="56" xfId="0" applyFill="1" applyBorder="1" applyAlignment="1">
      <alignment horizontal="center" wrapText="1"/>
    </xf>
    <xf numFmtId="4" fontId="0" fillId="0" borderId="39" xfId="0" applyNumberFormat="1" applyFill="1" applyBorder="1" applyAlignment="1">
      <alignment horizontal="right"/>
    </xf>
    <xf numFmtId="0" fontId="0" fillId="0" borderId="40" xfId="0" applyFill="1" applyBorder="1"/>
    <xf numFmtId="0" fontId="0" fillId="0" borderId="38" xfId="0" applyFill="1" applyBorder="1" applyAlignment="1">
      <alignment horizontal="right"/>
    </xf>
    <xf numFmtId="0" fontId="0" fillId="6" borderId="0" xfId="0" applyFill="1"/>
    <xf numFmtId="4" fontId="0" fillId="2" borderId="39" xfId="0" applyNumberFormat="1" applyFill="1" applyBorder="1"/>
    <xf numFmtId="4" fontId="0" fillId="2" borderId="40" xfId="0" applyNumberFormat="1" applyFill="1" applyBorder="1"/>
    <xf numFmtId="4" fontId="0" fillId="0" borderId="39" xfId="0" applyNumberFormat="1" applyBorder="1"/>
    <xf numFmtId="0" fontId="0" fillId="6" borderId="40" xfId="0" applyFill="1" applyBorder="1" applyAlignment="1">
      <alignment horizontal="right"/>
    </xf>
    <xf numFmtId="4" fontId="0" fillId="6" borderId="40" xfId="0" applyNumberFormat="1" applyFill="1" applyBorder="1"/>
    <xf numFmtId="0" fontId="0" fillId="6" borderId="41" xfId="0" applyFill="1" applyBorder="1"/>
    <xf numFmtId="4" fontId="0" fillId="0" borderId="42" xfId="0" applyNumberFormat="1" applyBorder="1"/>
    <xf numFmtId="0" fontId="0" fillId="6" borderId="43" xfId="0" applyFill="1" applyBorder="1"/>
    <xf numFmtId="4" fontId="0" fillId="6" borderId="43" xfId="0" applyNumberFormat="1" applyFill="1" applyBorder="1"/>
    <xf numFmtId="0" fontId="0" fillId="6" borderId="44" xfId="0" applyFill="1" applyBorder="1"/>
    <xf numFmtId="0" fontId="4" fillId="0" borderId="0" xfId="0" applyFont="1" applyBorder="1"/>
    <xf numFmtId="0" fontId="0" fillId="6" borderId="0" xfId="0" applyFill="1" applyBorder="1"/>
    <xf numFmtId="4" fontId="0" fillId="6" borderId="0" xfId="0" applyNumberFormat="1" applyFill="1" applyBorder="1"/>
    <xf numFmtId="0" fontId="0" fillId="6" borderId="52" xfId="0" applyFill="1" applyBorder="1"/>
    <xf numFmtId="4" fontId="0" fillId="0" borderId="45" xfId="0" applyNumberFormat="1" applyBorder="1"/>
    <xf numFmtId="0" fontId="0" fillId="6" borderId="46" xfId="0" applyFill="1" applyBorder="1"/>
    <xf numFmtId="4" fontId="0" fillId="6" borderId="46" xfId="0" applyNumberFormat="1" applyFill="1" applyBorder="1"/>
    <xf numFmtId="0" fontId="0" fillId="6" borderId="47" xfId="0" applyFill="1" applyBorder="1"/>
    <xf numFmtId="167" fontId="4" fillId="0" borderId="0" xfId="0" applyNumberFormat="1" applyFont="1" applyBorder="1"/>
    <xf numFmtId="167" fontId="4" fillId="0" borderId="26" xfId="0" applyNumberFormat="1" applyFont="1" applyBorder="1"/>
    <xf numFmtId="0" fontId="4" fillId="0" borderId="26" xfId="0" applyFont="1" applyBorder="1"/>
    <xf numFmtId="0" fontId="0" fillId="0" borderId="15" xfId="0" applyFill="1" applyBorder="1"/>
    <xf numFmtId="0" fontId="0" fillId="0" borderId="16" xfId="0" applyFill="1" applyBorder="1"/>
    <xf numFmtId="0" fontId="0" fillId="0" borderId="16" xfId="0" applyFill="1" applyBorder="1" applyAlignment="1">
      <alignment horizontal="left"/>
    </xf>
    <xf numFmtId="166" fontId="0" fillId="0" borderId="0" xfId="1" applyNumberFormat="1" applyFont="1" applyFill="1"/>
    <xf numFmtId="2" fontId="0" fillId="6" borderId="40" xfId="0" applyNumberFormat="1" applyFill="1" applyBorder="1"/>
    <xf numFmtId="0" fontId="0" fillId="0" borderId="45" xfId="0" applyBorder="1" applyAlignment="1">
      <alignment horizontal="right"/>
    </xf>
    <xf numFmtId="0" fontId="0" fillId="0" borderId="57" xfId="0" applyFill="1" applyBorder="1"/>
    <xf numFmtId="0" fontId="0" fillId="0" borderId="26" xfId="0" applyFill="1" applyBorder="1"/>
    <xf numFmtId="165" fontId="4" fillId="6" borderId="46" xfId="0" applyNumberFormat="1" applyFont="1" applyFill="1" applyBorder="1"/>
    <xf numFmtId="4" fontId="4" fillId="6" borderId="55" xfId="0" applyNumberFormat="1" applyFont="1" applyFill="1" applyBorder="1"/>
    <xf numFmtId="3" fontId="0" fillId="0" borderId="41" xfId="0" applyNumberFormat="1" applyFill="1" applyBorder="1"/>
    <xf numFmtId="2" fontId="0" fillId="6" borderId="26" xfId="0" applyNumberFormat="1" applyFill="1" applyBorder="1"/>
    <xf numFmtId="0" fontId="0" fillId="0" borderId="58" xfId="0" applyFill="1" applyBorder="1" applyAlignment="1">
      <alignment horizontal="right"/>
    </xf>
    <xf numFmtId="4" fontId="0" fillId="0" borderId="59" xfId="0" applyNumberFormat="1" applyFill="1" applyBorder="1" applyAlignment="1">
      <alignment horizontal="right"/>
    </xf>
    <xf numFmtId="0" fontId="0" fillId="0" borderId="46" xfId="0" applyFill="1" applyBorder="1"/>
    <xf numFmtId="0" fontId="0" fillId="0" borderId="60" xfId="0" applyFill="1" applyBorder="1"/>
    <xf numFmtId="0" fontId="0" fillId="0" borderId="61" xfId="0" applyFill="1" applyBorder="1"/>
    <xf numFmtId="0" fontId="0" fillId="0" borderId="47" xfId="0" applyFill="1" applyBorder="1"/>
    <xf numFmtId="2" fontId="0" fillId="6" borderId="46" xfId="0" applyNumberFormat="1" applyFill="1" applyBorder="1"/>
    <xf numFmtId="0" fontId="0" fillId="6" borderId="25" xfId="0" applyFill="1" applyBorder="1"/>
    <xf numFmtId="0" fontId="0" fillId="6" borderId="13" xfId="0" applyFill="1" applyBorder="1"/>
    <xf numFmtId="3" fontId="0" fillId="0" borderId="0" xfId="0" applyNumberFormat="1" applyFill="1"/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28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56" xfId="0" applyBorder="1" applyAlignment="1">
      <alignment horizontal="left" wrapText="1"/>
    </xf>
    <xf numFmtId="0" fontId="0" fillId="0" borderId="41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8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4" fontId="4" fillId="7" borderId="0" xfId="0" applyNumberFormat="1" applyFont="1" applyFill="1"/>
    <xf numFmtId="0" fontId="0" fillId="0" borderId="62" xfId="0" applyFill="1" applyBorder="1" applyAlignment="1">
      <alignment horizontal="center" wrapText="1"/>
    </xf>
    <xf numFmtId="3" fontId="0" fillId="0" borderId="63" xfId="0" applyNumberFormat="1" applyBorder="1"/>
    <xf numFmtId="3" fontId="0" fillId="0" borderId="64" xfId="0" applyNumberFormat="1" applyBorder="1"/>
    <xf numFmtId="3" fontId="0" fillId="0" borderId="65" xfId="0" applyNumberFormat="1" applyBorder="1"/>
    <xf numFmtId="3" fontId="0" fillId="0" borderId="63" xfId="0" applyNumberFormat="1" applyFill="1" applyBorder="1"/>
    <xf numFmtId="0" fontId="0" fillId="0" borderId="54" xfId="0" applyFill="1" applyBorder="1"/>
    <xf numFmtId="0" fontId="0" fillId="0" borderId="66" xfId="0" applyFill="1" applyBorder="1"/>
    <xf numFmtId="4" fontId="0" fillId="0" borderId="67" xfId="0" applyNumberFormat="1" applyBorder="1"/>
    <xf numFmtId="4" fontId="0" fillId="0" borderId="55" xfId="0" applyNumberFormat="1" applyBorder="1"/>
    <xf numFmtId="3" fontId="4" fillId="6" borderId="0" xfId="0" applyNumberFormat="1" applyFont="1" applyFill="1"/>
    <xf numFmtId="3" fontId="4" fillId="0" borderId="0" xfId="0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5</xdr:row>
      <xdr:rowOff>266700</xdr:rowOff>
    </xdr:from>
    <xdr:to>
      <xdr:col>9</xdr:col>
      <xdr:colOff>752475</xdr:colOff>
      <xdr:row>10</xdr:row>
      <xdr:rowOff>180975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8700" y="457200"/>
          <a:ext cx="4791075" cy="12192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</xdr:row>
      <xdr:rowOff>76200</xdr:rowOff>
    </xdr:from>
    <xdr:to>
      <xdr:col>9</xdr:col>
      <xdr:colOff>752475</xdr:colOff>
      <xdr:row>17</xdr:row>
      <xdr:rowOff>104775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752600"/>
          <a:ext cx="4791075" cy="11715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9525</xdr:colOff>
      <xdr:row>17</xdr:row>
      <xdr:rowOff>152400</xdr:rowOff>
    </xdr:from>
    <xdr:to>
      <xdr:col>10</xdr:col>
      <xdr:colOff>0</xdr:colOff>
      <xdr:row>27</xdr:row>
      <xdr:rowOff>38100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04950" y="3476625"/>
          <a:ext cx="4210050" cy="17907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180975</xdr:colOff>
      <xdr:row>27</xdr:row>
      <xdr:rowOff>66675</xdr:rowOff>
    </xdr:from>
    <xdr:to>
      <xdr:col>9</xdr:col>
      <xdr:colOff>733425</xdr:colOff>
      <xdr:row>33</xdr:row>
      <xdr:rowOff>47625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76375" y="5295900"/>
          <a:ext cx="4210050" cy="11239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9526</xdr:colOff>
      <xdr:row>33</xdr:row>
      <xdr:rowOff>38100</xdr:rowOff>
    </xdr:from>
    <xdr:to>
      <xdr:col>9</xdr:col>
      <xdr:colOff>628651</xdr:colOff>
      <xdr:row>48</xdr:row>
      <xdr:rowOff>180975</xdr:rowOff>
    </xdr:to>
    <xdr:pic>
      <xdr:nvPicPr>
        <xdr:cNvPr id="6" name="Picture 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r="1383" b="2716"/>
        <a:stretch/>
      </xdr:blipFill>
      <xdr:spPr bwMode="auto">
        <a:xfrm>
          <a:off x="1504951" y="6410325"/>
          <a:ext cx="4076700" cy="30003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7326</xdr:colOff>
      <xdr:row>3</xdr:row>
      <xdr:rowOff>202957</xdr:rowOff>
    </xdr:from>
    <xdr:to>
      <xdr:col>10</xdr:col>
      <xdr:colOff>82923</xdr:colOff>
      <xdr:row>15</xdr:row>
      <xdr:rowOff>25645</xdr:rowOff>
    </xdr:to>
    <xdr:pic>
      <xdr:nvPicPr>
        <xdr:cNvPr id="2" name="Grafik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63" t="42195" r="75475" b="6287"/>
        <a:stretch/>
      </xdr:blipFill>
      <xdr:spPr>
        <a:xfrm>
          <a:off x="2886807" y="847726"/>
          <a:ext cx="2257651" cy="3343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120590</xdr:rowOff>
    </xdr:from>
    <xdr:to>
      <xdr:col>8</xdr:col>
      <xdr:colOff>119860</xdr:colOff>
      <xdr:row>15</xdr:row>
      <xdr:rowOff>115955</xdr:rowOff>
    </xdr:to>
    <xdr:pic>
      <xdr:nvPicPr>
        <xdr:cNvPr id="2" name="Grafik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498" t="50257" r="61403" b="13593"/>
        <a:stretch/>
      </xdr:blipFill>
      <xdr:spPr>
        <a:xfrm>
          <a:off x="0" y="1155916"/>
          <a:ext cx="4729960" cy="19003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71439</xdr:rowOff>
    </xdr:from>
    <xdr:to>
      <xdr:col>8</xdr:col>
      <xdr:colOff>85725</xdr:colOff>
      <xdr:row>33</xdr:row>
      <xdr:rowOff>133350</xdr:rowOff>
    </xdr:to>
    <xdr:pic>
      <xdr:nvPicPr>
        <xdr:cNvPr id="3" name="Grafik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992" t="47387" r="62719" b="11163"/>
        <a:stretch/>
      </xdr:blipFill>
      <xdr:spPr>
        <a:xfrm>
          <a:off x="0" y="3805239"/>
          <a:ext cx="4695825" cy="27289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156</xdr:row>
      <xdr:rowOff>104775</xdr:rowOff>
    </xdr:from>
    <xdr:to>
      <xdr:col>6</xdr:col>
      <xdr:colOff>47625</xdr:colOff>
      <xdr:row>174</xdr:row>
      <xdr:rowOff>179777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8632150"/>
          <a:ext cx="5686425" cy="3504002"/>
        </a:xfrm>
        <a:prstGeom prst="rect">
          <a:avLst/>
        </a:prstGeom>
      </xdr:spPr>
    </xdr:pic>
    <xdr:clientData/>
  </xdr:twoCellAnchor>
  <xdr:twoCellAnchor>
    <xdr:from>
      <xdr:col>1</xdr:col>
      <xdr:colOff>590550</xdr:colOff>
      <xdr:row>160</xdr:row>
      <xdr:rowOff>19050</xdr:rowOff>
    </xdr:from>
    <xdr:to>
      <xdr:col>3</xdr:col>
      <xdr:colOff>485775</xdr:colOff>
      <xdr:row>161</xdr:row>
      <xdr:rowOff>104775</xdr:rowOff>
    </xdr:to>
    <xdr:sp macro="" textlink="">
      <xdr:nvSpPr>
        <xdr:cNvPr id="3" name="Rechteck 2"/>
        <xdr:cNvSpPr/>
      </xdr:nvSpPr>
      <xdr:spPr>
        <a:xfrm>
          <a:off x="1943100" y="29308425"/>
          <a:ext cx="168592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581025</xdr:colOff>
      <xdr:row>170</xdr:row>
      <xdr:rowOff>9525</xdr:rowOff>
    </xdr:from>
    <xdr:to>
      <xdr:col>3</xdr:col>
      <xdr:colOff>476250</xdr:colOff>
      <xdr:row>171</xdr:row>
      <xdr:rowOff>95250</xdr:rowOff>
    </xdr:to>
    <xdr:sp macro="" textlink="">
      <xdr:nvSpPr>
        <xdr:cNvPr id="4" name="Rechteck 3"/>
        <xdr:cNvSpPr/>
      </xdr:nvSpPr>
      <xdr:spPr>
        <a:xfrm>
          <a:off x="1933575" y="31203900"/>
          <a:ext cx="168592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76201</xdr:colOff>
      <xdr:row>170</xdr:row>
      <xdr:rowOff>9525</xdr:rowOff>
    </xdr:from>
    <xdr:to>
      <xdr:col>0</xdr:col>
      <xdr:colOff>1009651</xdr:colOff>
      <xdr:row>171</xdr:row>
      <xdr:rowOff>95250</xdr:rowOff>
    </xdr:to>
    <xdr:sp macro="" textlink="">
      <xdr:nvSpPr>
        <xdr:cNvPr id="5" name="Rechteck 4"/>
        <xdr:cNvSpPr/>
      </xdr:nvSpPr>
      <xdr:spPr>
        <a:xfrm>
          <a:off x="76201" y="31203900"/>
          <a:ext cx="933450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9</xdr:col>
      <xdr:colOff>76200</xdr:colOff>
      <xdr:row>0</xdr:row>
      <xdr:rowOff>95250</xdr:rowOff>
    </xdr:from>
    <xdr:to>
      <xdr:col>17</xdr:col>
      <xdr:colOff>208508</xdr:colOff>
      <xdr:row>15</xdr:row>
      <xdr:rowOff>250995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4700" y="95250"/>
          <a:ext cx="5466308" cy="4041945"/>
        </a:xfrm>
        <a:prstGeom prst="rect">
          <a:avLst/>
        </a:prstGeom>
      </xdr:spPr>
    </xdr:pic>
    <xdr:clientData/>
  </xdr:twoCellAnchor>
  <xdr:twoCellAnchor editAs="oneCell">
    <xdr:from>
      <xdr:col>11</xdr:col>
      <xdr:colOff>695325</xdr:colOff>
      <xdr:row>38</xdr:row>
      <xdr:rowOff>9525</xdr:rowOff>
    </xdr:from>
    <xdr:to>
      <xdr:col>13</xdr:col>
      <xdr:colOff>19050</xdr:colOff>
      <xdr:row>38</xdr:row>
      <xdr:rowOff>178460</xdr:rowOff>
    </xdr:to>
    <xdr:pic>
      <xdr:nvPicPr>
        <xdr:cNvPr id="12" name="Grafik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3525" y="6791325"/>
          <a:ext cx="733425" cy="16893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39</xdr:row>
      <xdr:rowOff>31750</xdr:rowOff>
    </xdr:from>
    <xdr:to>
      <xdr:col>15</xdr:col>
      <xdr:colOff>37918</xdr:colOff>
      <xdr:row>42</xdr:row>
      <xdr:rowOff>136433</xdr:rowOff>
    </xdr:to>
    <xdr:pic>
      <xdr:nvPicPr>
        <xdr:cNvPr id="13" name="Grafik 12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2148"/>
        <a:stretch/>
      </xdr:blipFill>
      <xdr:spPr>
        <a:xfrm>
          <a:off x="10715625" y="7000875"/>
          <a:ext cx="598835" cy="714283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666750</xdr:colOff>
      <xdr:row>40</xdr:row>
      <xdr:rowOff>1</xdr:rowOff>
    </xdr:from>
    <xdr:to>
      <xdr:col>12</xdr:col>
      <xdr:colOff>240137</xdr:colOff>
      <xdr:row>42</xdr:row>
      <xdr:rowOff>125943</xdr:rowOff>
    </xdr:to>
    <xdr:pic>
      <xdr:nvPicPr>
        <xdr:cNvPr id="14" name="Grafik 13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6193"/>
        <a:stretch/>
      </xdr:blipFill>
      <xdr:spPr>
        <a:xfrm>
          <a:off x="9128125" y="7159626"/>
          <a:ext cx="277179" cy="545042"/>
        </a:xfrm>
        <a:prstGeom prst="rect">
          <a:avLst/>
        </a:prstGeom>
      </xdr:spPr>
    </xdr:pic>
    <xdr:clientData/>
  </xdr:twoCellAnchor>
  <xdr:twoCellAnchor editAs="oneCell">
    <xdr:from>
      <xdr:col>14</xdr:col>
      <xdr:colOff>444982</xdr:colOff>
      <xdr:row>38</xdr:row>
      <xdr:rowOff>26458</xdr:rowOff>
    </xdr:from>
    <xdr:to>
      <xdr:col>14</xdr:col>
      <xdr:colOff>700905</xdr:colOff>
      <xdr:row>38</xdr:row>
      <xdr:rowOff>174624</xdr:rowOff>
    </xdr:to>
    <xdr:pic>
      <xdr:nvPicPr>
        <xdr:cNvPr id="15" name="Grafik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17732" y="6805083"/>
          <a:ext cx="255923" cy="148166"/>
        </a:xfrm>
        <a:prstGeom prst="rect">
          <a:avLst/>
        </a:prstGeom>
      </xdr:spPr>
    </xdr:pic>
    <xdr:clientData/>
  </xdr:twoCellAnchor>
  <xdr:twoCellAnchor editAs="oneCell">
    <xdr:from>
      <xdr:col>1</xdr:col>
      <xdr:colOff>175848</xdr:colOff>
      <xdr:row>25</xdr:row>
      <xdr:rowOff>26377</xdr:rowOff>
    </xdr:from>
    <xdr:to>
      <xdr:col>1</xdr:col>
      <xdr:colOff>1099040</xdr:colOff>
      <xdr:row>25</xdr:row>
      <xdr:rowOff>183173</xdr:rowOff>
    </xdr:to>
    <xdr:pic>
      <xdr:nvPicPr>
        <xdr:cNvPr id="16" name="Grafik 15"/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1329" y="8510954"/>
          <a:ext cx="923192" cy="156796"/>
        </a:xfrm>
        <a:prstGeom prst="rect">
          <a:avLst/>
        </a:prstGeom>
      </xdr:spPr>
    </xdr:pic>
    <xdr:clientData/>
  </xdr:twoCellAnchor>
  <xdr:twoCellAnchor editAs="oneCell">
    <xdr:from>
      <xdr:col>12</xdr:col>
      <xdr:colOff>611180</xdr:colOff>
      <xdr:row>14</xdr:row>
      <xdr:rowOff>39688</xdr:rowOff>
    </xdr:from>
    <xdr:to>
      <xdr:col>15</xdr:col>
      <xdr:colOff>79380</xdr:colOff>
      <xdr:row>14</xdr:row>
      <xdr:rowOff>211110</xdr:rowOff>
    </xdr:to>
    <xdr:pic>
      <xdr:nvPicPr>
        <xdr:cNvPr id="21" name="Grafik 2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71055" y="3548063"/>
          <a:ext cx="1587513" cy="171422"/>
        </a:xfrm>
        <a:prstGeom prst="rect">
          <a:avLst/>
        </a:prstGeom>
      </xdr:spPr>
    </xdr:pic>
    <xdr:clientData/>
  </xdr:twoCellAnchor>
  <xdr:twoCellAnchor editAs="oneCell">
    <xdr:from>
      <xdr:col>11</xdr:col>
      <xdr:colOff>677338</xdr:colOff>
      <xdr:row>14</xdr:row>
      <xdr:rowOff>51887</xdr:rowOff>
    </xdr:from>
    <xdr:to>
      <xdr:col>12</xdr:col>
      <xdr:colOff>384087</xdr:colOff>
      <xdr:row>14</xdr:row>
      <xdr:rowOff>185179</xdr:rowOff>
    </xdr:to>
    <xdr:pic>
      <xdr:nvPicPr>
        <xdr:cNvPr id="9" name="Grafik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38713" y="3554970"/>
          <a:ext cx="410541" cy="133292"/>
        </a:xfrm>
        <a:prstGeom prst="rect">
          <a:avLst/>
        </a:prstGeom>
      </xdr:spPr>
    </xdr:pic>
    <xdr:clientData/>
  </xdr:twoCellAnchor>
  <xdr:twoCellAnchor editAs="oneCell">
    <xdr:from>
      <xdr:col>14</xdr:col>
      <xdr:colOff>15877</xdr:colOff>
      <xdr:row>12</xdr:row>
      <xdr:rowOff>571500</xdr:rowOff>
    </xdr:from>
    <xdr:to>
      <xdr:col>14</xdr:col>
      <xdr:colOff>481542</xdr:colOff>
      <xdr:row>12</xdr:row>
      <xdr:rowOff>728738</xdr:rowOff>
    </xdr:to>
    <xdr:pic>
      <xdr:nvPicPr>
        <xdr:cNvPr id="10" name="Grafik 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88627" y="2931583"/>
          <a:ext cx="465665" cy="157238"/>
        </a:xfrm>
        <a:prstGeom prst="rect">
          <a:avLst/>
        </a:prstGeom>
      </xdr:spPr>
    </xdr:pic>
    <xdr:clientData/>
  </xdr:twoCellAnchor>
  <xdr:twoCellAnchor editAs="oneCell">
    <xdr:from>
      <xdr:col>14</xdr:col>
      <xdr:colOff>126999</xdr:colOff>
      <xdr:row>13</xdr:row>
      <xdr:rowOff>28331</xdr:rowOff>
    </xdr:from>
    <xdr:to>
      <xdr:col>14</xdr:col>
      <xdr:colOff>486754</xdr:colOff>
      <xdr:row>13</xdr:row>
      <xdr:rowOff>177768</xdr:rowOff>
    </xdr:to>
    <xdr:pic>
      <xdr:nvPicPr>
        <xdr:cNvPr id="20" name="Grafik 1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699749" y="3150414"/>
          <a:ext cx="359755" cy="149437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666750</xdr:colOff>
      <xdr:row>14</xdr:row>
      <xdr:rowOff>257527</xdr:rowOff>
    </xdr:from>
    <xdr:to>
      <xdr:col>12</xdr:col>
      <xdr:colOff>396875</xdr:colOff>
      <xdr:row>15</xdr:row>
      <xdr:rowOff>21166</xdr:rowOff>
    </xdr:to>
    <xdr:pic>
      <xdr:nvPicPr>
        <xdr:cNvPr id="23" name="Grafik 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28125" y="3760610"/>
          <a:ext cx="433917" cy="144639"/>
        </a:xfrm>
        <a:prstGeom prst="rect">
          <a:avLst/>
        </a:prstGeom>
      </xdr:spPr>
    </xdr:pic>
    <xdr:clientData/>
  </xdr:twoCellAnchor>
  <xdr:twoCellAnchor editAs="oneCell">
    <xdr:from>
      <xdr:col>15</xdr:col>
      <xdr:colOff>62444</xdr:colOff>
      <xdr:row>14</xdr:row>
      <xdr:rowOff>258235</xdr:rowOff>
    </xdr:from>
    <xdr:to>
      <xdr:col>15</xdr:col>
      <xdr:colOff>528109</xdr:colOff>
      <xdr:row>15</xdr:row>
      <xdr:rowOff>34473</xdr:rowOff>
    </xdr:to>
    <xdr:pic>
      <xdr:nvPicPr>
        <xdr:cNvPr id="24" name="Grafik 2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38986" y="3761318"/>
          <a:ext cx="465665" cy="1572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1</xdr:rowOff>
    </xdr:from>
    <xdr:to>
      <xdr:col>14</xdr:col>
      <xdr:colOff>466725</xdr:colOff>
      <xdr:row>3</xdr:row>
      <xdr:rowOff>871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0" y="781051"/>
          <a:ext cx="1047750" cy="19137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4</xdr:row>
      <xdr:rowOff>9525</xdr:rowOff>
    </xdr:from>
    <xdr:to>
      <xdr:col>13</xdr:col>
      <xdr:colOff>391085</xdr:colOff>
      <xdr:row>5</xdr:row>
      <xdr:rowOff>9525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3575" y="1171575"/>
          <a:ext cx="352985" cy="1905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12</xdr:row>
      <xdr:rowOff>9525</xdr:rowOff>
    </xdr:from>
    <xdr:to>
      <xdr:col>14</xdr:col>
      <xdr:colOff>374241</xdr:colOff>
      <xdr:row>13</xdr:row>
      <xdr:rowOff>9525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53575" y="2695575"/>
          <a:ext cx="964791" cy="190500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13</xdr:row>
      <xdr:rowOff>9525</xdr:rowOff>
    </xdr:from>
    <xdr:to>
      <xdr:col>13</xdr:col>
      <xdr:colOff>514927</xdr:colOff>
      <xdr:row>14</xdr:row>
      <xdr:rowOff>0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91675" y="2886075"/>
          <a:ext cx="438727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N10" sqref="N10"/>
    </sheetView>
  </sheetViews>
  <sheetFormatPr baseColWidth="10" defaultRowHeight="15" x14ac:dyDescent="0.25"/>
  <cols>
    <col min="1" max="1" width="13.85546875" customWidth="1"/>
    <col min="2" max="2" width="5.5703125" style="20" bestFit="1" customWidth="1"/>
    <col min="3" max="3" width="3" customWidth="1"/>
    <col min="4" max="4" width="6" bestFit="1" customWidth="1"/>
    <col min="6" max="6" width="7.5703125" customWidth="1"/>
    <col min="7" max="7" width="4" customWidth="1"/>
  </cols>
  <sheetData>
    <row r="1" spans="1:11" x14ac:dyDescent="0.25">
      <c r="A1" s="4" t="s">
        <v>39</v>
      </c>
    </row>
    <row r="2" spans="1:11" ht="18" x14ac:dyDescent="0.25">
      <c r="A2" s="2" t="s">
        <v>0</v>
      </c>
      <c r="B2" s="19"/>
      <c r="E2" s="1" t="s">
        <v>49</v>
      </c>
    </row>
    <row r="3" spans="1:11" ht="18" x14ac:dyDescent="0.35">
      <c r="E3" t="s">
        <v>50</v>
      </c>
      <c r="F3">
        <f>3000*B10*B16*B26*B33*B49</f>
        <v>4500</v>
      </c>
      <c r="G3" t="s">
        <v>2</v>
      </c>
      <c r="H3" t="s">
        <v>42</v>
      </c>
    </row>
    <row r="5" spans="1:11" x14ac:dyDescent="0.25">
      <c r="A5" s="10" t="s">
        <v>40</v>
      </c>
    </row>
    <row r="6" spans="1:11" x14ac:dyDescent="0.25">
      <c r="B6" s="21"/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25">
      <c r="A7" t="s">
        <v>41</v>
      </c>
    </row>
    <row r="8" spans="1:11" ht="12.75" customHeight="1" x14ac:dyDescent="0.25"/>
    <row r="9" spans="1:11" ht="18" x14ac:dyDescent="0.35">
      <c r="A9" s="14" t="s">
        <v>43</v>
      </c>
      <c r="B9" s="18">
        <f>'Äquivalente Branddauer tä'!E2</f>
        <v>6.2717503719346031</v>
      </c>
    </row>
    <row r="10" spans="1:11" x14ac:dyDescent="0.25">
      <c r="A10" s="16" t="s">
        <v>33</v>
      </c>
      <c r="B10" s="17">
        <v>1.5</v>
      </c>
    </row>
    <row r="15" spans="1:11" x14ac:dyDescent="0.25">
      <c r="A15" s="12" t="s">
        <v>47</v>
      </c>
      <c r="B15" s="22" t="s">
        <v>48</v>
      </c>
    </row>
    <row r="16" spans="1:11" x14ac:dyDescent="0.25">
      <c r="A16" s="13" t="s">
        <v>34</v>
      </c>
      <c r="B16" s="17">
        <v>1</v>
      </c>
    </row>
    <row r="25" spans="1:2" x14ac:dyDescent="0.25">
      <c r="A25" s="12" t="s">
        <v>44</v>
      </c>
      <c r="B25" s="15">
        <v>0</v>
      </c>
    </row>
    <row r="26" spans="1:2" x14ac:dyDescent="0.25">
      <c r="A26" s="13" t="s">
        <v>35</v>
      </c>
      <c r="B26" s="17">
        <v>1</v>
      </c>
    </row>
    <row r="32" spans="1:2" x14ac:dyDescent="0.25">
      <c r="A32" s="12" t="s">
        <v>45</v>
      </c>
      <c r="B32" s="15">
        <v>1</v>
      </c>
    </row>
    <row r="33" spans="1:2" x14ac:dyDescent="0.25">
      <c r="A33" s="13" t="s">
        <v>36</v>
      </c>
      <c r="B33" s="17">
        <v>1</v>
      </c>
    </row>
    <row r="48" spans="1:2" x14ac:dyDescent="0.25">
      <c r="A48" s="12" t="s">
        <v>46</v>
      </c>
      <c r="B48" s="15">
        <v>1</v>
      </c>
    </row>
    <row r="49" spans="1:9" x14ac:dyDescent="0.25">
      <c r="A49" s="13" t="s">
        <v>37</v>
      </c>
      <c r="B49" s="17">
        <v>1</v>
      </c>
    </row>
    <row r="51" spans="1:9" x14ac:dyDescent="0.25">
      <c r="F51" s="31"/>
      <c r="G51" s="31"/>
      <c r="H51" s="31"/>
      <c r="I51" s="31"/>
    </row>
    <row r="52" spans="1:9" x14ac:dyDescent="0.25">
      <c r="F52" s="31"/>
      <c r="G52" s="31"/>
      <c r="H52" s="31"/>
      <c r="I52" s="31"/>
    </row>
    <row r="53" spans="1:9" x14ac:dyDescent="0.25">
      <c r="F53" s="31"/>
      <c r="G53" s="32"/>
      <c r="H53" s="33"/>
      <c r="I53" s="31"/>
    </row>
    <row r="54" spans="1:9" x14ac:dyDescent="0.25">
      <c r="D54" t="s">
        <v>84</v>
      </c>
      <c r="E54">
        <v>7.8</v>
      </c>
      <c r="F54" s="31"/>
      <c r="G54" s="31"/>
      <c r="H54" s="31"/>
      <c r="I54" s="31"/>
    </row>
    <row r="55" spans="1:9" x14ac:dyDescent="0.25">
      <c r="D55" t="s">
        <v>85</v>
      </c>
      <c r="E55">
        <f>35+(50-35)/(10-5)*(E54-5)</f>
        <v>43.4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Normal="100" workbookViewId="0">
      <selection activeCell="E16" sqref="E16"/>
    </sheetView>
  </sheetViews>
  <sheetFormatPr baseColWidth="10" defaultRowHeight="15" x14ac:dyDescent="0.25"/>
  <cols>
    <col min="1" max="2" width="9.7109375" customWidth="1"/>
    <col min="3" max="3" width="12" customWidth="1"/>
    <col min="4" max="4" width="13.85546875" bestFit="1" customWidth="1"/>
    <col min="5" max="5" width="19.5703125" bestFit="1" customWidth="1"/>
    <col min="6" max="6" width="7.5703125" customWidth="1"/>
    <col min="7" max="7" width="2" customWidth="1"/>
    <col min="9" max="9" width="6.140625" customWidth="1"/>
    <col min="10" max="10" width="15.140625" customWidth="1"/>
    <col min="11" max="11" width="1.85546875" customWidth="1"/>
    <col min="12" max="12" width="32.7109375" customWidth="1"/>
    <col min="13" max="13" width="6.7109375" customWidth="1"/>
    <col min="14" max="14" width="7.28515625" customWidth="1"/>
    <col min="15" max="15" width="17.85546875" customWidth="1"/>
  </cols>
  <sheetData>
    <row r="1" spans="1:16" ht="18" x14ac:dyDescent="0.35">
      <c r="A1" s="3" t="s">
        <v>1</v>
      </c>
      <c r="B1" s="3"/>
      <c r="C1" s="3"/>
      <c r="D1" s="3"/>
    </row>
    <row r="2" spans="1:16" ht="18" x14ac:dyDescent="0.35">
      <c r="A2" s="7" t="s">
        <v>8</v>
      </c>
      <c r="B2" s="7"/>
      <c r="C2" s="7"/>
      <c r="D2" s="7"/>
      <c r="E2" s="9">
        <f>B20*I20*N20</f>
        <v>6.2717503719346031</v>
      </c>
      <c r="F2" t="s">
        <v>52</v>
      </c>
      <c r="G2" s="8"/>
    </row>
    <row r="4" spans="1:16" ht="18" x14ac:dyDescent="0.35">
      <c r="A4" s="4" t="s">
        <v>5</v>
      </c>
      <c r="B4" s="4"/>
      <c r="C4" s="4"/>
      <c r="D4" s="4"/>
      <c r="H4" s="4" t="s">
        <v>7</v>
      </c>
      <c r="L4" s="4" t="s">
        <v>9</v>
      </c>
    </row>
    <row r="5" spans="1:16" x14ac:dyDescent="0.25">
      <c r="A5" s="24"/>
      <c r="B5" s="24"/>
      <c r="C5" s="24"/>
      <c r="D5" s="24"/>
      <c r="E5" s="23"/>
      <c r="F5" s="23"/>
      <c r="G5" s="23"/>
      <c r="H5" s="23"/>
      <c r="I5" s="23"/>
      <c r="J5" s="23"/>
      <c r="K5" s="23"/>
      <c r="L5" s="23" t="s">
        <v>10</v>
      </c>
      <c r="M5" s="23"/>
      <c r="N5" s="23"/>
      <c r="O5" s="23"/>
      <c r="P5" s="23"/>
    </row>
    <row r="6" spans="1:16" ht="18" x14ac:dyDescent="0.35">
      <c r="A6" s="24" t="s">
        <v>3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 t="s">
        <v>66</v>
      </c>
      <c r="M6" s="25" t="s">
        <v>12</v>
      </c>
      <c r="N6" s="23">
        <v>180</v>
      </c>
      <c r="O6" s="23" t="s">
        <v>2</v>
      </c>
      <c r="P6" s="23"/>
    </row>
    <row r="7" spans="1:16" ht="15.75" thickBot="1" x14ac:dyDescent="0.3">
      <c r="G7" s="23"/>
      <c r="H7" s="23"/>
      <c r="I7" s="23"/>
      <c r="J7" s="23"/>
      <c r="K7" s="23"/>
      <c r="L7" s="23"/>
      <c r="M7" s="25"/>
      <c r="N7" s="23"/>
      <c r="O7" s="23"/>
      <c r="P7" s="23"/>
    </row>
    <row r="8" spans="1:16" ht="30.75" thickBot="1" x14ac:dyDescent="0.3">
      <c r="A8" s="47" t="s">
        <v>71</v>
      </c>
      <c r="B8" s="47" t="s">
        <v>75</v>
      </c>
      <c r="C8" s="47" t="s">
        <v>76</v>
      </c>
      <c r="D8" s="47" t="s">
        <v>72</v>
      </c>
      <c r="E8" s="48" t="s">
        <v>73</v>
      </c>
      <c r="F8" s="49" t="s">
        <v>79</v>
      </c>
      <c r="G8" s="23"/>
      <c r="H8" s="23"/>
      <c r="I8" s="23"/>
      <c r="J8" s="23"/>
      <c r="K8" s="23"/>
      <c r="L8" s="23"/>
      <c r="M8" s="25"/>
      <c r="N8" s="23"/>
      <c r="O8" s="23"/>
    </row>
    <row r="9" spans="1:16" ht="18" x14ac:dyDescent="0.35">
      <c r="A9" s="45" t="s">
        <v>74</v>
      </c>
      <c r="B9" s="45">
        <v>10000</v>
      </c>
      <c r="C9" s="45">
        <v>4.2</v>
      </c>
      <c r="D9" s="45">
        <v>0.2</v>
      </c>
      <c r="E9" s="46">
        <v>1.34</v>
      </c>
      <c r="F9" s="50">
        <f>B9*C9*D9*E9</f>
        <v>11256</v>
      </c>
      <c r="G9" s="23"/>
      <c r="H9" s="23"/>
      <c r="I9" s="23"/>
      <c r="J9" s="23"/>
      <c r="K9" s="23"/>
      <c r="L9" s="23"/>
      <c r="M9" s="25" t="s">
        <v>27</v>
      </c>
      <c r="N9" s="23">
        <f>SUM(N6:N8)</f>
        <v>180</v>
      </c>
      <c r="O9" s="23" t="s">
        <v>2</v>
      </c>
      <c r="P9" s="23"/>
    </row>
    <row r="10" spans="1:16" ht="45" x14ac:dyDescent="0.25">
      <c r="A10" s="44" t="s">
        <v>83</v>
      </c>
      <c r="B10" s="53">
        <v>10000</v>
      </c>
      <c r="C10" s="53">
        <v>8.4</v>
      </c>
      <c r="D10" s="53">
        <v>0.4</v>
      </c>
      <c r="E10" s="54">
        <v>1.26</v>
      </c>
      <c r="F10" s="55">
        <f t="shared" ref="F10" si="0">B10*C10*D10*E10</f>
        <v>42336</v>
      </c>
      <c r="G10" s="23"/>
      <c r="H10" s="23"/>
      <c r="I10" s="23"/>
      <c r="J10" s="23"/>
      <c r="K10" s="23"/>
      <c r="L10" s="23" t="s">
        <v>11</v>
      </c>
      <c r="M10" s="23"/>
      <c r="N10" s="23"/>
      <c r="O10" s="23"/>
      <c r="P10" s="23"/>
    </row>
    <row r="11" spans="1:16" ht="18.75" thickBot="1" x14ac:dyDescent="0.4">
      <c r="A11" s="45"/>
      <c r="B11" s="45"/>
      <c r="C11" s="45"/>
      <c r="D11" s="45"/>
      <c r="E11" s="46"/>
      <c r="F11" s="51">
        <f t="shared" ref="F11" si="1">B11*C11*D11*E11</f>
        <v>0</v>
      </c>
      <c r="G11" s="23"/>
      <c r="H11" s="23"/>
      <c r="I11" s="23"/>
      <c r="J11" s="23"/>
      <c r="K11" s="23"/>
      <c r="L11" s="23" t="s">
        <v>62</v>
      </c>
      <c r="M11" s="25" t="s">
        <v>13</v>
      </c>
      <c r="N11" s="23">
        <f>0.005*B12*0.9</f>
        <v>15.75</v>
      </c>
      <c r="O11" s="23" t="s">
        <v>2</v>
      </c>
      <c r="P11" s="23"/>
    </row>
    <row r="12" spans="1:16" ht="18" x14ac:dyDescent="0.35">
      <c r="A12" s="43" t="s">
        <v>80</v>
      </c>
      <c r="B12">
        <v>3500</v>
      </c>
      <c r="C12" t="s">
        <v>2</v>
      </c>
      <c r="G12" s="23"/>
      <c r="H12" s="23"/>
      <c r="I12" s="23"/>
      <c r="J12" s="23"/>
      <c r="K12" s="23"/>
      <c r="L12" s="23"/>
      <c r="M12" s="25"/>
      <c r="N12" s="23"/>
      <c r="O12" s="23"/>
      <c r="P12" s="23"/>
    </row>
    <row r="13" spans="1:16" ht="18" x14ac:dyDescent="0.35">
      <c r="A13" s="25" t="s">
        <v>81</v>
      </c>
      <c r="B13">
        <f>(F9+F10+F11)/B12</f>
        <v>15.311999999999999</v>
      </c>
      <c r="G13" s="23"/>
      <c r="H13" s="23"/>
      <c r="I13" s="23"/>
      <c r="J13" s="23"/>
      <c r="K13" s="23"/>
      <c r="L13" s="23" t="s">
        <v>16</v>
      </c>
      <c r="M13" s="25" t="s">
        <v>14</v>
      </c>
      <c r="N13" s="35">
        <f>N9/B12</f>
        <v>5.1428571428571428E-2</v>
      </c>
      <c r="O13" s="23"/>
      <c r="P13" s="23"/>
    </row>
    <row r="14" spans="1:16" ht="18" x14ac:dyDescent="0.35">
      <c r="A14" s="25"/>
      <c r="B14" s="25"/>
      <c r="C14" s="25"/>
      <c r="D14" s="25"/>
      <c r="E14" s="23"/>
      <c r="F14" s="23"/>
      <c r="G14" s="23"/>
      <c r="H14" s="23"/>
      <c r="I14" s="23"/>
      <c r="J14" s="23"/>
      <c r="K14" s="23"/>
      <c r="L14" s="23" t="s">
        <v>17</v>
      </c>
      <c r="M14" s="25" t="s">
        <v>15</v>
      </c>
      <c r="N14" s="35">
        <f>N11/B12</f>
        <v>4.4999999999999997E-3</v>
      </c>
      <c r="O14" s="23"/>
      <c r="P14" s="23"/>
    </row>
    <row r="15" spans="1:16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5"/>
      <c r="N15" s="23"/>
      <c r="O15" s="23"/>
      <c r="P15" s="23"/>
    </row>
    <row r="16" spans="1:16" ht="18.75" x14ac:dyDescent="0.35">
      <c r="A16" s="25"/>
      <c r="B16" s="25"/>
      <c r="C16" s="25"/>
      <c r="D16" s="25"/>
      <c r="E16" s="23"/>
      <c r="F16" s="23"/>
      <c r="G16" s="23"/>
      <c r="H16" s="23"/>
      <c r="I16" s="23"/>
      <c r="J16" s="23"/>
      <c r="K16" s="23"/>
      <c r="L16" s="23" t="s">
        <v>20</v>
      </c>
      <c r="M16" s="25" t="s">
        <v>24</v>
      </c>
      <c r="N16" s="23">
        <f>(1+145*(0.4-N13)^4)/(1.6+N18*N14)</f>
        <v>1.8248140075812218</v>
      </c>
      <c r="O16" s="23" t="s">
        <v>38</v>
      </c>
      <c r="P16" s="23"/>
    </row>
    <row r="17" spans="1:16" ht="18.75" x14ac:dyDescent="0.35">
      <c r="A17" s="23" t="s">
        <v>59</v>
      </c>
      <c r="B17" s="23"/>
      <c r="C17" s="25"/>
      <c r="D17" s="25"/>
      <c r="E17" s="23"/>
      <c r="F17" s="23"/>
      <c r="G17" s="23"/>
      <c r="H17" s="23"/>
      <c r="I17" s="23"/>
      <c r="J17" s="23"/>
      <c r="K17" s="23"/>
      <c r="L17" s="26" t="s">
        <v>21</v>
      </c>
      <c r="M17" s="34" t="s">
        <v>22</v>
      </c>
      <c r="N17" s="23">
        <f>(6/7.5)^0.3</f>
        <v>0.93524844782262129</v>
      </c>
      <c r="O17" s="23"/>
    </row>
    <row r="18" spans="1:16" ht="18" x14ac:dyDescent="0.35">
      <c r="C18" s="23"/>
      <c r="D18" s="23"/>
      <c r="E18" s="23"/>
      <c r="F18" s="23"/>
      <c r="G18" s="23"/>
      <c r="H18" s="23"/>
      <c r="I18" s="23"/>
      <c r="J18" s="23"/>
      <c r="K18" s="23"/>
      <c r="L18" s="26" t="s">
        <v>25</v>
      </c>
      <c r="M18" s="34" t="s">
        <v>23</v>
      </c>
      <c r="N18" s="23">
        <f>20*(1+10*N13-64*N13^2)</f>
        <v>26.900244897959183</v>
      </c>
      <c r="O18" s="23" t="s">
        <v>38</v>
      </c>
      <c r="P18" s="23"/>
    </row>
    <row r="19" spans="1:16" ht="18" x14ac:dyDescent="0.35">
      <c r="A19" s="36" t="s">
        <v>82</v>
      </c>
      <c r="B19" s="36"/>
      <c r="C19" s="36"/>
      <c r="D19" s="36"/>
      <c r="O19" s="23"/>
      <c r="P19" s="23"/>
    </row>
    <row r="20" spans="1:16" ht="18" x14ac:dyDescent="0.35">
      <c r="A20" s="27" t="s">
        <v>6</v>
      </c>
      <c r="B20" s="28">
        <f>B13*1.2</f>
        <v>18.374399999999998</v>
      </c>
      <c r="C20" s="28" t="s">
        <v>4</v>
      </c>
      <c r="D20" s="52"/>
      <c r="G20" s="23"/>
      <c r="H20" s="29" t="s">
        <v>19</v>
      </c>
      <c r="I20" s="28">
        <v>0.2</v>
      </c>
      <c r="J20" s="23"/>
      <c r="K20" s="23"/>
      <c r="L20" s="30" t="s">
        <v>18</v>
      </c>
      <c r="M20" s="27" t="s">
        <v>26</v>
      </c>
      <c r="N20" s="40">
        <f>N16*N17</f>
        <v>1.7066544681553149</v>
      </c>
      <c r="O20" s="23"/>
      <c r="P20" s="23"/>
    </row>
    <row r="23" spans="1:16" x14ac:dyDescent="0.25">
      <c r="A23" s="271" t="s">
        <v>56</v>
      </c>
      <c r="B23" s="271"/>
      <c r="C23" s="271"/>
      <c r="D23" s="271"/>
      <c r="E23" s="271"/>
      <c r="F23" s="271"/>
      <c r="G23" s="271"/>
      <c r="H23" s="271"/>
      <c r="I23" s="271"/>
      <c r="K23" s="23" t="s">
        <v>53</v>
      </c>
    </row>
    <row r="24" spans="1:16" x14ac:dyDescent="0.25">
      <c r="A24" s="271"/>
      <c r="B24" s="271"/>
      <c r="C24" s="271"/>
      <c r="D24" s="271"/>
      <c r="E24" s="271"/>
      <c r="F24" s="271"/>
      <c r="G24" s="271"/>
      <c r="H24" s="271"/>
      <c r="I24" s="271"/>
      <c r="K24" s="23" t="s">
        <v>54</v>
      </c>
    </row>
    <row r="25" spans="1:16" x14ac:dyDescent="0.25">
      <c r="A25" s="271"/>
      <c r="B25" s="271"/>
      <c r="C25" s="271"/>
      <c r="D25" s="271"/>
      <c r="E25" s="271"/>
      <c r="F25" s="271"/>
      <c r="G25" s="271"/>
      <c r="H25" s="271"/>
      <c r="I25" s="271"/>
      <c r="K25" s="23" t="s">
        <v>55</v>
      </c>
    </row>
    <row r="26" spans="1:16" x14ac:dyDescent="0.25">
      <c r="A26" s="271"/>
      <c r="B26" s="271"/>
      <c r="C26" s="271"/>
      <c r="D26" s="271"/>
      <c r="E26" s="271"/>
      <c r="F26" s="271"/>
      <c r="G26" s="271"/>
      <c r="H26" s="271"/>
      <c r="I26" s="271"/>
      <c r="K26" s="23" t="s">
        <v>61</v>
      </c>
    </row>
    <row r="27" spans="1:16" x14ac:dyDescent="0.25">
      <c r="K27" s="23" t="s">
        <v>58</v>
      </c>
    </row>
  </sheetData>
  <mergeCells count="1">
    <mergeCell ref="A23:I26"/>
  </mergeCells>
  <pageMargins left="0.7" right="0.7" top="0.78740157499999996" bottom="0.78740157499999996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A7" zoomScaleNormal="100" workbookViewId="0">
      <selection activeCell="K27" sqref="K27"/>
    </sheetView>
  </sheetViews>
  <sheetFormatPr baseColWidth="10" defaultRowHeight="15" x14ac:dyDescent="0.25"/>
  <cols>
    <col min="3" max="3" width="6" customWidth="1"/>
    <col min="4" max="4" width="6.42578125" customWidth="1"/>
    <col min="5" max="5" width="6.5703125" bestFit="1" customWidth="1"/>
    <col min="8" max="8" width="4.42578125" customWidth="1"/>
  </cols>
  <sheetData>
    <row r="1" spans="1:8" ht="18" x14ac:dyDescent="0.35">
      <c r="A1" s="7" t="s">
        <v>28</v>
      </c>
    </row>
    <row r="2" spans="1:8" ht="18" x14ac:dyDescent="0.35">
      <c r="A2" s="7" t="s">
        <v>29</v>
      </c>
      <c r="B2">
        <f>B17*B35*E2</f>
        <v>4.2898772544032679</v>
      </c>
      <c r="C2" s="8" t="s">
        <v>51</v>
      </c>
      <c r="D2" s="7" t="s">
        <v>8</v>
      </c>
      <c r="E2" s="9">
        <f>'Äquivalente Branddauer tä'!E2</f>
        <v>6.2717503719346031</v>
      </c>
      <c r="F2" t="s">
        <v>52</v>
      </c>
      <c r="G2" s="37" t="s">
        <v>60</v>
      </c>
      <c r="H2" s="37"/>
    </row>
    <row r="3" spans="1:8" ht="18" x14ac:dyDescent="0.35">
      <c r="G3" s="38" t="s">
        <v>70</v>
      </c>
      <c r="H3" s="39"/>
    </row>
    <row r="5" spans="1:8" x14ac:dyDescent="0.25">
      <c r="A5" s="4" t="s">
        <v>30</v>
      </c>
    </row>
    <row r="17" spans="1:2" x14ac:dyDescent="0.25">
      <c r="A17" s="6" t="s">
        <v>31</v>
      </c>
      <c r="B17" s="5">
        <v>1.1399999999999999</v>
      </c>
    </row>
    <row r="19" spans="1:2" ht="18" x14ac:dyDescent="0.35">
      <c r="A19" s="4" t="s">
        <v>57</v>
      </c>
    </row>
    <row r="35" spans="1:2" ht="18" x14ac:dyDescent="0.35">
      <c r="A35" s="6" t="s">
        <v>32</v>
      </c>
      <c r="B35" s="5">
        <v>0.6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4"/>
  <sheetViews>
    <sheetView tabSelected="1" view="pageBreakPreview" zoomScale="90" zoomScaleNormal="100" zoomScaleSheetLayoutView="90" workbookViewId="0">
      <selection activeCell="K21" sqref="K21"/>
    </sheetView>
  </sheetViews>
  <sheetFormatPr baseColWidth="10" defaultRowHeight="15" x14ac:dyDescent="0.25"/>
  <cols>
    <col min="1" max="1" width="20.28515625" customWidth="1"/>
    <col min="2" max="2" width="16.5703125" customWidth="1"/>
    <col min="3" max="3" width="10.28515625" customWidth="1"/>
    <col min="4" max="4" width="9.85546875" customWidth="1"/>
    <col min="5" max="5" width="15.5703125" customWidth="1"/>
    <col min="6" max="6" width="12.28515625" customWidth="1"/>
    <col min="7" max="7" width="4.5703125" customWidth="1"/>
    <col min="8" max="8" width="5.7109375" customWidth="1"/>
    <col min="9" max="15" width="10.5703125" customWidth="1"/>
    <col min="16" max="16" width="8.7109375" customWidth="1"/>
    <col min="17" max="17" width="7.85546875" customWidth="1"/>
  </cols>
  <sheetData>
    <row r="1" spans="1:16" x14ac:dyDescent="0.25">
      <c r="A1" s="56" t="s">
        <v>96</v>
      </c>
      <c r="B1" s="57"/>
      <c r="C1" s="57"/>
      <c r="D1" s="57"/>
      <c r="E1" s="57"/>
      <c r="F1" s="58"/>
    </row>
    <row r="2" spans="1:16" x14ac:dyDescent="0.25">
      <c r="A2" s="76"/>
      <c r="B2" s="97"/>
      <c r="C2" s="97"/>
      <c r="D2" s="97"/>
      <c r="E2" s="97"/>
      <c r="F2" s="98"/>
    </row>
    <row r="3" spans="1:16" x14ac:dyDescent="0.25">
      <c r="A3" s="59"/>
      <c r="B3" s="60"/>
      <c r="C3" s="60"/>
      <c r="D3" s="60"/>
      <c r="E3" s="60"/>
      <c r="F3" s="61"/>
    </row>
    <row r="4" spans="1:16" x14ac:dyDescent="0.25">
      <c r="A4" s="56" t="s">
        <v>87</v>
      </c>
      <c r="B4" s="57"/>
      <c r="C4" s="57"/>
      <c r="D4" s="57"/>
      <c r="E4" s="57"/>
      <c r="F4" s="58"/>
    </row>
    <row r="5" spans="1:16" x14ac:dyDescent="0.25">
      <c r="A5" s="91" t="s">
        <v>88</v>
      </c>
      <c r="B5" s="249" t="s">
        <v>89</v>
      </c>
      <c r="C5" s="88"/>
      <c r="D5" s="92"/>
      <c r="E5" s="92"/>
      <c r="F5" s="90"/>
      <c r="G5" s="8"/>
    </row>
    <row r="6" spans="1:16" x14ac:dyDescent="0.25">
      <c r="A6" s="93" t="s">
        <v>90</v>
      </c>
      <c r="B6" s="250" t="s">
        <v>100</v>
      </c>
      <c r="C6" s="94" t="s">
        <v>101</v>
      </c>
      <c r="D6" s="95"/>
      <c r="E6" s="95"/>
      <c r="F6" s="96"/>
    </row>
    <row r="7" spans="1:16" x14ac:dyDescent="0.25">
      <c r="A7" s="93" t="s">
        <v>191</v>
      </c>
      <c r="B7" s="251" t="s">
        <v>103</v>
      </c>
      <c r="C7" s="95" t="s">
        <v>102</v>
      </c>
      <c r="D7" s="95"/>
      <c r="E7" s="95"/>
      <c r="F7" s="86"/>
    </row>
    <row r="8" spans="1:16" x14ac:dyDescent="0.25">
      <c r="A8" s="62"/>
      <c r="B8" s="63"/>
      <c r="C8" s="63"/>
      <c r="D8" s="63"/>
      <c r="E8" s="63"/>
      <c r="F8" s="64"/>
    </row>
    <row r="9" spans="1:16" x14ac:dyDescent="0.25">
      <c r="A9" s="65"/>
      <c r="B9" s="66"/>
      <c r="C9" s="66"/>
      <c r="D9" s="66"/>
      <c r="E9" s="66"/>
      <c r="F9" s="67"/>
      <c r="G9" s="23"/>
      <c r="H9" s="23"/>
      <c r="I9" s="23"/>
      <c r="J9" s="23"/>
      <c r="K9" s="23"/>
      <c r="P9" s="23"/>
    </row>
    <row r="10" spans="1:16" ht="18" x14ac:dyDescent="0.35">
      <c r="A10" s="56" t="s">
        <v>5</v>
      </c>
      <c r="B10" s="57"/>
      <c r="C10" s="57"/>
      <c r="D10" s="57"/>
      <c r="E10" s="57"/>
      <c r="F10" s="58"/>
      <c r="G10" s="23"/>
      <c r="H10" s="23"/>
      <c r="I10" s="23"/>
      <c r="J10" s="23"/>
      <c r="K10" s="23"/>
      <c r="P10" s="23"/>
    </row>
    <row r="11" spans="1:16" ht="18" x14ac:dyDescent="0.35">
      <c r="A11" s="72" t="s">
        <v>3</v>
      </c>
      <c r="B11" s="82"/>
      <c r="C11" s="82"/>
      <c r="D11" s="82"/>
      <c r="E11" s="82"/>
      <c r="F11" s="83"/>
      <c r="G11" s="23"/>
      <c r="H11" s="23"/>
      <c r="I11" s="23"/>
      <c r="J11" s="23"/>
      <c r="M11" s="23"/>
      <c r="N11" s="23"/>
      <c r="O11" s="23"/>
      <c r="P11" s="23"/>
    </row>
    <row r="12" spans="1:16" x14ac:dyDescent="0.25">
      <c r="A12" s="84"/>
      <c r="B12" s="85"/>
      <c r="C12" s="85"/>
      <c r="D12" s="85"/>
      <c r="E12" s="85"/>
      <c r="F12" s="96"/>
      <c r="G12" s="23"/>
      <c r="H12" s="23"/>
      <c r="I12" s="23"/>
      <c r="J12" s="23"/>
    </row>
    <row r="13" spans="1:16" ht="60" x14ac:dyDescent="0.25">
      <c r="A13" s="181" t="s">
        <v>71</v>
      </c>
      <c r="B13" s="87" t="s">
        <v>161</v>
      </c>
      <c r="C13" s="181" t="s">
        <v>160</v>
      </c>
      <c r="D13" s="87" t="s">
        <v>192</v>
      </c>
      <c r="E13" s="184" t="s">
        <v>166</v>
      </c>
      <c r="F13" s="292" t="s">
        <v>79</v>
      </c>
      <c r="G13" s="23"/>
      <c r="H13" s="23"/>
      <c r="I13" s="23"/>
      <c r="J13" s="23"/>
      <c r="P13" s="23"/>
    </row>
    <row r="14" spans="1:16" ht="30" x14ac:dyDescent="0.25">
      <c r="A14" s="194" t="s">
        <v>162</v>
      </c>
      <c r="B14" s="148">
        <v>100000</v>
      </c>
      <c r="C14" s="182">
        <v>4.8</v>
      </c>
      <c r="D14" s="180">
        <v>1</v>
      </c>
      <c r="E14" s="184">
        <v>1</v>
      </c>
      <c r="F14" s="293">
        <f t="shared" ref="F14:F23" si="0">B14*C14*D14*E14</f>
        <v>480000</v>
      </c>
      <c r="G14" s="23"/>
      <c r="H14" s="23"/>
      <c r="I14" s="23"/>
      <c r="J14" s="23"/>
      <c r="P14" s="23"/>
    </row>
    <row r="15" spans="1:16" ht="30" x14ac:dyDescent="0.25">
      <c r="A15" s="194" t="s">
        <v>163</v>
      </c>
      <c r="B15" s="148">
        <v>10000</v>
      </c>
      <c r="C15" s="182">
        <v>12.2</v>
      </c>
      <c r="D15" s="180">
        <v>1</v>
      </c>
      <c r="E15" s="184">
        <v>1</v>
      </c>
      <c r="F15" s="293">
        <f t="shared" si="0"/>
        <v>122000</v>
      </c>
      <c r="G15" s="23"/>
      <c r="H15" s="23"/>
      <c r="I15" s="23"/>
      <c r="J15" s="23"/>
      <c r="P15" s="23"/>
    </row>
    <row r="16" spans="1:16" ht="30" x14ac:dyDescent="0.25">
      <c r="A16" s="194" t="s">
        <v>164</v>
      </c>
      <c r="B16" s="148">
        <f>500*23</f>
        <v>11500</v>
      </c>
      <c r="C16" s="182">
        <v>4.8</v>
      </c>
      <c r="D16" s="180">
        <v>1</v>
      </c>
      <c r="E16" s="184">
        <v>1</v>
      </c>
      <c r="F16" s="293">
        <f t="shared" si="0"/>
        <v>55200</v>
      </c>
      <c r="G16" s="23"/>
      <c r="H16" s="23"/>
      <c r="I16" s="23"/>
      <c r="J16" s="23"/>
      <c r="L16" s="252"/>
      <c r="P16" s="23"/>
    </row>
    <row r="17" spans="1:16" ht="30" x14ac:dyDescent="0.25">
      <c r="A17" s="215" t="s">
        <v>165</v>
      </c>
      <c r="B17" s="216">
        <v>1000</v>
      </c>
      <c r="C17" s="182">
        <v>6.7</v>
      </c>
      <c r="D17" s="187">
        <v>1</v>
      </c>
      <c r="E17" s="217">
        <v>1</v>
      </c>
      <c r="F17" s="294">
        <f t="shared" ref="F17" si="1">B17*C17*D17*E17</f>
        <v>6700</v>
      </c>
      <c r="G17" s="23"/>
      <c r="H17" s="23"/>
      <c r="I17" s="23"/>
      <c r="J17" s="23"/>
      <c r="L17" s="252"/>
      <c r="N17" s="301">
        <v>51604</v>
      </c>
      <c r="O17" s="302">
        <v>68805</v>
      </c>
      <c r="P17" s="23"/>
    </row>
    <row r="18" spans="1:16" ht="30" x14ac:dyDescent="0.25">
      <c r="A18" s="215" t="s">
        <v>199</v>
      </c>
      <c r="B18" s="216">
        <v>31000</v>
      </c>
      <c r="C18" s="182">
        <v>4.8</v>
      </c>
      <c r="D18" s="187">
        <v>1</v>
      </c>
      <c r="E18" s="217">
        <v>1</v>
      </c>
      <c r="F18" s="294">
        <f t="shared" si="0"/>
        <v>148800</v>
      </c>
      <c r="G18" s="23"/>
      <c r="H18" s="23"/>
      <c r="I18" s="23"/>
      <c r="J18" s="23"/>
      <c r="N18" s="270"/>
      <c r="P18" s="23"/>
    </row>
    <row r="19" spans="1:16" ht="45" x14ac:dyDescent="0.25">
      <c r="A19" s="194" t="s">
        <v>179</v>
      </c>
      <c r="B19" s="151">
        <v>5</v>
      </c>
      <c r="C19" s="220">
        <v>10000</v>
      </c>
      <c r="D19" s="180">
        <v>1</v>
      </c>
      <c r="E19" s="223">
        <v>1</v>
      </c>
      <c r="F19" s="293">
        <f t="shared" si="0"/>
        <v>50000</v>
      </c>
      <c r="G19" s="23"/>
      <c r="H19" s="23"/>
      <c r="I19" s="23"/>
      <c r="J19" s="23"/>
      <c r="P19" s="23"/>
    </row>
    <row r="20" spans="1:16" ht="45" x14ac:dyDescent="0.25">
      <c r="A20" s="218" t="s">
        <v>180</v>
      </c>
      <c r="B20" s="219">
        <v>10</v>
      </c>
      <c r="C20" s="220">
        <v>5000</v>
      </c>
      <c r="D20" s="221">
        <v>1</v>
      </c>
      <c r="E20" s="222">
        <v>1</v>
      </c>
      <c r="F20" s="295">
        <f t="shared" si="0"/>
        <v>50000</v>
      </c>
      <c r="G20" s="23"/>
      <c r="H20" s="23"/>
      <c r="I20" s="23"/>
      <c r="J20" s="23"/>
      <c r="P20" s="23"/>
    </row>
    <row r="21" spans="1:16" ht="45" x14ac:dyDescent="0.25">
      <c r="A21" s="194" t="s">
        <v>194</v>
      </c>
      <c r="B21" s="148">
        <v>10</v>
      </c>
      <c r="C21" s="183">
        <v>15000</v>
      </c>
      <c r="D21" s="180">
        <v>1</v>
      </c>
      <c r="E21" s="184">
        <v>1</v>
      </c>
      <c r="F21" s="293">
        <f t="shared" si="0"/>
        <v>150000</v>
      </c>
      <c r="G21" s="23"/>
      <c r="H21" s="23"/>
      <c r="I21" s="23"/>
      <c r="J21" s="23"/>
      <c r="M21" t="s">
        <v>197</v>
      </c>
      <c r="P21" s="23"/>
    </row>
    <row r="22" spans="1:16" ht="45.75" customHeight="1" x14ac:dyDescent="0.25">
      <c r="A22" s="194" t="s">
        <v>193</v>
      </c>
      <c r="B22" s="148">
        <v>30</v>
      </c>
      <c r="C22" s="183">
        <v>2000</v>
      </c>
      <c r="D22" s="180">
        <v>1</v>
      </c>
      <c r="E22" s="184">
        <v>1</v>
      </c>
      <c r="F22" s="293">
        <f t="shared" si="0"/>
        <v>60000</v>
      </c>
      <c r="G22" s="23"/>
      <c r="H22" s="23"/>
      <c r="I22" s="23"/>
    </row>
    <row r="23" spans="1:16" ht="30" customHeight="1" x14ac:dyDescent="0.25">
      <c r="A23" s="194" t="s">
        <v>149</v>
      </c>
      <c r="B23" s="148">
        <v>39800</v>
      </c>
      <c r="C23" s="182">
        <v>5</v>
      </c>
      <c r="D23" s="180">
        <v>1</v>
      </c>
      <c r="E23" s="184">
        <v>1</v>
      </c>
      <c r="F23" s="293">
        <f t="shared" si="0"/>
        <v>199000</v>
      </c>
      <c r="G23" s="23"/>
      <c r="H23" s="23"/>
      <c r="I23" s="23"/>
    </row>
    <row r="24" spans="1:16" ht="45" customHeight="1" x14ac:dyDescent="0.25">
      <c r="A24" s="194" t="s">
        <v>198</v>
      </c>
      <c r="B24" s="148">
        <f>1782*4.32</f>
        <v>7698.2400000000007</v>
      </c>
      <c r="C24" s="182">
        <v>6.7</v>
      </c>
      <c r="D24" s="180">
        <v>1</v>
      </c>
      <c r="E24" s="185">
        <v>1.3</v>
      </c>
      <c r="F24" s="293">
        <f>B24*C24*D24*E24</f>
        <v>67051.670400000017</v>
      </c>
      <c r="G24" s="23"/>
      <c r="H24" s="23"/>
      <c r="I24" s="23"/>
      <c r="K24" s="37">
        <v>52.32</v>
      </c>
      <c r="L24" s="291">
        <v>43.6</v>
      </c>
    </row>
    <row r="25" spans="1:16" ht="45" customHeight="1" x14ac:dyDescent="0.25">
      <c r="A25" s="194" t="s">
        <v>153</v>
      </c>
      <c r="B25" s="186">
        <v>39800</v>
      </c>
      <c r="C25" s="153">
        <v>6.7</v>
      </c>
      <c r="D25" s="187">
        <v>1</v>
      </c>
      <c r="E25" s="188">
        <v>1.3</v>
      </c>
      <c r="F25" s="293">
        <f>B25*C25*D25*E25</f>
        <v>346658</v>
      </c>
      <c r="G25" s="23"/>
      <c r="H25" s="23"/>
      <c r="I25" s="23"/>
    </row>
    <row r="26" spans="1:16" ht="15" customHeight="1" x14ac:dyDescent="0.25">
      <c r="A26" s="190"/>
      <c r="B26" s="190"/>
      <c r="C26" s="190"/>
      <c r="D26" s="190"/>
      <c r="E26" s="226" t="s">
        <v>167</v>
      </c>
      <c r="F26" s="296">
        <f>SUM(F14:F25)</f>
        <v>1735409.6703999999</v>
      </c>
      <c r="G26" s="23"/>
      <c r="H26" s="23"/>
      <c r="I26" s="23"/>
    </row>
    <row r="27" spans="1:16" ht="15" customHeight="1" x14ac:dyDescent="0.35">
      <c r="A27" s="261" t="s">
        <v>78</v>
      </c>
      <c r="B27" s="259">
        <v>39800</v>
      </c>
      <c r="C27" s="190" t="s">
        <v>2</v>
      </c>
      <c r="D27" s="95"/>
      <c r="E27" s="95"/>
      <c r="F27" s="297"/>
      <c r="G27" s="23"/>
      <c r="H27" s="23"/>
      <c r="I27" s="23"/>
    </row>
    <row r="28" spans="1:16" ht="18" x14ac:dyDescent="0.35">
      <c r="A28" s="262" t="s">
        <v>175</v>
      </c>
      <c r="B28" s="260">
        <f>F26/B27</f>
        <v>43.603258050251256</v>
      </c>
      <c r="C28" s="255" t="s">
        <v>4</v>
      </c>
      <c r="D28" s="256"/>
      <c r="E28" s="256"/>
      <c r="F28" s="298"/>
      <c r="G28" s="23"/>
      <c r="H28" s="23"/>
      <c r="I28" s="23"/>
      <c r="J28" s="23"/>
      <c r="P28" s="23"/>
    </row>
    <row r="29" spans="1:16" x14ac:dyDescent="0.25">
      <c r="A29" s="254" t="s">
        <v>174</v>
      </c>
      <c r="B29" s="155">
        <v>1.2</v>
      </c>
      <c r="C29" s="155"/>
      <c r="D29" s="193"/>
      <c r="E29" s="193"/>
      <c r="F29" s="299"/>
      <c r="G29" s="23"/>
      <c r="H29" s="23"/>
      <c r="I29" s="23"/>
      <c r="J29" s="23"/>
      <c r="P29" s="23"/>
    </row>
    <row r="30" spans="1:16" x14ac:dyDescent="0.25">
      <c r="A30" s="209"/>
      <c r="B30" s="210"/>
      <c r="C30" s="210"/>
      <c r="D30" s="210"/>
      <c r="E30" s="210"/>
      <c r="F30" s="300"/>
      <c r="G30" s="23"/>
      <c r="H30" s="23"/>
      <c r="I30" s="23"/>
      <c r="J30" s="23"/>
      <c r="P30" s="23"/>
    </row>
    <row r="31" spans="1:16" ht="18" x14ac:dyDescent="0.35">
      <c r="A31" s="224" t="s">
        <v>77</v>
      </c>
      <c r="B31" s="253">
        <f>B28*B29</f>
        <v>52.323909660301503</v>
      </c>
      <c r="C31" s="225" t="s">
        <v>4</v>
      </c>
      <c r="D31" s="149"/>
      <c r="E31" s="149"/>
      <c r="F31" s="157"/>
    </row>
    <row r="34" spans="1:17" x14ac:dyDescent="0.25">
      <c r="A34" s="62"/>
      <c r="B34" s="63"/>
      <c r="C34" s="99"/>
      <c r="D34" s="92"/>
      <c r="E34" s="63"/>
      <c r="F34" s="64"/>
      <c r="P34" s="23"/>
    </row>
    <row r="35" spans="1:17" x14ac:dyDescent="0.25">
      <c r="A35" s="65"/>
      <c r="B35" s="66"/>
      <c r="C35" s="66"/>
      <c r="D35" s="66"/>
      <c r="E35" s="66"/>
      <c r="F35" s="67"/>
      <c r="G35" s="23"/>
      <c r="J35" s="23"/>
      <c r="P35" s="23"/>
    </row>
    <row r="36" spans="1:17" x14ac:dyDescent="0.25">
      <c r="A36" s="100" t="s">
        <v>9</v>
      </c>
      <c r="B36" s="101"/>
      <c r="C36" s="102"/>
      <c r="D36" s="102"/>
      <c r="E36" s="102"/>
      <c r="F36" s="103"/>
    </row>
    <row r="37" spans="1:17" x14ac:dyDescent="0.25">
      <c r="A37" s="69" t="s">
        <v>10</v>
      </c>
      <c r="B37" s="60"/>
      <c r="C37" s="74"/>
      <c r="D37" s="74"/>
      <c r="E37" s="74"/>
      <c r="F37" s="64"/>
    </row>
    <row r="38" spans="1:17" ht="18" x14ac:dyDescent="0.35">
      <c r="A38" s="69" t="s">
        <v>92</v>
      </c>
      <c r="B38" s="60"/>
      <c r="C38" s="177" t="s">
        <v>12</v>
      </c>
      <c r="D38" s="236">
        <v>405.7</v>
      </c>
      <c r="E38" s="178" t="s">
        <v>98</v>
      </c>
      <c r="F38" s="162"/>
      <c r="J38" s="228" t="s">
        <v>183</v>
      </c>
      <c r="K38" s="139"/>
      <c r="L38" s="139"/>
      <c r="M38" s="139"/>
      <c r="N38" s="139"/>
      <c r="O38" s="139"/>
      <c r="P38" s="229"/>
      <c r="Q38" s="140"/>
    </row>
    <row r="39" spans="1:17" ht="18" x14ac:dyDescent="0.35">
      <c r="A39" s="69"/>
      <c r="B39" s="60"/>
      <c r="C39" s="174" t="s">
        <v>27</v>
      </c>
      <c r="D39" s="168">
        <f>SUM(D38)</f>
        <v>405.7</v>
      </c>
      <c r="E39" s="168" t="s">
        <v>2</v>
      </c>
      <c r="F39" s="157"/>
      <c r="J39" s="230" t="s">
        <v>184</v>
      </c>
      <c r="K39" s="149"/>
      <c r="L39" s="149"/>
      <c r="M39" s="149"/>
      <c r="N39" s="156" t="s">
        <v>185</v>
      </c>
      <c r="O39" s="231" t="s">
        <v>132</v>
      </c>
      <c r="P39" s="232">
        <v>15.64</v>
      </c>
      <c r="Q39" s="233" t="s">
        <v>186</v>
      </c>
    </row>
    <row r="40" spans="1:17" x14ac:dyDescent="0.25">
      <c r="A40" s="69" t="s">
        <v>11</v>
      </c>
      <c r="B40" s="60"/>
      <c r="C40" s="179"/>
      <c r="D40" s="171"/>
      <c r="E40" s="171"/>
      <c r="F40" s="163"/>
      <c r="J40" s="234"/>
      <c r="K40" s="210"/>
      <c r="L40" s="210"/>
      <c r="M40" s="210"/>
      <c r="N40" s="210"/>
      <c r="O40" s="235"/>
      <c r="P40" s="236">
        <v>1.3</v>
      </c>
      <c r="Q40" s="237" t="s">
        <v>187</v>
      </c>
    </row>
    <row r="41" spans="1:17" ht="18" x14ac:dyDescent="0.35">
      <c r="A41" s="69" t="s">
        <v>91</v>
      </c>
      <c r="B41" s="60"/>
      <c r="C41" s="174" t="s">
        <v>13</v>
      </c>
      <c r="D41" s="232">
        <v>150</v>
      </c>
      <c r="E41" s="168" t="s">
        <v>2</v>
      </c>
      <c r="F41" s="157"/>
      <c r="J41" s="179"/>
      <c r="K41" s="31"/>
      <c r="L41" s="31"/>
      <c r="M41" s="246">
        <f>P39*P40*P43</f>
        <v>12.199199999999999</v>
      </c>
      <c r="N41" s="238" t="s">
        <v>188</v>
      </c>
      <c r="O41" s="239"/>
      <c r="P41" s="240">
        <v>0.95</v>
      </c>
      <c r="Q41" s="241" t="s">
        <v>187</v>
      </c>
    </row>
    <row r="42" spans="1:17" x14ac:dyDescent="0.25">
      <c r="A42" s="69"/>
      <c r="B42" s="60"/>
      <c r="C42" s="173"/>
      <c r="D42" s="171"/>
      <c r="E42" s="168"/>
      <c r="F42" s="163"/>
      <c r="J42" s="179"/>
      <c r="K42" s="31"/>
      <c r="L42" s="31"/>
      <c r="M42" s="246">
        <f>P39*P41*P43</f>
        <v>8.9147999999999996</v>
      </c>
      <c r="N42" s="238" t="s">
        <v>189</v>
      </c>
      <c r="O42" s="239"/>
      <c r="P42" s="240">
        <v>0.52</v>
      </c>
      <c r="Q42" s="241" t="s">
        <v>187</v>
      </c>
    </row>
    <row r="43" spans="1:17" ht="18" x14ac:dyDescent="0.35">
      <c r="A43" s="69" t="s">
        <v>16</v>
      </c>
      <c r="B43" s="60"/>
      <c r="C43" s="174" t="s">
        <v>14</v>
      </c>
      <c r="D43" s="176">
        <f>D39/B27</f>
        <v>1.0193467336683417E-2</v>
      </c>
      <c r="E43" s="168" t="s">
        <v>200</v>
      </c>
      <c r="F43" s="157"/>
      <c r="J43" s="242"/>
      <c r="K43" s="193"/>
      <c r="L43" s="117"/>
      <c r="M43" s="247">
        <f>P39*P42*P43</f>
        <v>4.8796800000000005</v>
      </c>
      <c r="N43" s="248" t="s">
        <v>190</v>
      </c>
      <c r="O43" s="243"/>
      <c r="P43" s="244">
        <v>0.6</v>
      </c>
      <c r="Q43" s="245" t="s">
        <v>187</v>
      </c>
    </row>
    <row r="44" spans="1:17" ht="18" x14ac:dyDescent="0.35">
      <c r="A44" s="69" t="s">
        <v>17</v>
      </c>
      <c r="B44" s="60"/>
      <c r="C44" s="173" t="s">
        <v>15</v>
      </c>
      <c r="D44" s="175">
        <f>D41/B27</f>
        <v>3.7688442211055275E-3</v>
      </c>
      <c r="E44" s="171"/>
      <c r="F44" s="163"/>
    </row>
    <row r="45" spans="1:17" x14ac:dyDescent="0.25">
      <c r="A45" s="69"/>
      <c r="B45" s="60"/>
      <c r="C45" s="174"/>
      <c r="D45" s="168"/>
      <c r="E45" s="168"/>
      <c r="F45" s="157"/>
    </row>
    <row r="46" spans="1:17" ht="18.75" x14ac:dyDescent="0.35">
      <c r="A46" s="70" t="s">
        <v>20</v>
      </c>
      <c r="B46" s="159"/>
      <c r="C46" s="173" t="s">
        <v>24</v>
      </c>
      <c r="D46" s="171">
        <f>(1+145*(0.4-0.025)^4)/(1.6+D48*D44)</f>
        <v>2.2867891739247508</v>
      </c>
      <c r="E46" s="171" t="s">
        <v>201</v>
      </c>
      <c r="F46" s="163"/>
      <c r="G46" s="41"/>
      <c r="H46" s="41"/>
      <c r="I46" s="41"/>
      <c r="K46" s="23"/>
    </row>
    <row r="47" spans="1:17" ht="18.75" x14ac:dyDescent="0.35">
      <c r="A47" s="71" t="s">
        <v>21</v>
      </c>
      <c r="B47" s="160"/>
      <c r="C47" s="172" t="s">
        <v>22</v>
      </c>
      <c r="D47" s="168">
        <f>(6/9.5)^0.3</f>
        <v>0.87122091649971944</v>
      </c>
      <c r="E47" s="168"/>
      <c r="F47" s="169"/>
      <c r="G47" s="41"/>
      <c r="H47" s="41"/>
      <c r="I47" s="41"/>
      <c r="K47" s="23"/>
    </row>
    <row r="48" spans="1:17" ht="18" x14ac:dyDescent="0.35">
      <c r="A48" s="71" t="s">
        <v>25</v>
      </c>
      <c r="B48" s="160"/>
      <c r="C48" s="170" t="s">
        <v>23</v>
      </c>
      <c r="D48" s="171">
        <f>20*(1+10*0.025-64*0.025^2)</f>
        <v>24.2</v>
      </c>
      <c r="E48" s="171" t="s">
        <v>202</v>
      </c>
      <c r="F48" s="164"/>
      <c r="G48" s="41"/>
      <c r="H48" s="41"/>
      <c r="I48" s="41"/>
      <c r="K48" s="23"/>
    </row>
    <row r="49" spans="1:18" x14ac:dyDescent="0.25">
      <c r="A49" s="59"/>
      <c r="B49" s="60"/>
      <c r="C49" s="147"/>
      <c r="D49" s="149"/>
      <c r="E49" s="168"/>
      <c r="F49" s="169"/>
      <c r="G49" s="41"/>
      <c r="H49" s="41"/>
      <c r="I49" s="41"/>
      <c r="K49" s="23"/>
    </row>
    <row r="50" spans="1:18" ht="18" x14ac:dyDescent="0.35">
      <c r="A50" s="72" t="s">
        <v>18</v>
      </c>
      <c r="B50" s="161"/>
      <c r="C50" s="166" t="s">
        <v>94</v>
      </c>
      <c r="D50" s="257">
        <f>D46*D47</f>
        <v>1.9922985599483578</v>
      </c>
      <c r="E50" s="167"/>
      <c r="F50" s="165"/>
      <c r="K50" s="23"/>
      <c r="N50" s="25"/>
      <c r="O50" s="23"/>
      <c r="P50" s="23"/>
      <c r="Q50" s="23"/>
      <c r="R50" s="23"/>
    </row>
    <row r="51" spans="1:18" x14ac:dyDescent="0.25">
      <c r="A51" s="62"/>
      <c r="B51" s="63"/>
      <c r="C51" s="31"/>
      <c r="D51" s="31"/>
      <c r="E51" s="31"/>
      <c r="F51" s="113"/>
      <c r="N51" s="23"/>
      <c r="O51" s="23"/>
      <c r="P51" s="23"/>
      <c r="Q51" s="23"/>
      <c r="R51" s="23"/>
    </row>
    <row r="52" spans="1:18" x14ac:dyDescent="0.25">
      <c r="A52" s="65"/>
      <c r="B52" s="66"/>
      <c r="C52" s="66"/>
      <c r="D52" s="73"/>
      <c r="E52" s="73"/>
      <c r="F52" s="67"/>
    </row>
    <row r="53" spans="1:18" x14ac:dyDescent="0.25">
      <c r="A53" s="198" t="s">
        <v>7</v>
      </c>
      <c r="B53" s="199"/>
      <c r="C53" s="200"/>
      <c r="D53" s="200"/>
      <c r="E53" s="200"/>
      <c r="F53" s="201"/>
      <c r="N53" s="43"/>
    </row>
    <row r="54" spans="1:18" ht="46.5" customHeight="1" x14ac:dyDescent="0.25">
      <c r="A54" s="147" t="s">
        <v>95</v>
      </c>
      <c r="B54" s="202"/>
      <c r="C54" s="203" t="s">
        <v>19</v>
      </c>
      <c r="D54" s="258">
        <v>0.15</v>
      </c>
      <c r="E54" s="278" t="s">
        <v>99</v>
      </c>
      <c r="F54" s="279"/>
      <c r="N54" s="43"/>
    </row>
    <row r="55" spans="1:18" ht="15" customHeight="1" x14ac:dyDescent="0.25">
      <c r="A55" s="190"/>
      <c r="B55" s="190"/>
      <c r="C55" s="195"/>
      <c r="D55" s="196"/>
      <c r="E55" s="197"/>
      <c r="F55" s="197"/>
      <c r="N55" s="43"/>
    </row>
    <row r="56" spans="1:18" x14ac:dyDescent="0.25">
      <c r="A56" s="204"/>
      <c r="B56" s="205"/>
      <c r="C56" s="205"/>
      <c r="D56" s="205"/>
      <c r="E56" s="205"/>
      <c r="F56" s="165"/>
      <c r="N56" s="42"/>
      <c r="O56" s="23"/>
      <c r="P56" s="23"/>
      <c r="Q56" s="23"/>
      <c r="R56" s="23"/>
    </row>
    <row r="57" spans="1:18" x14ac:dyDescent="0.25">
      <c r="A57" s="100" t="s">
        <v>86</v>
      </c>
      <c r="B57" s="101"/>
      <c r="C57" s="101"/>
      <c r="D57" s="101"/>
      <c r="E57" s="101"/>
      <c r="F57" s="189"/>
      <c r="G57" s="23"/>
      <c r="H57" s="23"/>
      <c r="I57" s="23"/>
      <c r="J57" s="23"/>
    </row>
    <row r="58" spans="1:18" ht="18" x14ac:dyDescent="0.35">
      <c r="A58" s="206" t="s">
        <v>1</v>
      </c>
      <c r="B58" s="63"/>
      <c r="C58" s="207" t="s">
        <v>8</v>
      </c>
      <c r="D58" s="63" t="s">
        <v>203</v>
      </c>
      <c r="E58" s="63"/>
      <c r="F58" s="68"/>
      <c r="G58" s="23"/>
      <c r="H58" s="23"/>
      <c r="I58" s="23"/>
      <c r="J58" s="23"/>
      <c r="P58" s="23"/>
    </row>
    <row r="59" spans="1:18" ht="18" x14ac:dyDescent="0.35">
      <c r="A59" s="147"/>
      <c r="B59" s="149"/>
      <c r="C59" s="207" t="s">
        <v>8</v>
      </c>
      <c r="D59" s="253">
        <f>B31*D50*D54</f>
        <v>15.636727480062998</v>
      </c>
      <c r="E59" s="149" t="s">
        <v>52</v>
      </c>
      <c r="F59" s="157"/>
      <c r="P59" s="23"/>
    </row>
    <row r="60" spans="1:18" x14ac:dyDescent="0.25">
      <c r="A60" s="209"/>
      <c r="B60" s="210"/>
      <c r="C60" s="211"/>
      <c r="D60" s="212"/>
      <c r="E60" s="210"/>
      <c r="F60" s="213"/>
      <c r="P60" s="23"/>
    </row>
    <row r="61" spans="1:18" x14ac:dyDescent="0.25">
      <c r="A61" s="192"/>
      <c r="B61" s="193"/>
      <c r="C61" s="193"/>
      <c r="D61" s="193"/>
      <c r="E61" s="193"/>
      <c r="F61" s="165"/>
      <c r="N61" s="25"/>
      <c r="O61" s="23"/>
      <c r="P61" s="23"/>
      <c r="Q61" s="23"/>
      <c r="R61" s="23"/>
    </row>
    <row r="62" spans="1:18" x14ac:dyDescent="0.25">
      <c r="A62" s="208" t="s">
        <v>59</v>
      </c>
      <c r="B62" s="101"/>
      <c r="C62" s="101"/>
      <c r="D62" s="101"/>
      <c r="E62" s="101"/>
      <c r="F62" s="103"/>
      <c r="N62" s="25"/>
      <c r="O62" s="23"/>
      <c r="P62" s="23"/>
      <c r="Q62" s="23"/>
      <c r="R62" s="23"/>
    </row>
    <row r="63" spans="1:18" x14ac:dyDescent="0.25">
      <c r="A63" s="62"/>
      <c r="B63" s="63"/>
      <c r="C63" s="63"/>
      <c r="D63" s="63"/>
      <c r="E63" s="63"/>
      <c r="F63" s="64"/>
    </row>
    <row r="64" spans="1:18" x14ac:dyDescent="0.25">
      <c r="A64" s="112"/>
      <c r="B64" s="31"/>
      <c r="C64" s="31"/>
      <c r="D64" s="31"/>
      <c r="E64" s="31"/>
      <c r="F64" s="113"/>
    </row>
    <row r="65" spans="1:15" x14ac:dyDescent="0.25">
      <c r="A65" s="209" t="s">
        <v>168</v>
      </c>
      <c r="B65" s="210" t="s">
        <v>169</v>
      </c>
      <c r="C65" s="210" t="s">
        <v>170</v>
      </c>
      <c r="D65" s="186">
        <f>B27</f>
        <v>39800</v>
      </c>
      <c r="E65" s="210" t="s">
        <v>2</v>
      </c>
      <c r="F65" s="213"/>
      <c r="J65" s="56" t="s">
        <v>93</v>
      </c>
      <c r="K65" s="57"/>
      <c r="L65" s="57"/>
      <c r="M65" s="57"/>
      <c r="N65" s="57"/>
      <c r="O65" s="58"/>
    </row>
    <row r="66" spans="1:15" ht="18" customHeight="1" x14ac:dyDescent="0.35">
      <c r="A66" s="192"/>
      <c r="B66" s="193" t="s">
        <v>171</v>
      </c>
      <c r="C66" s="193" t="s">
        <v>170</v>
      </c>
      <c r="D66" s="214">
        <f>D59</f>
        <v>15.636727480062998</v>
      </c>
      <c r="E66" s="193" t="s">
        <v>176</v>
      </c>
      <c r="F66" s="165"/>
      <c r="J66" s="59"/>
      <c r="K66" s="75" t="s">
        <v>68</v>
      </c>
      <c r="L66" s="60"/>
      <c r="M66" s="60"/>
      <c r="N66" s="60"/>
      <c r="O66" s="61"/>
    </row>
    <row r="67" spans="1:15" ht="18" x14ac:dyDescent="0.35">
      <c r="J67" s="59"/>
      <c r="K67" s="75" t="s">
        <v>69</v>
      </c>
      <c r="L67" s="60"/>
      <c r="M67" s="60"/>
      <c r="N67" s="60"/>
      <c r="O67" s="61"/>
    </row>
    <row r="68" spans="1:15" ht="18" x14ac:dyDescent="0.35">
      <c r="A68" s="147"/>
      <c r="B68" s="149" t="s">
        <v>172</v>
      </c>
      <c r="C68" s="149" t="s">
        <v>170</v>
      </c>
      <c r="D68" s="148">
        <v>59753</v>
      </c>
      <c r="E68" s="149" t="s">
        <v>2</v>
      </c>
      <c r="F68" s="157"/>
      <c r="J68" s="128"/>
      <c r="K68" s="129" t="s">
        <v>97</v>
      </c>
      <c r="L68" s="130">
        <f>D59/(D54*D50)</f>
        <v>52.323909660301503</v>
      </c>
      <c r="M68" s="130" t="s">
        <v>4</v>
      </c>
      <c r="N68" s="131"/>
      <c r="O68" s="132"/>
    </row>
    <row r="69" spans="1:15" ht="18" x14ac:dyDescent="0.35">
      <c r="A69" s="147"/>
      <c r="B69" s="149" t="s">
        <v>173</v>
      </c>
      <c r="C69" s="149" t="s">
        <v>170</v>
      </c>
      <c r="D69" s="148">
        <f>D68*0.75</f>
        <v>44814.75</v>
      </c>
      <c r="E69" s="149" t="s">
        <v>2</v>
      </c>
      <c r="F69" s="157"/>
      <c r="J69" s="76"/>
      <c r="K69" s="77" t="s">
        <v>63</v>
      </c>
      <c r="L69" s="77">
        <f>(B28*1.2)</f>
        <v>52.323909660301503</v>
      </c>
      <c r="M69" s="78" t="s">
        <v>4</v>
      </c>
      <c r="N69" s="60"/>
      <c r="O69" s="61"/>
    </row>
    <row r="70" spans="1:15" ht="18" x14ac:dyDescent="0.35">
      <c r="J70" s="76"/>
      <c r="K70" s="77" t="s">
        <v>65</v>
      </c>
      <c r="L70" s="77">
        <f>L68-L69</f>
        <v>0</v>
      </c>
      <c r="M70" s="78" t="s">
        <v>4</v>
      </c>
      <c r="N70" s="60"/>
      <c r="O70" s="61"/>
    </row>
    <row r="71" spans="1:15" ht="30" x14ac:dyDescent="0.25">
      <c r="J71" s="79" t="s">
        <v>64</v>
      </c>
      <c r="K71" s="80"/>
      <c r="L71" s="77">
        <f>L69/L68*100</f>
        <v>100</v>
      </c>
      <c r="M71" s="81" t="s">
        <v>67</v>
      </c>
      <c r="N71" s="60"/>
      <c r="O71" s="61"/>
    </row>
    <row r="72" spans="1:15" x14ac:dyDescent="0.25">
      <c r="A72" s="208" t="s">
        <v>177</v>
      </c>
      <c r="B72" s="101"/>
      <c r="C72" s="101"/>
      <c r="D72" s="101"/>
      <c r="E72" s="101"/>
      <c r="F72" s="103"/>
    </row>
    <row r="73" spans="1:15" x14ac:dyDescent="0.25">
      <c r="A73" s="272" t="s">
        <v>178</v>
      </c>
      <c r="B73" s="63"/>
      <c r="C73" s="63"/>
      <c r="D73" s="63"/>
      <c r="E73" s="63"/>
      <c r="F73" s="64"/>
    </row>
    <row r="74" spans="1:15" x14ac:dyDescent="0.25">
      <c r="A74" s="273"/>
      <c r="B74" s="31"/>
      <c r="C74" s="31"/>
      <c r="D74" s="31"/>
      <c r="E74" s="31"/>
      <c r="F74" s="113"/>
    </row>
    <row r="75" spans="1:15" x14ac:dyDescent="0.25">
      <c r="A75" s="273"/>
      <c r="B75" s="210"/>
      <c r="C75" s="210"/>
      <c r="D75" s="186"/>
      <c r="E75" s="210"/>
      <c r="F75" s="213"/>
    </row>
    <row r="76" spans="1:15" x14ac:dyDescent="0.25">
      <c r="A76" s="273"/>
    </row>
    <row r="77" spans="1:15" x14ac:dyDescent="0.25">
      <c r="A77" s="273"/>
    </row>
    <row r="105" spans="1:6" x14ac:dyDescent="0.25">
      <c r="A105" s="56" t="s">
        <v>119</v>
      </c>
      <c r="B105" s="57"/>
      <c r="C105" s="57"/>
      <c r="D105" s="57"/>
      <c r="E105" s="57"/>
      <c r="F105" s="58"/>
    </row>
    <row r="106" spans="1:6" x14ac:dyDescent="0.25">
      <c r="A106" s="105" t="s">
        <v>104</v>
      </c>
      <c r="B106" s="106" t="s">
        <v>105</v>
      </c>
      <c r="C106" s="106" t="s">
        <v>106</v>
      </c>
      <c r="D106" s="106" t="s">
        <v>107</v>
      </c>
      <c r="E106" s="107"/>
      <c r="F106" s="108"/>
    </row>
    <row r="107" spans="1:6" x14ac:dyDescent="0.25">
      <c r="A107" s="88" t="s">
        <v>108</v>
      </c>
      <c r="B107" s="89">
        <v>4.18</v>
      </c>
      <c r="C107" s="89">
        <v>4.5</v>
      </c>
      <c r="D107" s="89">
        <f>B107*C107</f>
        <v>18.809999999999999</v>
      </c>
      <c r="E107" s="89" t="s">
        <v>2</v>
      </c>
      <c r="F107" s="90"/>
    </row>
    <row r="108" spans="1:6" x14ac:dyDescent="0.25">
      <c r="A108" s="94"/>
      <c r="B108" s="95">
        <v>9.7799999999999994</v>
      </c>
      <c r="C108" s="95">
        <v>5.5</v>
      </c>
      <c r="D108" s="95">
        <f t="shared" ref="D108:D122" si="2">B108*C108</f>
        <v>53.79</v>
      </c>
      <c r="E108" s="95" t="s">
        <v>2</v>
      </c>
      <c r="F108" s="96"/>
    </row>
    <row r="109" spans="1:6" x14ac:dyDescent="0.25">
      <c r="A109" s="94"/>
      <c r="B109" s="95">
        <v>3.5</v>
      </c>
      <c r="C109" s="95">
        <v>4.2</v>
      </c>
      <c r="D109" s="95">
        <f t="shared" si="2"/>
        <v>14.700000000000001</v>
      </c>
      <c r="E109" s="95" t="s">
        <v>2</v>
      </c>
      <c r="F109" s="96"/>
    </row>
    <row r="110" spans="1:6" x14ac:dyDescent="0.25">
      <c r="A110" s="84"/>
      <c r="B110" s="85">
        <v>9.61</v>
      </c>
      <c r="C110" s="85">
        <v>5</v>
      </c>
      <c r="D110" s="85">
        <f t="shared" si="2"/>
        <v>48.05</v>
      </c>
      <c r="E110" s="85" t="s">
        <v>2</v>
      </c>
      <c r="F110" s="86"/>
    </row>
    <row r="111" spans="1:6" x14ac:dyDescent="0.25">
      <c r="A111" s="76" t="s">
        <v>109</v>
      </c>
      <c r="B111" s="97">
        <v>7.35</v>
      </c>
      <c r="C111" s="97">
        <v>4.5</v>
      </c>
      <c r="D111" s="97">
        <f t="shared" si="2"/>
        <v>33.074999999999996</v>
      </c>
      <c r="E111" s="97" t="s">
        <v>2</v>
      </c>
      <c r="F111" s="98"/>
    </row>
    <row r="112" spans="1:6" x14ac:dyDescent="0.25">
      <c r="A112" s="76" t="s">
        <v>110</v>
      </c>
      <c r="B112" s="97">
        <v>6.9</v>
      </c>
      <c r="C112" s="97">
        <v>4.7</v>
      </c>
      <c r="D112" s="97">
        <f t="shared" si="2"/>
        <v>32.43</v>
      </c>
      <c r="E112" s="97" t="s">
        <v>2</v>
      </c>
      <c r="F112" s="98"/>
    </row>
    <row r="113" spans="1:6" x14ac:dyDescent="0.25">
      <c r="A113" s="76" t="s">
        <v>111</v>
      </c>
      <c r="B113" s="97">
        <v>6.84</v>
      </c>
      <c r="C113" s="97">
        <v>4.7</v>
      </c>
      <c r="D113" s="97">
        <f t="shared" si="2"/>
        <v>32.148000000000003</v>
      </c>
      <c r="E113" s="97" t="s">
        <v>2</v>
      </c>
      <c r="F113" s="98"/>
    </row>
    <row r="114" spans="1:6" x14ac:dyDescent="0.25">
      <c r="A114" s="76" t="s">
        <v>112</v>
      </c>
      <c r="B114" s="97">
        <v>7.15</v>
      </c>
      <c r="C114" s="97">
        <v>4.5</v>
      </c>
      <c r="D114" s="97">
        <f t="shared" si="2"/>
        <v>32.175000000000004</v>
      </c>
      <c r="E114" s="97" t="s">
        <v>2</v>
      </c>
      <c r="F114" s="98"/>
    </row>
    <row r="115" spans="1:6" x14ac:dyDescent="0.25">
      <c r="A115" s="88" t="s">
        <v>113</v>
      </c>
      <c r="B115" s="89">
        <v>7.28</v>
      </c>
      <c r="C115" s="89">
        <v>4.3</v>
      </c>
      <c r="D115" s="89">
        <f t="shared" si="2"/>
        <v>31.303999999999998</v>
      </c>
      <c r="E115" s="89" t="s">
        <v>2</v>
      </c>
      <c r="F115" s="90"/>
    </row>
    <row r="116" spans="1:6" x14ac:dyDescent="0.25">
      <c r="A116" s="94"/>
      <c r="B116" s="95">
        <v>7.28</v>
      </c>
      <c r="C116" s="95">
        <v>4.7</v>
      </c>
      <c r="D116" s="95">
        <f t="shared" si="2"/>
        <v>34.216000000000001</v>
      </c>
      <c r="E116" s="95" t="s">
        <v>2</v>
      </c>
      <c r="F116" s="96"/>
    </row>
    <row r="117" spans="1:6" x14ac:dyDescent="0.25">
      <c r="A117" s="84"/>
      <c r="B117" s="85">
        <v>3.6</v>
      </c>
      <c r="C117" s="85">
        <v>4</v>
      </c>
      <c r="D117" s="85">
        <f t="shared" si="2"/>
        <v>14.4</v>
      </c>
      <c r="E117" s="85" t="s">
        <v>2</v>
      </c>
      <c r="F117" s="86"/>
    </row>
    <row r="118" spans="1:6" x14ac:dyDescent="0.25">
      <c r="A118" s="76" t="s">
        <v>114</v>
      </c>
      <c r="B118" s="97">
        <v>7.5</v>
      </c>
      <c r="C118" s="97">
        <v>4.8</v>
      </c>
      <c r="D118" s="97">
        <f t="shared" si="2"/>
        <v>36</v>
      </c>
      <c r="E118" s="97" t="s">
        <v>2</v>
      </c>
      <c r="F118" s="98"/>
    </row>
    <row r="119" spans="1:6" x14ac:dyDescent="0.25">
      <c r="A119" s="88" t="s">
        <v>115</v>
      </c>
      <c r="B119" s="89">
        <v>7.28</v>
      </c>
      <c r="C119" s="89">
        <v>3.9</v>
      </c>
      <c r="D119" s="89">
        <f t="shared" si="2"/>
        <v>28.391999999999999</v>
      </c>
      <c r="E119" s="89" t="s">
        <v>2</v>
      </c>
      <c r="F119" s="90"/>
    </row>
    <row r="120" spans="1:6" x14ac:dyDescent="0.25">
      <c r="A120" s="84"/>
      <c r="B120" s="85">
        <v>4.2</v>
      </c>
      <c r="C120" s="85">
        <v>4.0999999999999996</v>
      </c>
      <c r="D120" s="85">
        <f t="shared" si="2"/>
        <v>17.22</v>
      </c>
      <c r="E120" s="85" t="s">
        <v>2</v>
      </c>
      <c r="F120" s="86"/>
    </row>
    <row r="121" spans="1:6" x14ac:dyDescent="0.25">
      <c r="A121" s="88" t="s">
        <v>116</v>
      </c>
      <c r="B121" s="89">
        <v>4.4000000000000004</v>
      </c>
      <c r="C121" s="89">
        <v>4.5</v>
      </c>
      <c r="D121" s="89">
        <f t="shared" si="2"/>
        <v>19.8</v>
      </c>
      <c r="E121" s="89" t="s">
        <v>2</v>
      </c>
      <c r="F121" s="265"/>
    </row>
    <row r="122" spans="1:6" x14ac:dyDescent="0.25">
      <c r="A122" s="84"/>
      <c r="B122" s="85">
        <v>4.4000000000000004</v>
      </c>
      <c r="C122" s="85">
        <v>7</v>
      </c>
      <c r="D122" s="263">
        <f t="shared" si="2"/>
        <v>30.800000000000004</v>
      </c>
      <c r="E122" s="263" t="s">
        <v>2</v>
      </c>
      <c r="F122" s="266"/>
    </row>
    <row r="123" spans="1:6" x14ac:dyDescent="0.25">
      <c r="A123" s="88"/>
      <c r="B123" s="89"/>
      <c r="C123" s="89" t="s">
        <v>117</v>
      </c>
      <c r="D123" s="95">
        <f>SUM(D107:D122)</f>
        <v>477.30999999999995</v>
      </c>
      <c r="E123" s="95" t="s">
        <v>2</v>
      </c>
      <c r="F123" s="191"/>
    </row>
    <row r="124" spans="1:6" x14ac:dyDescent="0.25">
      <c r="A124" s="94"/>
      <c r="B124" s="95"/>
      <c r="C124" s="95" t="s">
        <v>196</v>
      </c>
      <c r="D124" s="95"/>
      <c r="E124" s="95"/>
      <c r="F124" s="191"/>
    </row>
    <row r="125" spans="1:6" x14ac:dyDescent="0.25">
      <c r="A125" s="264"/>
      <c r="B125" s="263"/>
      <c r="C125" s="263"/>
      <c r="D125" s="267">
        <f>D123*0.85</f>
        <v>405.71349999999995</v>
      </c>
      <c r="E125" s="263" t="s">
        <v>2</v>
      </c>
      <c r="F125" s="266"/>
    </row>
    <row r="126" spans="1:6" x14ac:dyDescent="0.25">
      <c r="A126" s="65"/>
      <c r="B126" s="66"/>
      <c r="C126" s="66"/>
      <c r="D126" s="66"/>
      <c r="E126" s="66"/>
      <c r="F126" s="67"/>
    </row>
    <row r="127" spans="1:6" x14ac:dyDescent="0.25">
      <c r="A127" s="56" t="s">
        <v>120</v>
      </c>
      <c r="B127" s="57"/>
      <c r="C127" s="57"/>
      <c r="D127" s="57"/>
      <c r="E127" s="57"/>
      <c r="F127" s="58"/>
    </row>
    <row r="128" spans="1:6" x14ac:dyDescent="0.25">
      <c r="A128" s="69" t="s">
        <v>91</v>
      </c>
      <c r="B128" s="109"/>
      <c r="C128" s="109" t="s">
        <v>121</v>
      </c>
      <c r="D128" s="109">
        <v>149.25</v>
      </c>
      <c r="E128" s="97"/>
      <c r="F128" s="98"/>
    </row>
    <row r="129" spans="1:6" ht="15.75" thickBot="1" x14ac:dyDescent="0.3">
      <c r="A129" s="62"/>
      <c r="B129" s="63"/>
      <c r="C129" s="63" t="s">
        <v>118</v>
      </c>
      <c r="D129" s="268">
        <v>150</v>
      </c>
      <c r="E129" s="63" t="s">
        <v>2</v>
      </c>
      <c r="F129" s="64"/>
    </row>
    <row r="130" spans="1:6" ht="15.75" thickTop="1" x14ac:dyDescent="0.25">
      <c r="A130" s="112"/>
      <c r="B130" s="31"/>
      <c r="C130" s="31"/>
      <c r="D130" s="31" t="s">
        <v>122</v>
      </c>
      <c r="E130" s="31"/>
      <c r="F130" s="113"/>
    </row>
    <row r="131" spans="1:6" x14ac:dyDescent="0.25">
      <c r="A131" s="65"/>
      <c r="B131" s="66"/>
      <c r="C131" s="66"/>
      <c r="D131" s="66"/>
      <c r="E131" s="66"/>
      <c r="F131" s="67"/>
    </row>
    <row r="132" spans="1:6" x14ac:dyDescent="0.25">
      <c r="A132" s="56" t="s">
        <v>123</v>
      </c>
      <c r="B132" s="57"/>
      <c r="C132" s="57"/>
      <c r="D132" s="57"/>
      <c r="E132" s="57"/>
      <c r="F132" s="58"/>
    </row>
    <row r="133" spans="1:6" x14ac:dyDescent="0.25">
      <c r="A133" s="59"/>
      <c r="B133" s="269" t="s">
        <v>124</v>
      </c>
      <c r="C133" s="60"/>
      <c r="D133" s="60"/>
      <c r="E133" s="60"/>
      <c r="F133" s="61"/>
    </row>
    <row r="134" spans="1:6" x14ac:dyDescent="0.25">
      <c r="A134" s="59"/>
      <c r="B134" s="60"/>
      <c r="C134" s="60"/>
      <c r="D134" s="60"/>
      <c r="E134" s="60"/>
      <c r="F134" s="61"/>
    </row>
    <row r="135" spans="1:6" x14ac:dyDescent="0.25">
      <c r="A135" s="59"/>
      <c r="B135" s="104" t="s">
        <v>125</v>
      </c>
      <c r="C135" s="59" t="s">
        <v>126</v>
      </c>
      <c r="D135" s="60"/>
      <c r="E135" s="60"/>
      <c r="F135" s="61"/>
    </row>
    <row r="136" spans="1:6" ht="15" customHeight="1" x14ac:dyDescent="0.25">
      <c r="A136" s="62"/>
      <c r="B136" s="289">
        <v>0.15</v>
      </c>
      <c r="C136" s="280" t="s">
        <v>128</v>
      </c>
      <c r="D136" s="281"/>
      <c r="E136" s="281"/>
      <c r="F136" s="110"/>
    </row>
    <row r="137" spans="1:6" x14ac:dyDescent="0.25">
      <c r="A137" s="65"/>
      <c r="B137" s="290"/>
      <c r="C137" s="282"/>
      <c r="D137" s="283"/>
      <c r="E137" s="283"/>
      <c r="F137" s="111"/>
    </row>
    <row r="138" spans="1:6" ht="32.25" customHeight="1" x14ac:dyDescent="0.25">
      <c r="A138" s="59"/>
      <c r="B138" s="104">
        <v>0.2</v>
      </c>
      <c r="C138" s="284" t="s">
        <v>127</v>
      </c>
      <c r="D138" s="285"/>
      <c r="E138" s="285"/>
      <c r="F138" s="61"/>
    </row>
    <row r="139" spans="1:6" x14ac:dyDescent="0.25">
      <c r="A139" s="62"/>
      <c r="B139" s="289">
        <v>0.25</v>
      </c>
      <c r="C139" s="280" t="s">
        <v>129</v>
      </c>
      <c r="D139" s="286"/>
      <c r="E139" s="286"/>
      <c r="F139" s="64"/>
    </row>
    <row r="140" spans="1:6" x14ac:dyDescent="0.25">
      <c r="A140" s="65"/>
      <c r="B140" s="290"/>
      <c r="C140" s="287"/>
      <c r="D140" s="288"/>
      <c r="E140" s="288"/>
      <c r="F140" s="67"/>
    </row>
    <row r="154" spans="1:6" x14ac:dyDescent="0.25">
      <c r="A154" s="56" t="s">
        <v>86</v>
      </c>
      <c r="B154" s="57"/>
      <c r="C154" s="57"/>
      <c r="D154" s="57"/>
      <c r="E154" s="57"/>
      <c r="F154" s="58"/>
    </row>
    <row r="155" spans="1:6" x14ac:dyDescent="0.25">
      <c r="A155" s="105" t="s">
        <v>130</v>
      </c>
      <c r="B155" s="106"/>
      <c r="C155" s="106"/>
      <c r="D155" s="106"/>
      <c r="E155" s="107"/>
      <c r="F155" s="108"/>
    </row>
    <row r="156" spans="1:6" x14ac:dyDescent="0.25">
      <c r="A156" s="114" t="s">
        <v>131</v>
      </c>
      <c r="B156" s="115"/>
      <c r="C156" s="115"/>
      <c r="D156" s="115"/>
      <c r="E156" s="115"/>
      <c r="F156" s="116"/>
    </row>
    <row r="157" spans="1:6" x14ac:dyDescent="0.25">
      <c r="A157" s="118"/>
      <c r="B157" s="119"/>
      <c r="C157" s="119"/>
      <c r="D157" s="119"/>
      <c r="E157" s="119"/>
      <c r="F157" s="120"/>
    </row>
    <row r="158" spans="1:6" x14ac:dyDescent="0.25">
      <c r="A158" s="121"/>
      <c r="B158" s="31"/>
      <c r="C158" s="31"/>
      <c r="D158" s="31"/>
      <c r="E158" s="31"/>
      <c r="F158" s="122"/>
    </row>
    <row r="159" spans="1:6" x14ac:dyDescent="0.25">
      <c r="A159" s="121"/>
      <c r="B159" s="31"/>
      <c r="C159" s="31"/>
      <c r="D159" s="31"/>
      <c r="E159" s="31"/>
      <c r="F159" s="122"/>
    </row>
    <row r="160" spans="1:6" x14ac:dyDescent="0.25">
      <c r="A160" s="121"/>
      <c r="B160" s="31"/>
      <c r="C160" s="31"/>
      <c r="D160" s="31"/>
      <c r="E160" s="31"/>
      <c r="F160" s="122"/>
    </row>
    <row r="161" spans="1:6" x14ac:dyDescent="0.25">
      <c r="A161" s="121"/>
      <c r="B161" s="31"/>
      <c r="C161" s="31"/>
      <c r="D161" s="31"/>
      <c r="E161" s="31"/>
      <c r="F161" s="122"/>
    </row>
    <row r="162" spans="1:6" x14ac:dyDescent="0.25">
      <c r="A162" s="121"/>
      <c r="B162" s="31"/>
      <c r="C162" s="31"/>
      <c r="D162" s="31"/>
      <c r="E162" s="31"/>
      <c r="F162" s="122"/>
    </row>
    <row r="163" spans="1:6" x14ac:dyDescent="0.25">
      <c r="A163" s="121"/>
      <c r="B163" s="31"/>
      <c r="C163" s="31"/>
      <c r="D163" s="31"/>
      <c r="E163" s="31"/>
      <c r="F163" s="122"/>
    </row>
    <row r="164" spans="1:6" x14ac:dyDescent="0.25">
      <c r="A164" s="121"/>
      <c r="B164" s="31"/>
      <c r="C164" s="31"/>
      <c r="D164" s="31"/>
      <c r="E164" s="31"/>
      <c r="F164" s="122"/>
    </row>
    <row r="165" spans="1:6" x14ac:dyDescent="0.25">
      <c r="A165" s="121"/>
      <c r="B165" s="31"/>
      <c r="C165" s="31"/>
      <c r="D165" s="31"/>
      <c r="E165" s="31"/>
      <c r="F165" s="122"/>
    </row>
    <row r="166" spans="1:6" x14ac:dyDescent="0.25">
      <c r="A166" s="121"/>
      <c r="B166" s="31"/>
      <c r="C166" s="31"/>
      <c r="D166" s="31"/>
      <c r="E166" s="31"/>
      <c r="F166" s="122"/>
    </row>
    <row r="167" spans="1:6" x14ac:dyDescent="0.25">
      <c r="A167" s="121"/>
      <c r="B167" s="31"/>
      <c r="C167" s="31"/>
      <c r="D167" s="31"/>
      <c r="E167" s="31"/>
      <c r="F167" s="122"/>
    </row>
    <row r="168" spans="1:6" x14ac:dyDescent="0.25">
      <c r="A168" s="121"/>
      <c r="B168" s="31"/>
      <c r="C168" s="31"/>
      <c r="D168" s="31"/>
      <c r="E168" s="31"/>
      <c r="F168" s="122"/>
    </row>
    <row r="169" spans="1:6" x14ac:dyDescent="0.25">
      <c r="A169" s="121"/>
      <c r="B169" s="31"/>
      <c r="C169" s="31"/>
      <c r="D169" s="31"/>
      <c r="E169" s="31"/>
      <c r="F169" s="122"/>
    </row>
    <row r="170" spans="1:6" x14ac:dyDescent="0.25">
      <c r="A170" s="121"/>
      <c r="B170" s="31"/>
      <c r="C170" s="31"/>
      <c r="D170" s="31"/>
      <c r="E170" s="31"/>
      <c r="F170" s="122"/>
    </row>
    <row r="171" spans="1:6" x14ac:dyDescent="0.25">
      <c r="A171" s="121"/>
      <c r="B171" s="31"/>
      <c r="C171" s="31"/>
      <c r="D171" s="31"/>
      <c r="E171" s="31"/>
      <c r="F171" s="122"/>
    </row>
    <row r="172" spans="1:6" x14ac:dyDescent="0.25">
      <c r="A172" s="121"/>
      <c r="B172" s="31"/>
      <c r="C172" s="31"/>
      <c r="D172" s="31"/>
      <c r="E172" s="31"/>
      <c r="F172" s="122"/>
    </row>
    <row r="173" spans="1:6" x14ac:dyDescent="0.25">
      <c r="A173" s="121"/>
      <c r="B173" s="31"/>
      <c r="C173" s="31"/>
      <c r="D173" s="31"/>
      <c r="E173" s="31"/>
      <c r="F173" s="122"/>
    </row>
    <row r="174" spans="1:6" x14ac:dyDescent="0.25">
      <c r="A174" s="121"/>
      <c r="B174" s="31"/>
      <c r="C174" s="31"/>
      <c r="D174" s="31"/>
      <c r="E174" s="31"/>
      <c r="F174" s="122"/>
    </row>
    <row r="175" spans="1:6" x14ac:dyDescent="0.25">
      <c r="A175" s="121"/>
      <c r="B175" s="31"/>
      <c r="C175" s="31"/>
      <c r="D175" s="31"/>
      <c r="E175" s="31"/>
      <c r="F175" s="122"/>
    </row>
    <row r="176" spans="1:6" x14ac:dyDescent="0.25">
      <c r="A176" s="123"/>
      <c r="B176" s="117"/>
      <c r="C176" s="117"/>
      <c r="D176" s="117"/>
      <c r="E176" s="117"/>
      <c r="F176" s="124"/>
    </row>
    <row r="177" spans="1:6" x14ac:dyDescent="0.25">
      <c r="A177" s="118"/>
      <c r="B177" s="274" t="s">
        <v>135</v>
      </c>
      <c r="C177" s="125" t="s">
        <v>134</v>
      </c>
      <c r="D177" s="125"/>
      <c r="E177" s="276" t="s">
        <v>136</v>
      </c>
      <c r="F177" s="120"/>
    </row>
    <row r="178" spans="1:6" x14ac:dyDescent="0.25">
      <c r="A178" s="126" t="s">
        <v>132</v>
      </c>
      <c r="B178" s="275"/>
      <c r="C178" s="127" t="s">
        <v>133</v>
      </c>
      <c r="D178" s="117"/>
      <c r="E178" s="277"/>
      <c r="F178" s="124"/>
    </row>
    <row r="179" spans="1:6" x14ac:dyDescent="0.25">
      <c r="A179" s="118"/>
      <c r="B179" s="119"/>
      <c r="C179" s="119"/>
      <c r="D179" s="119"/>
      <c r="E179" s="119"/>
      <c r="F179" s="120"/>
    </row>
    <row r="180" spans="1:6" x14ac:dyDescent="0.25">
      <c r="A180" s="133" t="s">
        <v>132</v>
      </c>
      <c r="B180" s="134">
        <v>24.07</v>
      </c>
      <c r="C180" s="31" t="s">
        <v>137</v>
      </c>
      <c r="D180" s="31"/>
      <c r="E180" s="31"/>
      <c r="F180" s="122"/>
    </row>
    <row r="181" spans="1:6" x14ac:dyDescent="0.25">
      <c r="A181" s="135"/>
      <c r="B181" s="136"/>
      <c r="C181" s="136"/>
      <c r="D181" s="136"/>
      <c r="E181" s="136"/>
      <c r="F181" s="137"/>
    </row>
    <row r="182" spans="1:6" x14ac:dyDescent="0.25">
      <c r="A182" s="118"/>
      <c r="B182" s="119"/>
      <c r="C182" s="119"/>
      <c r="D182" s="119"/>
      <c r="E182" s="119"/>
      <c r="F182" s="120"/>
    </row>
    <row r="183" spans="1:6" x14ac:dyDescent="0.25">
      <c r="A183" s="141"/>
      <c r="B183" s="95"/>
      <c r="C183" s="95"/>
      <c r="D183" s="95"/>
      <c r="E183" s="95"/>
      <c r="F183" s="95"/>
    </row>
    <row r="184" spans="1:6" x14ac:dyDescent="0.25">
      <c r="A184" s="95"/>
      <c r="B184" s="142"/>
      <c r="C184" s="142"/>
      <c r="D184" s="142"/>
      <c r="E184" s="95"/>
      <c r="F184" s="95"/>
    </row>
  </sheetData>
  <mergeCells count="9">
    <mergeCell ref="A73:A77"/>
    <mergeCell ref="B177:B178"/>
    <mergeCell ref="E177:E178"/>
    <mergeCell ref="E54:F54"/>
    <mergeCell ref="C136:E137"/>
    <mergeCell ref="C138:E138"/>
    <mergeCell ref="C139:E140"/>
    <mergeCell ref="B136:B137"/>
    <mergeCell ref="B139:B140"/>
  </mergeCells>
  <pageMargins left="0.7" right="0.7" top="0.78740157499999996" bottom="0.78740157499999996" header="0.3" footer="0.3"/>
  <pageSetup paperSize="9" scale="86" orientation="portrait" r:id="rId1"/>
  <rowBreaks count="3" manualBreakCount="3">
    <brk id="32" max="16383" man="1"/>
    <brk id="60" max="16383" man="1"/>
    <brk id="89" max="16383" man="1"/>
  </rowBreaks>
  <colBreaks count="1" manualBreakCount="1">
    <brk id="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selection activeCell="L25" sqref="L25"/>
    </sheetView>
  </sheetViews>
  <sheetFormatPr baseColWidth="10" defaultRowHeight="15" x14ac:dyDescent="0.25"/>
  <cols>
    <col min="1" max="1" width="23" customWidth="1"/>
    <col min="2" max="3" width="8.42578125" customWidth="1"/>
    <col min="4" max="4" width="9.5703125" customWidth="1"/>
    <col min="5" max="5" width="9" customWidth="1"/>
    <col min="6" max="6" width="15.42578125" customWidth="1"/>
    <col min="7" max="7" width="9.7109375" customWidth="1"/>
    <col min="8" max="8" width="10" customWidth="1"/>
    <col min="10" max="17" width="9.42578125" customWidth="1"/>
  </cols>
  <sheetData>
    <row r="1" spans="1:17" x14ac:dyDescent="0.25">
      <c r="A1" s="138" t="s">
        <v>138</v>
      </c>
      <c r="B1" s="139"/>
      <c r="C1" s="139"/>
      <c r="D1" s="139"/>
      <c r="E1" s="143"/>
      <c r="F1" s="140"/>
      <c r="G1" s="153"/>
    </row>
    <row r="2" spans="1:17" ht="46.5" customHeight="1" x14ac:dyDescent="0.25">
      <c r="A2" s="144" t="s">
        <v>139</v>
      </c>
      <c r="B2" s="145" t="s">
        <v>140</v>
      </c>
      <c r="C2" s="145" t="s">
        <v>141</v>
      </c>
      <c r="D2" s="145" t="s">
        <v>150</v>
      </c>
      <c r="E2" s="145" t="s">
        <v>142</v>
      </c>
      <c r="F2" s="145" t="s">
        <v>143</v>
      </c>
      <c r="G2" s="154"/>
    </row>
    <row r="3" spans="1:17" x14ac:dyDescent="0.25">
      <c r="A3" s="147" t="s">
        <v>144</v>
      </c>
      <c r="B3" s="148">
        <v>1</v>
      </c>
      <c r="C3" s="148">
        <v>100000</v>
      </c>
      <c r="D3" s="149">
        <v>1</v>
      </c>
      <c r="E3" s="149">
        <v>4.8</v>
      </c>
      <c r="F3" s="150">
        <f>B3*C3*D3*E3</f>
        <v>480000</v>
      </c>
      <c r="G3" s="154"/>
      <c r="J3" t="s">
        <v>93</v>
      </c>
    </row>
    <row r="4" spans="1:17" x14ac:dyDescent="0.25">
      <c r="A4" s="147" t="s">
        <v>145</v>
      </c>
      <c r="B4" s="148">
        <v>5000</v>
      </c>
      <c r="C4" s="149">
        <v>3</v>
      </c>
      <c r="D4" s="149">
        <v>1</v>
      </c>
      <c r="E4" s="149">
        <v>12.2</v>
      </c>
      <c r="F4" s="150">
        <f>B4*C4*D4*E4</f>
        <v>183000</v>
      </c>
      <c r="G4" s="154"/>
    </row>
    <row r="5" spans="1:17" x14ac:dyDescent="0.25">
      <c r="A5" s="147" t="s">
        <v>146</v>
      </c>
      <c r="B5" s="148">
        <v>500</v>
      </c>
      <c r="C5" s="149">
        <v>23</v>
      </c>
      <c r="D5" s="149">
        <v>1</v>
      </c>
      <c r="E5" s="149">
        <v>4.8</v>
      </c>
      <c r="F5" s="150">
        <f t="shared" ref="F5:F7" si="0">B5*C5*D5*E5</f>
        <v>55200</v>
      </c>
      <c r="G5" s="154"/>
      <c r="O5" s="4">
        <v>45.43</v>
      </c>
      <c r="P5" s="4" t="s">
        <v>4</v>
      </c>
    </row>
    <row r="6" spans="1:17" x14ac:dyDescent="0.25">
      <c r="A6" s="147" t="s">
        <v>154</v>
      </c>
      <c r="B6" s="151">
        <v>100</v>
      </c>
      <c r="C6" s="149">
        <v>50</v>
      </c>
      <c r="D6" s="149">
        <v>1</v>
      </c>
      <c r="E6" s="149">
        <v>4.8</v>
      </c>
      <c r="F6" s="150">
        <f t="shared" si="0"/>
        <v>24000</v>
      </c>
      <c r="G6" s="154"/>
    </row>
    <row r="7" spans="1:17" x14ac:dyDescent="0.25">
      <c r="A7" s="147" t="s">
        <v>155</v>
      </c>
      <c r="B7" s="151">
        <v>100</v>
      </c>
      <c r="C7" s="149">
        <v>10</v>
      </c>
      <c r="D7" s="149">
        <v>1</v>
      </c>
      <c r="E7" s="149">
        <v>6.7</v>
      </c>
      <c r="F7" s="150">
        <f t="shared" si="0"/>
        <v>6700</v>
      </c>
      <c r="G7" s="154"/>
      <c r="J7" s="227" t="s">
        <v>181</v>
      </c>
      <c r="K7" s="227"/>
      <c r="L7" s="227"/>
      <c r="M7" s="227"/>
      <c r="N7" s="227"/>
      <c r="O7" s="227"/>
      <c r="P7" s="227"/>
      <c r="Q7" s="227"/>
    </row>
    <row r="8" spans="1:17" x14ac:dyDescent="0.25">
      <c r="A8" s="147" t="s">
        <v>147</v>
      </c>
      <c r="B8" s="148">
        <v>5</v>
      </c>
      <c r="C8" s="148">
        <v>1000</v>
      </c>
      <c r="D8" s="149">
        <v>1</v>
      </c>
      <c r="E8" s="149">
        <v>5</v>
      </c>
      <c r="F8" s="150">
        <f t="shared" ref="F8:F13" si="1">B8*C8*D8*E8</f>
        <v>25000</v>
      </c>
      <c r="G8" s="154"/>
    </row>
    <row r="9" spans="1:17" x14ac:dyDescent="0.25">
      <c r="A9" s="147" t="s">
        <v>148</v>
      </c>
      <c r="B9" s="148">
        <v>2</v>
      </c>
      <c r="C9" s="148">
        <v>10000</v>
      </c>
      <c r="D9" s="149">
        <v>1</v>
      </c>
      <c r="E9" s="149">
        <v>5</v>
      </c>
      <c r="F9" s="150">
        <f t="shared" si="1"/>
        <v>100000</v>
      </c>
      <c r="G9" s="154"/>
      <c r="J9" s="227" t="s">
        <v>182</v>
      </c>
      <c r="K9" s="227"/>
      <c r="L9" s="227"/>
      <c r="M9" s="227"/>
      <c r="N9" s="227"/>
      <c r="O9" s="227"/>
      <c r="P9" s="227"/>
      <c r="Q9" s="227"/>
    </row>
    <row r="10" spans="1:17" ht="15" customHeight="1" x14ac:dyDescent="0.25">
      <c r="A10" s="152" t="s">
        <v>152</v>
      </c>
      <c r="B10" s="148">
        <v>39800</v>
      </c>
      <c r="C10" s="149">
        <v>1</v>
      </c>
      <c r="D10" s="149">
        <v>1</v>
      </c>
      <c r="E10" s="149">
        <v>5</v>
      </c>
      <c r="F10" s="150">
        <f t="shared" si="1"/>
        <v>199000</v>
      </c>
      <c r="G10" s="154"/>
    </row>
    <row r="11" spans="1:17" ht="15" customHeight="1" x14ac:dyDescent="0.25">
      <c r="A11" s="152" t="s">
        <v>149</v>
      </c>
      <c r="B11" s="148">
        <v>39800</v>
      </c>
      <c r="C11" s="149">
        <v>1</v>
      </c>
      <c r="D11" s="149">
        <v>1</v>
      </c>
      <c r="E11" s="149">
        <v>5</v>
      </c>
      <c r="F11" s="150">
        <f t="shared" si="1"/>
        <v>199000</v>
      </c>
      <c r="G11" s="154"/>
      <c r="J11" s="227" t="s">
        <v>195</v>
      </c>
      <c r="K11" s="227"/>
      <c r="L11" s="227"/>
      <c r="M11" s="227"/>
      <c r="N11" s="227"/>
      <c r="O11" s="227"/>
      <c r="P11" s="227"/>
      <c r="Q11" s="227"/>
    </row>
    <row r="12" spans="1:17" ht="15" customHeight="1" x14ac:dyDescent="0.25">
      <c r="A12" s="152" t="s">
        <v>151</v>
      </c>
      <c r="B12" s="148">
        <v>10464</v>
      </c>
      <c r="C12" s="149">
        <v>4.32</v>
      </c>
      <c r="D12" s="149">
        <v>1.2</v>
      </c>
      <c r="E12" s="149">
        <v>6.7</v>
      </c>
      <c r="F12" s="150">
        <f t="shared" si="1"/>
        <v>363444.01920000004</v>
      </c>
      <c r="G12" s="154"/>
    </row>
    <row r="13" spans="1:17" ht="15" customHeight="1" x14ac:dyDescent="0.25">
      <c r="A13" s="152" t="s">
        <v>153</v>
      </c>
      <c r="B13" s="148">
        <v>39800</v>
      </c>
      <c r="C13" s="149">
        <v>1</v>
      </c>
      <c r="D13" s="149">
        <v>1</v>
      </c>
      <c r="E13" s="149">
        <v>6.7</v>
      </c>
      <c r="F13" s="150">
        <f t="shared" si="1"/>
        <v>266660</v>
      </c>
      <c r="G13" s="155"/>
    </row>
    <row r="14" spans="1:17" x14ac:dyDescent="0.25">
      <c r="A14" s="147"/>
      <c r="B14" s="149"/>
      <c r="C14" s="149"/>
      <c r="D14" s="149"/>
      <c r="E14" s="156" t="s">
        <v>156</v>
      </c>
      <c r="F14" s="148">
        <f>SUM(F3:F13)</f>
        <v>1902004.0192</v>
      </c>
      <c r="G14" s="157" t="s">
        <v>157</v>
      </c>
      <c r="J14" s="5"/>
      <c r="K14" s="5"/>
      <c r="L14" s="5"/>
      <c r="M14" s="5"/>
      <c r="N14" s="5"/>
      <c r="O14" s="37">
        <v>54.52</v>
      </c>
      <c r="P14" s="37" t="s">
        <v>4</v>
      </c>
      <c r="Q14" s="5"/>
    </row>
    <row r="15" spans="1:17" x14ac:dyDescent="0.25">
      <c r="A15" s="147"/>
      <c r="B15" s="149"/>
      <c r="C15" s="149"/>
      <c r="D15" s="149"/>
      <c r="E15" s="156" t="s">
        <v>159</v>
      </c>
      <c r="F15" s="148">
        <v>39800</v>
      </c>
      <c r="G15" s="157" t="s">
        <v>158</v>
      </c>
    </row>
    <row r="16" spans="1:17" x14ac:dyDescent="0.25">
      <c r="A16" s="147"/>
      <c r="B16" s="149"/>
      <c r="C16" s="149"/>
      <c r="D16" s="149"/>
      <c r="E16" s="156" t="s">
        <v>93</v>
      </c>
      <c r="F16" s="158">
        <f>F14/F15</f>
        <v>47.789045708542716</v>
      </c>
      <c r="G16" s="157" t="s">
        <v>4</v>
      </c>
    </row>
    <row r="18" spans="6:6" x14ac:dyDescent="0.25">
      <c r="F18" s="146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Zulässige Fläche</vt:lpstr>
      <vt:lpstr>Äquivalente Branddauer tä</vt:lpstr>
      <vt:lpstr>Feuerwiderstandsdauer tf</vt:lpstr>
      <vt:lpstr>Rückwärtsrechnung</vt:lpstr>
      <vt:lpstr>Tabelle1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Röhrig [nees Ingenieure GmbH]</dc:creator>
  <cp:lastModifiedBy>Johannes Kriener [nees Ingenieure GmbH]</cp:lastModifiedBy>
  <cp:lastPrinted>2023-05-02T09:11:48Z</cp:lastPrinted>
  <dcterms:created xsi:type="dcterms:W3CDTF">2013-03-20T10:12:44Z</dcterms:created>
  <dcterms:modified xsi:type="dcterms:W3CDTF">2023-05-02T15:25:47Z</dcterms:modified>
</cp:coreProperties>
</file>