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xr:revisionPtr revIDLastSave="0" documentId="8_{E37184EF-15C8-40A1-9184-85F9485C7959}" xr6:coauthVersionLast="47" xr6:coauthVersionMax="47" xr10:uidLastSave="{00000000-0000-0000-0000-000000000000}"/>
  <bookViews>
    <workbookView xWindow="0" yWindow="0" windowWidth="0" windowHeight="0" firstSheet="8" activeTab="8" xr2:uid="{00000000-000D-0000-FFFF-FFFF00000000}"/>
  </bookViews>
  <sheets>
    <sheet name="Transactions" sheetId="1" r:id="rId1"/>
    <sheet name="General Journal" sheetId="2" r:id="rId2"/>
    <sheet name="Chart Of Accounts" sheetId="12" r:id="rId3"/>
    <sheet name="Unadjusted Trial Balance" sheetId="4" r:id="rId4"/>
    <sheet name="General Ledger" sheetId="3" r:id="rId5"/>
    <sheet name="Adjusting Entries" sheetId="5" r:id="rId6"/>
    <sheet name="Ledger for Adjusted Accounts" sheetId="6" r:id="rId7"/>
    <sheet name="Adjusted Trial Balance" sheetId="7" r:id="rId8"/>
    <sheet name="Financial Statements" sheetId="8" r:id="rId9"/>
    <sheet name="Closing Entries" sheetId="9" r:id="rId10"/>
    <sheet name="Post Closing Trial Balance" sheetId="10" r:id="rId11"/>
    <sheet name="Graphs" sheetId="11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2" i="6" l="1"/>
  <c r="H61" i="6"/>
  <c r="H57" i="6"/>
  <c r="H97" i="6"/>
  <c r="H109" i="6"/>
  <c r="H126" i="6"/>
  <c r="H122" i="6"/>
  <c r="H133" i="6"/>
  <c r="H137" i="6"/>
  <c r="H141" i="6"/>
  <c r="H140" i="6"/>
  <c r="H163" i="6"/>
  <c r="H147" i="6"/>
  <c r="H156" i="6"/>
  <c r="H197" i="6"/>
  <c r="H201" i="6"/>
  <c r="H199" i="6"/>
  <c r="H202" i="6"/>
  <c r="H206" i="6"/>
  <c r="H239" i="6"/>
  <c r="H247" i="6"/>
  <c r="H251" i="6"/>
  <c r="H263" i="6"/>
  <c r="H262" i="6"/>
  <c r="H273" i="6"/>
  <c r="A265" i="6"/>
  <c r="A127" i="6"/>
  <c r="A125" i="6"/>
  <c r="A122" i="6"/>
  <c r="A121" i="6"/>
  <c r="A119" i="6"/>
  <c r="A116" i="6"/>
  <c r="A114" i="6"/>
  <c r="A112" i="6"/>
  <c r="A109" i="6"/>
  <c r="A105" i="6"/>
  <c r="A103" i="6"/>
  <c r="A101" i="6"/>
  <c r="A88" i="6"/>
  <c r="A81" i="6"/>
  <c r="A74" i="6"/>
  <c r="A68" i="6"/>
  <c r="A61" i="6"/>
  <c r="A54" i="6"/>
  <c r="A46" i="6"/>
  <c r="A38" i="6"/>
  <c r="A30" i="6"/>
  <c r="A23" i="6"/>
  <c r="A16" i="6"/>
  <c r="A8" i="6"/>
  <c r="H274" i="6"/>
  <c r="E10" i="9"/>
  <c r="H265" i="6"/>
  <c r="A253" i="6"/>
  <c r="D41" i="10"/>
  <c r="E41" i="10"/>
  <c r="H54" i="6"/>
  <c r="I58" i="8"/>
  <c r="I62" i="8" s="1"/>
  <c r="E48" i="8"/>
  <c r="I46" i="8"/>
  <c r="I34" i="8"/>
  <c r="I47" i="8" s="1"/>
  <c r="E29" i="8"/>
  <c r="F57" i="7"/>
  <c r="E57" i="7"/>
  <c r="H92" i="6"/>
  <c r="H86" i="6"/>
  <c r="H81" i="6"/>
  <c r="H76" i="6"/>
  <c r="H75" i="6"/>
  <c r="H69" i="6"/>
  <c r="H60" i="6"/>
  <c r="H59" i="6"/>
  <c r="H58" i="6"/>
  <c r="H56" i="6"/>
  <c r="H55" i="6"/>
  <c r="H139" i="6"/>
  <c r="H138" i="6"/>
  <c r="H136" i="6"/>
  <c r="H135" i="6"/>
  <c r="H134" i="6"/>
  <c r="H128" i="6"/>
  <c r="H127" i="6"/>
  <c r="H125" i="6"/>
  <c r="H124" i="6"/>
  <c r="H123" i="6"/>
  <c r="H116" i="6"/>
  <c r="H115" i="6"/>
  <c r="H114" i="6"/>
  <c r="H113" i="6"/>
  <c r="H112" i="6"/>
  <c r="H111" i="6"/>
  <c r="H110" i="6"/>
  <c r="H208" i="6"/>
  <c r="H204" i="6"/>
  <c r="H198" i="6"/>
  <c r="H196" i="6"/>
  <c r="H193" i="6"/>
  <c r="H190" i="6"/>
  <c r="H189" i="6"/>
  <c r="H188" i="6"/>
  <c r="H183" i="6"/>
  <c r="H182" i="6"/>
  <c r="H181" i="6"/>
  <c r="H180" i="6"/>
  <c r="H179" i="6"/>
  <c r="H178" i="6"/>
  <c r="H173" i="6"/>
  <c r="H172" i="6"/>
  <c r="H171" i="6"/>
  <c r="H170" i="6"/>
  <c r="H169" i="6"/>
  <c r="H161" i="6"/>
  <c r="H160" i="6"/>
  <c r="H158" i="6"/>
  <c r="H157" i="6"/>
  <c r="H155" i="6"/>
  <c r="H154" i="6"/>
  <c r="H153" i="6"/>
  <c r="H151" i="6"/>
  <c r="H149" i="6"/>
  <c r="H148" i="6"/>
  <c r="H268" i="6"/>
  <c r="H267" i="6"/>
  <c r="H266" i="6"/>
  <c r="H264" i="6"/>
  <c r="H257" i="6"/>
  <c r="H244" i="6"/>
  <c r="H241" i="6"/>
  <c r="H235" i="6"/>
  <c r="H233" i="6"/>
  <c r="H230" i="6"/>
  <c r="H227" i="6"/>
  <c r="H225" i="6"/>
  <c r="H221" i="6"/>
  <c r="H218" i="6"/>
  <c r="H217" i="6"/>
  <c r="A260" i="6"/>
  <c r="A259" i="6"/>
  <c r="A248" i="6"/>
  <c r="A243" i="6"/>
  <c r="A238" i="6"/>
  <c r="A232" i="6"/>
  <c r="A227" i="6"/>
  <c r="A222" i="6"/>
  <c r="A217" i="6"/>
  <c r="A216" i="6"/>
  <c r="A211" i="6"/>
  <c r="A206" i="6"/>
  <c r="A205" i="6"/>
  <c r="A200" i="6"/>
  <c r="A199" i="6"/>
  <c r="A194" i="6"/>
  <c r="A193" i="6"/>
  <c r="A192" i="6"/>
  <c r="A187" i="6"/>
  <c r="A181" i="6"/>
  <c r="A178" i="6"/>
  <c r="A176" i="6"/>
  <c r="A174" i="6"/>
  <c r="A172" i="6"/>
  <c r="A171" i="6"/>
  <c r="A170" i="6"/>
  <c r="A168" i="6"/>
  <c r="A167" i="6"/>
  <c r="A160" i="6"/>
  <c r="A159" i="6"/>
  <c r="A158" i="6"/>
  <c r="A156" i="6"/>
  <c r="A155" i="6"/>
  <c r="A153" i="6"/>
  <c r="A151" i="6"/>
  <c r="A149" i="6"/>
  <c r="A143" i="6"/>
  <c r="A141" i="6"/>
  <c r="A140" i="6"/>
  <c r="A134" i="6"/>
  <c r="F43" i="4"/>
  <c r="E43" i="4"/>
  <c r="H234" i="3"/>
  <c r="H229" i="3"/>
  <c r="A226" i="3"/>
  <c r="H224" i="3"/>
  <c r="A221" i="3"/>
  <c r="H219" i="3"/>
  <c r="A216" i="3"/>
  <c r="H214" i="3"/>
  <c r="H213" i="3"/>
  <c r="A211" i="3"/>
  <c r="A210" i="3"/>
  <c r="H208" i="3"/>
  <c r="A205" i="3"/>
  <c r="H203" i="3"/>
  <c r="H202" i="3"/>
  <c r="H201" i="3"/>
  <c r="H200" i="3"/>
  <c r="A200" i="3"/>
  <c r="H199" i="3"/>
  <c r="A199" i="3"/>
  <c r="H198" i="3"/>
  <c r="H197" i="3"/>
  <c r="H196" i="3"/>
  <c r="H195" i="3"/>
  <c r="A194" i="3"/>
  <c r="A193" i="3"/>
  <c r="H190" i="3"/>
  <c r="H189" i="3"/>
  <c r="H188" i="3"/>
  <c r="A188" i="3"/>
  <c r="H187" i="3"/>
  <c r="A187" i="3"/>
  <c r="H186" i="3"/>
  <c r="A186" i="3"/>
  <c r="H185" i="3"/>
  <c r="H184" i="3"/>
  <c r="H183" i="3"/>
  <c r="H182" i="3"/>
  <c r="A181" i="3"/>
  <c r="H177" i="3"/>
  <c r="H176" i="3"/>
  <c r="A176" i="3"/>
  <c r="H175" i="3"/>
  <c r="H174" i="3"/>
  <c r="H173" i="3"/>
  <c r="A173" i="3"/>
  <c r="H172" i="3"/>
  <c r="H171" i="3"/>
  <c r="A171" i="3"/>
  <c r="A169" i="3"/>
  <c r="A167" i="3"/>
  <c r="H166" i="3"/>
  <c r="A166" i="3"/>
  <c r="H165" i="3"/>
  <c r="A165" i="3"/>
  <c r="H164" i="3"/>
  <c r="H163" i="3"/>
  <c r="A163" i="3"/>
  <c r="H162" i="3"/>
  <c r="A162" i="3"/>
  <c r="H161" i="3"/>
  <c r="H160" i="3"/>
  <c r="H159" i="3"/>
  <c r="A156" i="3"/>
  <c r="A155" i="3"/>
  <c r="A154" i="3"/>
  <c r="H152" i="3"/>
  <c r="A152" i="3"/>
  <c r="A151" i="3"/>
  <c r="H150" i="3"/>
  <c r="A149" i="3"/>
  <c r="H148" i="3"/>
  <c r="A147" i="3"/>
  <c r="H146" i="3"/>
  <c r="H145" i="3"/>
  <c r="A145" i="3"/>
  <c r="H143" i="3"/>
  <c r="H142" i="3"/>
  <c r="H141" i="3"/>
  <c r="H140" i="3"/>
  <c r="A139" i="3"/>
  <c r="H137" i="3"/>
  <c r="A137" i="3"/>
  <c r="A136" i="3"/>
  <c r="H134" i="3"/>
  <c r="H133" i="3"/>
  <c r="H132" i="3"/>
  <c r="A131" i="3"/>
  <c r="H127" i="3"/>
  <c r="H126" i="3"/>
  <c r="H125" i="3"/>
  <c r="H124" i="3"/>
  <c r="A124" i="3"/>
  <c r="H123" i="3"/>
  <c r="H122" i="3"/>
  <c r="A122" i="3"/>
  <c r="A119" i="3"/>
  <c r="A118" i="3"/>
  <c r="H117" i="3"/>
  <c r="H116" i="3"/>
  <c r="A116" i="3"/>
  <c r="H115" i="3"/>
  <c r="H114" i="3"/>
  <c r="H113" i="3"/>
  <c r="A113" i="3"/>
  <c r="A111" i="3"/>
  <c r="A109" i="3"/>
  <c r="H107" i="3"/>
  <c r="A106" i="3"/>
  <c r="H105" i="3"/>
  <c r="H104" i="3"/>
  <c r="H102" i="3"/>
  <c r="A102" i="3"/>
  <c r="H101" i="3"/>
  <c r="H100" i="3"/>
  <c r="A100" i="3"/>
  <c r="H99" i="3"/>
  <c r="H98" i="3"/>
  <c r="A98" i="3"/>
  <c r="H97" i="3"/>
  <c r="H95" i="3"/>
  <c r="H93" i="3"/>
  <c r="H92" i="3"/>
  <c r="H91" i="3"/>
  <c r="A88" i="3"/>
  <c r="H86" i="3"/>
  <c r="H85" i="3"/>
  <c r="H84" i="3"/>
  <c r="H83" i="3"/>
  <c r="H82" i="3"/>
  <c r="H81" i="3"/>
  <c r="A81" i="3"/>
  <c r="H80" i="3"/>
  <c r="H75" i="3"/>
  <c r="A74" i="3"/>
  <c r="H69" i="3"/>
  <c r="A68" i="3"/>
  <c r="H65" i="3"/>
  <c r="H62" i="3"/>
  <c r="A61" i="3"/>
  <c r="H59" i="3"/>
  <c r="H57" i="3"/>
  <c r="A54" i="3"/>
  <c r="H53" i="3"/>
  <c r="H51" i="3"/>
  <c r="H48" i="3"/>
  <c r="A46" i="3"/>
  <c r="H45" i="3"/>
  <c r="H43" i="3"/>
  <c r="H39" i="3"/>
  <c r="A38" i="3"/>
  <c r="H35" i="3"/>
  <c r="H30" i="3"/>
  <c r="A30" i="3"/>
  <c r="H29" i="3"/>
  <c r="H23" i="3"/>
  <c r="A23" i="3"/>
  <c r="H18" i="3"/>
  <c r="A16" i="3"/>
  <c r="H13" i="3"/>
  <c r="H8" i="3"/>
  <c r="A8" i="3"/>
  <c r="C417" i="2"/>
  <c r="C380" i="2"/>
  <c r="C341" i="2"/>
  <c r="C308" i="2"/>
  <c r="C277" i="2"/>
  <c r="C237" i="2"/>
  <c r="C200" i="2"/>
  <c r="C165" i="2"/>
  <c r="C122" i="2"/>
  <c r="C79" i="2"/>
  <c r="C47" i="2"/>
  <c r="C6" i="2"/>
</calcChain>
</file>

<file path=xl/sharedStrings.xml><?xml version="1.0" encoding="utf-8"?>
<sst xmlns="http://schemas.openxmlformats.org/spreadsheetml/2006/main" count="2087" uniqueCount="578">
  <si>
    <t xml:space="preserve">The Ranchers.inc 
Bussiness transactions </t>
  </si>
  <si>
    <t>January.</t>
  </si>
  <si>
    <t>Owner invests $150,000 in his bussiness to grow up.</t>
  </si>
  <si>
    <t>Purchased seeds and fertilizers on credit from GreenGrow Suppliers for $5,000.</t>
  </si>
  <si>
    <t>Paid $1,000 cash for the monthly rent of storage facilities.</t>
  </si>
  <si>
    <t>Purchase Crops upto $50000 on credit.</t>
  </si>
  <si>
    <t>Sold wheat (used crops) to local markets(two customers) for $3,000, offering a 5% sales discount for this moth only. Suppose original crops was 2200</t>
  </si>
  <si>
    <t>Purchased farm equipment (tractor) for $12,000, paid $5,000 cash and financed the balance with a note payable.</t>
  </si>
  <si>
    <t>Paid $2,000 on account for the seed and fertilizer purchase made on January 3.</t>
  </si>
  <si>
    <t>Paid $800 in cash for utilities.</t>
  </si>
  <si>
    <t>Paid $500 for transportation of crops to the market (Freight-Out).</t>
  </si>
  <si>
    <t>Purchased livestock feed on credit from FeedPro for $60,000.</t>
  </si>
  <si>
    <t>Received $2,850 from 1st customer who availed the 5% sales discount on January 10.</t>
  </si>
  <si>
    <t>Drew $1,000 cash for personal use.</t>
  </si>
  <si>
    <t>February</t>
  </si>
  <si>
    <t>Purchased crop insurance for $600 cash (prepaid expense).</t>
  </si>
  <si>
    <t>Paid $2,000 cash for workers’ wages.</t>
  </si>
  <si>
    <t>Sold milk (used livestock) to a neighboring farm for $8,000 on account. Suppose Livestock was original about $7000</t>
  </si>
  <si>
    <t>Received payment of $3,000 from second customer for previous month’s sales.</t>
  </si>
  <si>
    <t>Purchased irrigation equipment for $4,500, paid $2,500 cash and remaining financed $2,000 on account.</t>
  </si>
  <si>
    <t>Purchased office furniture for $1,200, paid $600 cash and the remaining $600 on credit.</t>
  </si>
  <si>
    <t>Returned defective livestock feed worth $500 to FeedPro from the January 25 purchase.</t>
  </si>
  <si>
    <t>Paid $1,000 on the balance owed for the irrigation equipment purchased on February 12.</t>
  </si>
  <si>
    <t>Paid $2,500 in cash for advertising campaigns.</t>
  </si>
  <si>
    <t>March</t>
  </si>
  <si>
    <t>Sold SugarCane (used crops) worth $10,000 to AgriRetailers, offering a 2% sales discount for early payment.Suppose COGS is $8800</t>
  </si>
  <si>
    <t>Purchased $7,000 worth of seeds, fertilizers, and pesticides on account.</t>
  </si>
  <si>
    <t>Paid $1,000 cash for utilities.</t>
  </si>
  <si>
    <t>Paid wages of $3,000 to workers in cash.</t>
  </si>
  <si>
    <t>Paid $6,000 for the remaining balance on January’s tractor note payable, as intrest rate is 3% applicable from 1st April.</t>
  </si>
  <si>
    <t>Received $9,800 in cash from AgriRetailers for the March 2 sale after deducting a 2% sales discount.</t>
  </si>
  <si>
    <t>Customer returned defective canes worth $500 from the March 2 sale.(assume fair value of $100)</t>
  </si>
  <si>
    <t>Paid $500 cash for transportation costs (Freight-Out) of crop sales.</t>
  </si>
  <si>
    <t>Purchased $6,000 worth of farm tools in cash.</t>
  </si>
  <si>
    <t>Sold Cheese(used livestock) feed for $1,500 on account. assume COGS is $1000</t>
  </si>
  <si>
    <t>Paid $3,000 on account for the purchase made on March 5.</t>
  </si>
  <si>
    <t>April</t>
  </si>
  <si>
    <t>Paid $1,000 cash for monthly rent of the warehouse.</t>
  </si>
  <si>
    <t>Sold Corn (used crops) for $5,000,$3,000 in cash and $2,000 on account.Supoose COGS is $3500</t>
  </si>
  <si>
    <t>Received $1,500 for the livestock feed sold on March 27.</t>
  </si>
  <si>
    <t>Purchased new inventory (seeds) worth $4,500 on account.</t>
  </si>
  <si>
    <t>Returned defective seeds worth $700 to the supplier,which was purchased on April12.</t>
  </si>
  <si>
    <t>Paid $800 cash for office utilities.</t>
  </si>
  <si>
    <t>Customer returned a $200 allowance for minor defects in farm produce sold on April 6.</t>
  </si>
  <si>
    <t>Drew $1,200 cash for personal use.</t>
  </si>
  <si>
    <t>Paid $2,800 in wages to workers.</t>
  </si>
  <si>
    <t>Sold farm tools produce for $3,500 cash.</t>
  </si>
  <si>
    <t>Paid $2,000 on the balance owed for the purchase made on April 12.</t>
  </si>
  <si>
    <t>May</t>
  </si>
  <si>
    <t>Paid $1,000 cash for monthly storage rent.</t>
  </si>
  <si>
    <t>Purchased fertilizers and pesticides worth $3,200 on account.</t>
  </si>
  <si>
    <t>Paid $1,500 cash for utilities.</t>
  </si>
  <si>
    <t>Sold eggs(used livestock) worth $6,000,$4,000 in cash and $2,000 on account. Suppose COGS as $4600</t>
  </si>
  <si>
    <t>Paid $3,000 in cash for some other expense(Miscellaneous)</t>
  </si>
  <si>
    <t>Received $1800 payment for crops sold on April 6 (account portion).</t>
  </si>
  <si>
    <t>Paid $800 freight charges for delivering produce to market (Freight-Out).</t>
  </si>
  <si>
    <t>Purchased a new plough for $5,000, paid $2,500 cash and the rest on account.</t>
  </si>
  <si>
    <t>Returned defective fertilizers worth $200 from the May 4 purchase.</t>
  </si>
  <si>
    <t>June</t>
  </si>
  <si>
    <t>Sold other Beverages (used crops) to local vendors for $8,000 on account, offering a 3% sales discount for early payment.</t>
  </si>
  <si>
    <t>Purchased animal feed worth $2,700 on credit.</t>
  </si>
  <si>
    <t>Paid $1,200 cash for water facilities.</t>
  </si>
  <si>
    <t>Received $7,760 from customers availing the sales discount on the June 1 sale.</t>
  </si>
  <si>
    <t>Paid $1,000 for drones in cash.</t>
  </si>
  <si>
    <t>Paid $3,000 for wages to workers for Equipment Maintenance.</t>
  </si>
  <si>
    <t>Sold farm tools for $1,200 in cash.</t>
  </si>
  <si>
    <t>Paid $800 for the freight of fertilizers (Freight-Out).</t>
  </si>
  <si>
    <t>Paid $2,500 cash towards the balance on the plough purchase from May 21.</t>
  </si>
  <si>
    <t>Paid $1,200 in cash for a yearly subscription to AgriTech Insights, a leading agricultural research publication.</t>
  </si>
  <si>
    <t>July</t>
  </si>
  <si>
    <t>Purchased $5,000 worth of crop seeds and supplies on credit.</t>
  </si>
  <si>
    <t>Sold honey (used livestock) worth $7,000 on account.</t>
  </si>
  <si>
    <t>Paid $2,500 in cash for a workshop to train workers in the use of advanced farming equipment.</t>
  </si>
  <si>
    <t>Paid $800 cash for utilities.</t>
  </si>
  <si>
    <t>Returned defective honey worth $1,000 by a customer from the July 5 sale.(assume fair value of $200)</t>
  </si>
  <si>
    <t>Received $6,000 from customers for the livestock sold on July 5.</t>
  </si>
  <si>
    <t>Paid $3,000 for workers' wages in cash.</t>
  </si>
  <si>
    <t>Purchased office equipment worth $3,500,paid $2,000 cash and financed the rest on credit.</t>
  </si>
  <si>
    <t>Paid $1,000 for fertilizers bought on credit on July 2.</t>
  </si>
  <si>
    <t>Returned defective seeds worth $300 from the July 2 purchase.</t>
  </si>
  <si>
    <t>August</t>
  </si>
  <si>
    <t>Sold Peas(used crops) to AgriRetailers for $12,000 on account, offering a 2% sales discount for early payment. suppose COGS as $11,050</t>
  </si>
  <si>
    <t>Paid $2,000 cash for transportation (Freight-Out) of goods to AgriRetailers.</t>
  </si>
  <si>
    <t>Received $11,760 from AgriRetailers availing the 2% discount.</t>
  </si>
  <si>
    <t>Paid $1,800 cash for monthly storage rent</t>
  </si>
  <si>
    <t>Purchased animal feed worth $3,200 on account.</t>
  </si>
  <si>
    <t>Paid $1,200 cash for utilities.</t>
  </si>
  <si>
    <t>Paid $3,500 for workers’ wages.</t>
  </si>
  <si>
    <t>Paid $1,500 for balance due on office equipment bought in 20 July.</t>
  </si>
  <si>
    <t>Drew $1,500 cash for personal use.</t>
  </si>
  <si>
    <t>September</t>
  </si>
  <si>
    <t>Purchased new inventory (seeds and fertilizers) for $6,000 on account.</t>
  </si>
  <si>
    <t>Sold Poultry items(used livestock) for $10,000 in cash.</t>
  </si>
  <si>
    <t>Paid $1,800 cash for monthly rent.</t>
  </si>
  <si>
    <t>Paid $900 for transportation costs (Freight-Out) of poultry items sold on September 5.</t>
  </si>
  <si>
    <t>Paid $3,000 in wages to workers in cash.</t>
  </si>
  <si>
    <t>Returned defective inventory worth $1,000 from the September 3 purchase.</t>
  </si>
  <si>
    <t>Paid full amount ($5000) for the inventory purchased on September 3.</t>
  </si>
  <si>
    <t>Purchased solar panels to power equipment worth $2,500 in cash.</t>
  </si>
  <si>
    <t>Sold goats(used livestock) to butchers produce worth $7,000 on account.</t>
  </si>
  <si>
    <t>October</t>
  </si>
  <si>
    <t>Paid $2,000 cash for some other expenses(Miscellaneous)</t>
  </si>
  <si>
    <t>Purchased fertilizers worth $4,000 on credit.</t>
  </si>
  <si>
    <t>Paid $1,500 cash for workers' wages.</t>
  </si>
  <si>
    <t>Received $7,000 for goats sold on September 30.</t>
  </si>
  <si>
    <t>Paid $1,000 for utilities.</t>
  </si>
  <si>
    <t>Returned defective fertilizers worth $500 from the October 5 purchase.</t>
  </si>
  <si>
    <t>Sold meatProduct(used livestock) worth $5,500 on account.</t>
  </si>
  <si>
    <t>Paid $2,500 for transportation (Freight-Out) of meat product sold on October 25.</t>
  </si>
  <si>
    <t>Customer returned a $300 allowance for slightly damaged meat product sold on October 25.</t>
  </si>
  <si>
    <t>Draw $1,200 cash for personal use.</t>
  </si>
  <si>
    <t>Paid $3,500 towards the fertilizer purchase made on October 5.</t>
  </si>
  <si>
    <t>November</t>
  </si>
  <si>
    <t>Paid $2,000 cash for monthly rent of the warehouse.</t>
  </si>
  <si>
    <t>Purchased livestock feed worth $3,500 on account.</t>
  </si>
  <si>
    <t>Sold Oil (used crops) worth $8,000 to AgriWholesalers on account, offering a 3% sales discount for early payment upto this month.</t>
  </si>
  <si>
    <t>Received $7,760 from AgriWholesalers for the November 8 sale after applying the sales discount.</t>
  </si>
  <si>
    <t>Paid $2,000 in cash for workers’ wages.</t>
  </si>
  <si>
    <t>Returned defective livestock feed worth $500 to the supplier from the November 5 purchase.</t>
  </si>
  <si>
    <t>Paid $1,500 cash for office equipment purchased in July20.</t>
  </si>
  <si>
    <t>Sold Butter (used livestock) worth $7,000 in cash.</t>
  </si>
  <si>
    <t>Paid $2,500 cash towards the account balance for the livestock feed purchased on November 5.</t>
  </si>
  <si>
    <t>December</t>
  </si>
  <si>
    <t>Paid $2,000 cash for monthly rent of storage facilities.</t>
  </si>
  <si>
    <t>Purchased harvesting tools worth $4,000 on account.</t>
  </si>
  <si>
    <t>Sold Cereals (used crops) worth $10,000 on account, offering a 2% sales discount for early payment. upto 10 days</t>
  </si>
  <si>
    <t>Paid $3,000 in cash for workers’ wages.</t>
  </si>
  <si>
    <t>Paid $1,200 in cash for transportation costs (Freight-Out) for the December 6 sale.</t>
  </si>
  <si>
    <t>Customer returned defective cereals worth $600 from the December 6 sale.</t>
  </si>
  <si>
    <t>Received $9,212 from customers availing the 2% discount on the December 6 sale.</t>
  </si>
  <si>
    <t>Returned defective harvesting tools worth $400 from the December 4 purchase.</t>
  </si>
  <si>
    <t>Sold Butter (used livestock) for $6,500 in cash.</t>
  </si>
  <si>
    <t>Drew $2,000 cash for personal use.</t>
  </si>
  <si>
    <t>Adjusted Data</t>
  </si>
  <si>
    <t xml:space="preserve">1.Depreciation on the tractor is $1,000 annually. </t>
  </si>
  <si>
    <t>2.The prepaid insurance expires $50 per month</t>
  </si>
  <si>
    <t>3.Office furniture purchased in February has a useful life of 10 years; record annual depreciation.</t>
  </si>
  <si>
    <t>4.An inventory count reveals $4100 worth of crops in stock, while the book value is $4100.</t>
  </si>
  <si>
    <t>5.Wages of $2,000 for December remain unpaid as of December 31st.</t>
  </si>
  <si>
    <t xml:space="preserve">6. Harvesting tools purchased in December have a 10-year useful life depricate $33 per month; </t>
  </si>
  <si>
    <t>7.Utilities expense for December is estimated at $1,500 but remains unpaid.</t>
  </si>
  <si>
    <t>8.Equipment maintenance for December was performed but not invoiced, estimated at $800.</t>
  </si>
  <si>
    <t>9.Freight charges for December amounting to $300 were unpaid as of December 31st.</t>
  </si>
  <si>
    <t>10.Advertising campaign expenses worth $1,000 remain unpaid.</t>
  </si>
  <si>
    <t>11.Interest will be applicable to the remainnig amount ($1000)of note payable of tractor which is equal to $23.</t>
  </si>
  <si>
    <t>12.Hire one more employee and serviced us last three days of december, but not paid.as his monthly salary is $20000.</t>
  </si>
  <si>
    <t>13.An inventory count reveals $17000 worth of crops in stock, while the book value is $17050.</t>
  </si>
  <si>
    <t xml:space="preserve">GENERAL JOURNAL </t>
  </si>
  <si>
    <t>Date</t>
  </si>
  <si>
    <t>Account title and Explanation</t>
  </si>
  <si>
    <t>Ref  No.</t>
  </si>
  <si>
    <t>Debit</t>
  </si>
  <si>
    <t>Credit</t>
  </si>
  <si>
    <t xml:space="preserve">   Cash</t>
  </si>
  <si>
    <t xml:space="preserve">         Owner's Capital</t>
  </si>
  <si>
    <t xml:space="preserve">   Seeds and Fertilizers Inventory</t>
  </si>
  <si>
    <t xml:space="preserve">        Account Payable</t>
  </si>
  <si>
    <t xml:space="preserve">   Rent Expense</t>
  </si>
  <si>
    <t xml:space="preserve">         Cash</t>
  </si>
  <si>
    <t xml:space="preserve">   Crops Inventory</t>
  </si>
  <si>
    <t xml:space="preserve">         Account Payable</t>
  </si>
  <si>
    <t xml:space="preserve">   Account Receivable</t>
  </si>
  <si>
    <t xml:space="preserve">         Sales revenue</t>
  </si>
  <si>
    <t xml:space="preserve">  Cost of Goods sold</t>
  </si>
  <si>
    <t xml:space="preserve">         Crops Inventory</t>
  </si>
  <si>
    <t xml:space="preserve">  Tractor Equipment</t>
  </si>
  <si>
    <t xml:space="preserve">         Note Payable</t>
  </si>
  <si>
    <t xml:space="preserve">   Account Payable</t>
  </si>
  <si>
    <t xml:space="preserve">   Utilities Expense</t>
  </si>
  <si>
    <t xml:space="preserve">   Freight Out</t>
  </si>
  <si>
    <t xml:space="preserve">   Livestock Inventory</t>
  </si>
  <si>
    <t xml:space="preserve">    Cash</t>
  </si>
  <si>
    <t xml:space="preserve">        Sales Discount</t>
  </si>
  <si>
    <t xml:space="preserve">        Account Receivable</t>
  </si>
  <si>
    <t xml:space="preserve">   Drawing</t>
  </si>
  <si>
    <t xml:space="preserve">       Cash</t>
  </si>
  <si>
    <t xml:space="preserve">  Prepaid Insurance</t>
  </si>
  <si>
    <t xml:space="preserve">      Cash</t>
  </si>
  <si>
    <t xml:space="preserve">  Wages expense</t>
  </si>
  <si>
    <t xml:space="preserve">  Account Receivable </t>
  </si>
  <si>
    <t xml:space="preserve">      Sales Revenue</t>
  </si>
  <si>
    <t xml:space="preserve">  Cost of Goods Sold</t>
  </si>
  <si>
    <t xml:space="preserve">     Livestock Inventory</t>
  </si>
  <si>
    <t xml:space="preserve">  Cash</t>
  </si>
  <si>
    <t xml:space="preserve">    Account Receivable    </t>
  </si>
  <si>
    <t xml:space="preserve">  Irrigation Equipment</t>
  </si>
  <si>
    <t xml:space="preserve">     Cash</t>
  </si>
  <si>
    <t xml:space="preserve">     Account Payable</t>
  </si>
  <si>
    <t xml:space="preserve">  Furniture Equipment</t>
  </si>
  <si>
    <t xml:space="preserve">      Livestock Inventory</t>
  </si>
  <si>
    <t xml:space="preserve">   Advertising expense</t>
  </si>
  <si>
    <t xml:space="preserve">   Account receivable  </t>
  </si>
  <si>
    <t xml:space="preserve">   Cost of Goods Sold</t>
  </si>
  <si>
    <t xml:space="preserve">     Crops Inventory</t>
  </si>
  <si>
    <t xml:space="preserve">   Seeds,Fertilizers and Pesticides inventory</t>
  </si>
  <si>
    <t xml:space="preserve">     Account payable</t>
  </si>
  <si>
    <t xml:space="preserve">   Utilities expense</t>
  </si>
  <si>
    <t xml:space="preserve">   Wages expense</t>
  </si>
  <si>
    <t xml:space="preserve">   Note payable</t>
  </si>
  <si>
    <t xml:space="preserve">   Sales return and Allowance</t>
  </si>
  <si>
    <t xml:space="preserve">      Account Receivable    </t>
  </si>
  <si>
    <t xml:space="preserve">      Cost of Goods Sold</t>
  </si>
  <si>
    <t xml:space="preserve">   Farm Tools Inventory</t>
  </si>
  <si>
    <t xml:space="preserve">    Account Payable</t>
  </si>
  <si>
    <t xml:space="preserve">       Sales Revenue</t>
  </si>
  <si>
    <t xml:space="preserve">   Cost of Goods sold</t>
  </si>
  <si>
    <t xml:space="preserve">       Crops inventory</t>
  </si>
  <si>
    <t xml:space="preserve">   Seed Inventory</t>
  </si>
  <si>
    <t xml:space="preserve">      Account Payable</t>
  </si>
  <si>
    <t xml:space="preserve">      Seed Inventory</t>
  </si>
  <si>
    <t xml:space="preserve">   Sales Return And Allowance</t>
  </si>
  <si>
    <t xml:space="preserve">   Wages Expense</t>
  </si>
  <si>
    <t xml:space="preserve">   Cost of goods sold</t>
  </si>
  <si>
    <t xml:space="preserve">     Farm tools Inventory</t>
  </si>
  <si>
    <t xml:space="preserve">   Rent expense</t>
  </si>
  <si>
    <t xml:space="preserve">     cash</t>
  </si>
  <si>
    <t xml:space="preserve">   Fertilizers and Pesticides inventory</t>
  </si>
  <si>
    <t xml:space="preserve">     Sales Revenue</t>
  </si>
  <si>
    <t xml:space="preserve">       Livestock Inventory</t>
  </si>
  <si>
    <t xml:space="preserve">   Miscellaneous Expense</t>
  </si>
  <si>
    <t xml:space="preserve">   Plough Inventory</t>
  </si>
  <si>
    <t xml:space="preserve">       Fertilizers and Pesticides Inventory</t>
  </si>
  <si>
    <t xml:space="preserve">     Sales revenue</t>
  </si>
  <si>
    <t xml:space="preserve">      Crops Inventory</t>
  </si>
  <si>
    <t xml:space="preserve">   Animal feed Inventory</t>
  </si>
  <si>
    <t xml:space="preserve">   Water expense</t>
  </si>
  <si>
    <t xml:space="preserve">   Sales Discount</t>
  </si>
  <si>
    <t xml:space="preserve">   Drone Equipment</t>
  </si>
  <si>
    <t xml:space="preserve">   Equipment maitainance Expenses</t>
  </si>
  <si>
    <t>Cash</t>
  </si>
  <si>
    <t>Sales Revenue</t>
  </si>
  <si>
    <t>Cost of Goods sold</t>
  </si>
  <si>
    <t>Farms Tools Inventory</t>
  </si>
  <si>
    <t>Freight Out</t>
  </si>
  <si>
    <t>Account Payable</t>
  </si>
  <si>
    <t>Subscription Expense</t>
  </si>
  <si>
    <t>Crops  Inventory</t>
  </si>
  <si>
    <t>Account Receivable</t>
  </si>
  <si>
    <t>Cost of Goods Sold</t>
  </si>
  <si>
    <t>Livestock Inventory</t>
  </si>
  <si>
    <t>Staff Training Expense</t>
  </si>
  <si>
    <t>Utilities Expense</t>
  </si>
  <si>
    <t>Sales Return And Allowance</t>
  </si>
  <si>
    <t>Livestock  Inventory</t>
  </si>
  <si>
    <t>Wages Expense</t>
  </si>
  <si>
    <t>Office equipment</t>
  </si>
  <si>
    <t>Account payable</t>
  </si>
  <si>
    <t>Crops Inventory</t>
  </si>
  <si>
    <t>Drawings</t>
  </si>
  <si>
    <t>Freight out</t>
  </si>
  <si>
    <t>Sales Discount</t>
  </si>
  <si>
    <t>Rent Expense</t>
  </si>
  <si>
    <t>Animal feed Inventory</t>
  </si>
  <si>
    <t>Seeds and Fertilizers Inventory</t>
  </si>
  <si>
    <t>Livestock inventory</t>
  </si>
  <si>
    <t>Rent expense</t>
  </si>
  <si>
    <t>Wages expense</t>
  </si>
  <si>
    <t>Seeds and fertilizers Inventory</t>
  </si>
  <si>
    <t xml:space="preserve">Account Payable </t>
  </si>
  <si>
    <t>Solar panel equipment</t>
  </si>
  <si>
    <t>Cost of goods sold</t>
  </si>
  <si>
    <t>Miscellaneous Expense</t>
  </si>
  <si>
    <t>Fertilizers inventory</t>
  </si>
  <si>
    <t>Fertilizers Inventory</t>
  </si>
  <si>
    <t>Sales Return and Allowance</t>
  </si>
  <si>
    <t>Crops inventory</t>
  </si>
  <si>
    <t>Utilities expense</t>
  </si>
  <si>
    <t>Harvesting tools equipment</t>
  </si>
  <si>
    <t>Freight-Out</t>
  </si>
  <si>
    <t>Sales return and allowance</t>
  </si>
  <si>
    <t>Sales revenue</t>
  </si>
  <si>
    <t>Drawing</t>
  </si>
  <si>
    <t xml:space="preserve">Ranchers.inc
Chart Of Accounts
				</t>
  </si>
  <si>
    <t>Assets</t>
  </si>
  <si>
    <t>Owner's Equity</t>
  </si>
  <si>
    <t>101  Cash</t>
  </si>
  <si>
    <t>301  Owner's Capital</t>
  </si>
  <si>
    <t>112  Account Receivable</t>
  </si>
  <si>
    <t>306  Owner's Drawing</t>
  </si>
  <si>
    <t>113  PrepaidInsurance</t>
  </si>
  <si>
    <t>350 Income Summary</t>
  </si>
  <si>
    <t>114  Seeds And Ferrilizers Inventory</t>
  </si>
  <si>
    <t>115  Crops Inventory</t>
  </si>
  <si>
    <t>116  Livestock Inventory</t>
  </si>
  <si>
    <t>400  Sales Revenue</t>
  </si>
  <si>
    <t>117  Seeds,Fertilizers and Pesticides Inventory</t>
  </si>
  <si>
    <t>118  Farm Tools Inventory</t>
  </si>
  <si>
    <t>Sales Contra Revenue</t>
  </si>
  <si>
    <t>119  Seeds Inventory</t>
  </si>
  <si>
    <t>401  Sales Return and Allowance</t>
  </si>
  <si>
    <t>120  Fertilizers and Pesticides Inventory</t>
  </si>
  <si>
    <t>402  Sales Discount</t>
  </si>
  <si>
    <t>121 Plough Inventory</t>
  </si>
  <si>
    <t>122  Animal Feed Inventory</t>
  </si>
  <si>
    <t>157  Tractor Equipment</t>
  </si>
  <si>
    <t>403  Cost of Goods Sold</t>
  </si>
  <si>
    <t>158  Irrigation Equipment</t>
  </si>
  <si>
    <t>159  Furniture Equipment</t>
  </si>
  <si>
    <t>Expenses</t>
  </si>
  <si>
    <t>160  Drone Equipment</t>
  </si>
  <si>
    <t>404  Freight Out</t>
  </si>
  <si>
    <t>161  Office Equipment</t>
  </si>
  <si>
    <t>500  Rent Expense</t>
  </si>
  <si>
    <t>162  Solar Panel Equipment</t>
  </si>
  <si>
    <t>501  Utilities Expense</t>
  </si>
  <si>
    <t>163 Harvesting Tools Equipment</t>
  </si>
  <si>
    <t>502  Wages Expense</t>
  </si>
  <si>
    <t>164  Accumulated-Office Furniture</t>
  </si>
  <si>
    <t>503  Advertising Expense</t>
  </si>
  <si>
    <t>165  Accumulated-Harvesting Tools</t>
  </si>
  <si>
    <t>504  Miscellaneous Expense</t>
  </si>
  <si>
    <t>166 Accumulated-Tractor</t>
  </si>
  <si>
    <t>505  Water Expense</t>
  </si>
  <si>
    <t>506 Equipment Mainitianence Expense</t>
  </si>
  <si>
    <t>Liabilities</t>
  </si>
  <si>
    <t>507  Subscription Expense</t>
  </si>
  <si>
    <t>200  Note Payable</t>
  </si>
  <si>
    <t>508  Staff training Expense</t>
  </si>
  <si>
    <t>201  Account Payable</t>
  </si>
  <si>
    <t>509 Insurance expense</t>
  </si>
  <si>
    <t>202  Freight Payable</t>
  </si>
  <si>
    <t>510  Deprication Expense</t>
  </si>
  <si>
    <t>203  Utilities Payable</t>
  </si>
  <si>
    <t>511 Interest Expense</t>
  </si>
  <si>
    <t>204  Wages Payable</t>
  </si>
  <si>
    <t>205  Advertising Payable</t>
  </si>
  <si>
    <t>206  Maintainence Payable</t>
  </si>
  <si>
    <t>207  Interest Payable</t>
  </si>
  <si>
    <t>Ranchers.inc
Trail Balance
December 31,2023</t>
  </si>
  <si>
    <t>ACCOUNT TITTLE</t>
  </si>
  <si>
    <t>Seeds, Fertilizers and Pesticides Inventory</t>
  </si>
  <si>
    <t>Farm Tools Inventory</t>
  </si>
  <si>
    <t>Seeds Inventory</t>
  </si>
  <si>
    <t>Ferilizers and Pesticides Inventory</t>
  </si>
  <si>
    <t>Plough inventory</t>
  </si>
  <si>
    <t>Animal Feed Inventory</t>
  </si>
  <si>
    <t>Prepaid Insurance</t>
  </si>
  <si>
    <t>Tractor Equipment</t>
  </si>
  <si>
    <t>Irrigation Equipment</t>
  </si>
  <si>
    <t>Furniture Equipment</t>
  </si>
  <si>
    <t>Drone Equipment</t>
  </si>
  <si>
    <t>Office Equipment</t>
  </si>
  <si>
    <t>Solar Panel Equipment</t>
  </si>
  <si>
    <t>Harvesting Tools Equipment</t>
  </si>
  <si>
    <t>Notes Payable</t>
  </si>
  <si>
    <t>Owner's Capital</t>
  </si>
  <si>
    <t>Owner's Drawing</t>
  </si>
  <si>
    <t>Freight Cost</t>
  </si>
  <si>
    <t>Advertising expense</t>
  </si>
  <si>
    <t>Water Expense</t>
  </si>
  <si>
    <t>Equipment Mainitainence Expense</t>
  </si>
  <si>
    <t>Staff training Expense</t>
  </si>
  <si>
    <t>GENERAL LEDGER</t>
  </si>
  <si>
    <t xml:space="preserve">                                                          Cash                                            No.101</t>
  </si>
  <si>
    <t xml:space="preserve">                                         Drone  Equipment                                  No.160</t>
  </si>
  <si>
    <t xml:space="preserve">Date </t>
  </si>
  <si>
    <t>Explanation</t>
  </si>
  <si>
    <t>Ref.</t>
  </si>
  <si>
    <t>Balance</t>
  </si>
  <si>
    <t>Ref.  no</t>
  </si>
  <si>
    <t>J1</t>
  </si>
  <si>
    <t xml:space="preserve">                                            Office  Equipment                                No.161</t>
  </si>
  <si>
    <t xml:space="preserve">                                      Solar Panel  Equipment                            No.162</t>
  </si>
  <si>
    <t xml:space="preserve">                                   Harvesting Tools  Equipment                     No.163</t>
  </si>
  <si>
    <t xml:space="preserve">                                                Notes Payable                                  No.200</t>
  </si>
  <si>
    <t xml:space="preserve">                                             Account Payable                                 No.201</t>
  </si>
  <si>
    <t xml:space="preserve">                                              Owner's Capital                                  No.301</t>
  </si>
  <si>
    <t xml:space="preserve">                                             Owner's Drawing                               No.306</t>
  </si>
  <si>
    <t xml:space="preserve">                                               Sales Revenue                                  No.400</t>
  </si>
  <si>
    <t xml:space="preserve">                                          Account Receivable                                  No.112</t>
  </si>
  <si>
    <t>Expalantion</t>
  </si>
  <si>
    <t>Ref no.</t>
  </si>
  <si>
    <t xml:space="preserve">                                Sales Returns and Allowance                       No.401</t>
  </si>
  <si>
    <t xml:space="preserve">                                             Sales Discounts                                  No.402</t>
  </si>
  <si>
    <t xml:space="preserve">                                             Prepaid Insurance                                 No.113</t>
  </si>
  <si>
    <t xml:space="preserve">                                             Cost of Goods Sold                             No.403</t>
  </si>
  <si>
    <t xml:space="preserve">                                  Seeds and Fertilizers Inventory                     No.114</t>
  </si>
  <si>
    <t xml:space="preserve">                                            Crops Inventory                                       No.115</t>
  </si>
  <si>
    <t xml:space="preserve">                                                  Freight Out                                    No.404</t>
  </si>
  <si>
    <t xml:space="preserve">                                           Livestock Inventory                                 No.116</t>
  </si>
  <si>
    <t xml:space="preserve">                                               Rent Expense                                    No.500</t>
  </si>
  <si>
    <t xml:space="preserve">                          Seeds, Fertilizers and Pesticides Inventory        No.117</t>
  </si>
  <si>
    <t xml:space="preserve">                                              Utilities Expense                                No.501</t>
  </si>
  <si>
    <t xml:space="preserve">                                         Farm Tools Inventory                                No.118</t>
  </si>
  <si>
    <t xml:space="preserve">                                                Seed Inventory                                   No.119</t>
  </si>
  <si>
    <t xml:space="preserve">                                           Wages Expense                                    No.502</t>
  </si>
  <si>
    <t xml:space="preserve">                            Fertilizers and Pesticides Inventory                   No.120</t>
  </si>
  <si>
    <t xml:space="preserve">                                              Plough Inventory                                  No.121</t>
  </si>
  <si>
    <t xml:space="preserve">                                        Advertisisng Expense                            No.503</t>
  </si>
  <si>
    <t xml:space="preserve">                                       Animal Feed Inventory                               No.122</t>
  </si>
  <si>
    <t xml:space="preserve">                                     Miscellaneous Expense                            No.504</t>
  </si>
  <si>
    <t xml:space="preserve">                                         Tractor  Equipment                                   No.157</t>
  </si>
  <si>
    <t xml:space="preserve">                                              Water Expense                                   No.505</t>
  </si>
  <si>
    <t xml:space="preserve">                                           Irrigation  Equipment                             No.158</t>
  </si>
  <si>
    <t xml:space="preserve">                          Equipment Maintainence Expense                  No.506</t>
  </si>
  <si>
    <t xml:space="preserve">                                          Furniture  Equipment                              No.159</t>
  </si>
  <si>
    <t xml:space="preserve">                                       Subscription Expense                              No.507</t>
  </si>
  <si>
    <t xml:space="preserve">                                          Staff Training Expense                        No.508</t>
  </si>
  <si>
    <t xml:space="preserve">ADJUSTING ENTRIES </t>
  </si>
  <si>
    <t>Date/S.No</t>
  </si>
  <si>
    <t>Account title &amp; Information</t>
  </si>
  <si>
    <t>Depriciation Expense</t>
  </si>
  <si>
    <t xml:space="preserve">         Accumulated Depriciation - Tractor</t>
  </si>
  <si>
    <t xml:space="preserve">Insurance Expense </t>
  </si>
  <si>
    <t xml:space="preserve">         Prepaid Insurance</t>
  </si>
  <si>
    <t xml:space="preserve">Depriciation Expense </t>
  </si>
  <si>
    <t xml:space="preserve">         Accumulated Depriciation - Office Furniture</t>
  </si>
  <si>
    <t xml:space="preserve">Wages Expense </t>
  </si>
  <si>
    <t xml:space="preserve">         Wages Payable</t>
  </si>
  <si>
    <t xml:space="preserve">         Accumulated Depreciation - Harvesting Tools</t>
  </si>
  <si>
    <t xml:space="preserve">         Utilities Payable</t>
  </si>
  <si>
    <t>Equipment Maintenance Expense</t>
  </si>
  <si>
    <t xml:space="preserve">         Maintenance Payable</t>
  </si>
  <si>
    <t xml:space="preserve">Freight -Out </t>
  </si>
  <si>
    <t xml:space="preserve">         Freight Payable</t>
  </si>
  <si>
    <t>Advertising Expense</t>
  </si>
  <si>
    <t xml:space="preserve">         Advertising Payable</t>
  </si>
  <si>
    <t xml:space="preserve">Interest Expense </t>
  </si>
  <si>
    <t xml:space="preserve">         Interest Payable</t>
  </si>
  <si>
    <t>Salaries And Wages Expense</t>
  </si>
  <si>
    <t xml:space="preserve">         Salaries And Wages Payable</t>
  </si>
  <si>
    <t xml:space="preserve">         Livestock Inventory</t>
  </si>
  <si>
    <t>GENERAL LEDGER AFTER ADJUSTMENTS</t>
  </si>
  <si>
    <t xml:space="preserve">                                         Insurance Expense                                   No.509</t>
  </si>
  <si>
    <t xml:space="preserve">                                              Freight Payable                                     No.202</t>
  </si>
  <si>
    <t xml:space="preserve">                                                Utilities Payable                                 No.203</t>
  </si>
  <si>
    <t xml:space="preserve">                                            Wages Payable                                    No.204</t>
  </si>
  <si>
    <t xml:space="preserve">                                         Advertising Payable                                  No.205</t>
  </si>
  <si>
    <t xml:space="preserve">                                         Maintenance Payable                              No.206</t>
  </si>
  <si>
    <t xml:space="preserve">                    Accumulated Depriciation - Office Furniture           No.164</t>
  </si>
  <si>
    <t xml:space="preserve">                  Accumulated Depreciation - Harvesting Tools          No.165</t>
  </si>
  <si>
    <t xml:space="preserve">                 Accumulated Depriciation - Tractor                     No.166</t>
  </si>
  <si>
    <t xml:space="preserve">                                        Advertising Expense                            No.503</t>
  </si>
  <si>
    <t xml:space="preserve">                          Equipment Maintenance Expense                  No.506</t>
  </si>
  <si>
    <t xml:space="preserve">                                        Depriciation Expense                            No.510</t>
  </si>
  <si>
    <t xml:space="preserve">J1 </t>
  </si>
  <si>
    <t xml:space="preserve">                                                Interest Payable                                 No.204</t>
  </si>
  <si>
    <t xml:space="preserve">                                                Interest Expense                                 No.511</t>
  </si>
  <si>
    <t>Ranchers.inc
Adjusted Trial Balance
December 31,2023</t>
  </si>
  <si>
    <t>Insurance Expense</t>
  </si>
  <si>
    <t>Interest Expense</t>
  </si>
  <si>
    <t>Accumulated Depriciation - Tractor</t>
  </si>
  <si>
    <t>Accumulated Depriciation - Furniture</t>
  </si>
  <si>
    <t>Accumulated Depriciation - Harvesting Tools</t>
  </si>
  <si>
    <t xml:space="preserve">Interest Payable </t>
  </si>
  <si>
    <t>Utilities Payable</t>
  </si>
  <si>
    <t>Advertising Payable</t>
  </si>
  <si>
    <t>Equipment Maintenance Payable</t>
  </si>
  <si>
    <t>Wages Payable</t>
  </si>
  <si>
    <t xml:space="preserve"> </t>
  </si>
  <si>
    <t>Freight Payable</t>
  </si>
  <si>
    <t>c</t>
  </si>
  <si>
    <t>Multi-Step Income Statement
The Ranchers.inc
Income Statement
For The Year Ended December 31, 2023</t>
  </si>
  <si>
    <t>The Ranchers.inc
Owner's Equity Statement
For the Year ended December 31,2023</t>
  </si>
  <si>
    <t xml:space="preserve">  Owner's Capital, January 1</t>
  </si>
  <si>
    <t xml:space="preserve">  Sales</t>
  </si>
  <si>
    <t xml:space="preserve">  Add: Investments</t>
  </si>
  <si>
    <t xml:space="preserve">         Net Income</t>
  </si>
  <si>
    <t>(-57,284)</t>
  </si>
  <si>
    <t xml:space="preserve">        Less: Sales Return And Allowance</t>
  </si>
  <si>
    <t xml:space="preserve">              Sales Discount </t>
  </si>
  <si>
    <t xml:space="preserve">   Less: Drawings</t>
  </si>
  <si>
    <t xml:space="preserve">        Net Sales</t>
  </si>
  <si>
    <t xml:space="preserve">   Owner's Capital, December 31</t>
  </si>
  <si>
    <t xml:space="preserve">   Cost Of Goods Sold</t>
  </si>
  <si>
    <t xml:space="preserve">   Gross Profit</t>
  </si>
  <si>
    <t xml:space="preserve">   Operating Expenses</t>
  </si>
  <si>
    <t>The Ranchers.inc
Balance Sheet
As of December 31,2023</t>
  </si>
  <si>
    <t xml:space="preserve">         Freight Cost</t>
  </si>
  <si>
    <t xml:space="preserve">         Rent Expense</t>
  </si>
  <si>
    <t xml:space="preserve">          Utility Expense</t>
  </si>
  <si>
    <t xml:space="preserve">         Insurance Expense</t>
  </si>
  <si>
    <t xml:space="preserve">         Wages Expense</t>
  </si>
  <si>
    <t xml:space="preserve">   Current Assets</t>
  </si>
  <si>
    <t xml:space="preserve">         Miscellaneous Expense</t>
  </si>
  <si>
    <t xml:space="preserve">         Water Expense</t>
  </si>
  <si>
    <t xml:space="preserve">      Accounts Receivable</t>
  </si>
  <si>
    <t xml:space="preserve">         Equipment Maintenance Expense</t>
  </si>
  <si>
    <t xml:space="preserve">      Seeds and Fertilizers Inventory</t>
  </si>
  <si>
    <t xml:space="preserve">        Advertising Expense</t>
  </si>
  <si>
    <t xml:space="preserve">        Subscription Expense</t>
  </si>
  <si>
    <t xml:space="preserve">        Staff Training Expense</t>
  </si>
  <si>
    <t xml:space="preserve">      Seeds, Fertilizers and Pesticides Inventory</t>
  </si>
  <si>
    <t xml:space="preserve">        Depreciation Expense</t>
  </si>
  <si>
    <t xml:space="preserve">      Farm Tools Inventory</t>
  </si>
  <si>
    <t xml:space="preserve">           Total Operating Expense</t>
  </si>
  <si>
    <t xml:space="preserve">      Seeds Inventory</t>
  </si>
  <si>
    <t xml:space="preserve">   Income From Operations</t>
  </si>
  <si>
    <t xml:space="preserve">      Fertilizers and Pesticides Inventory</t>
  </si>
  <si>
    <t xml:space="preserve">   Other Expenses And Losses</t>
  </si>
  <si>
    <t xml:space="preserve">      Plough Inventory</t>
  </si>
  <si>
    <t xml:space="preserve">          Interest Expense</t>
  </si>
  <si>
    <t xml:space="preserve">      Animal Feed Inventory</t>
  </si>
  <si>
    <t xml:space="preserve">   Net Income</t>
  </si>
  <si>
    <t xml:space="preserve">      Prepaid insurance</t>
  </si>
  <si>
    <t xml:space="preserve">   Total Current Assets</t>
  </si>
  <si>
    <t xml:space="preserve">   Non Current Assets</t>
  </si>
  <si>
    <t>Single-Step Income Statement
The Ranchers.inc
Income Statement
For The Year Ended December 31, 2023</t>
  </si>
  <si>
    <t xml:space="preserve">      Tractor Equipment</t>
  </si>
  <si>
    <t xml:space="preserve">      Less: Accumulated Deprication-Tractor</t>
  </si>
  <si>
    <t xml:space="preserve">      Irrigation Equipment</t>
  </si>
  <si>
    <t xml:space="preserve">      Furniture Equipment</t>
  </si>
  <si>
    <t xml:space="preserve">      Less: Accumulated Deprication- Furniture</t>
  </si>
  <si>
    <t xml:space="preserve">   Revenues</t>
  </si>
  <si>
    <t xml:space="preserve">      Drone Equipment</t>
  </si>
  <si>
    <t xml:space="preserve">     Net Sales</t>
  </si>
  <si>
    <t xml:space="preserve">      Office Equipment</t>
  </si>
  <si>
    <t xml:space="preserve">        Total Revenue</t>
  </si>
  <si>
    <t xml:space="preserve">      Solar Panel Equipment</t>
  </si>
  <si>
    <t xml:space="preserve">   Expenses</t>
  </si>
  <si>
    <t xml:space="preserve">      Harvesting Tools Equipment</t>
  </si>
  <si>
    <t xml:space="preserve">     Cost Of Goods Sold</t>
  </si>
  <si>
    <t xml:space="preserve">      Less: Accumulated Deprication-Harvesting Tools</t>
  </si>
  <si>
    <t xml:space="preserve">     Operating Expenses</t>
  </si>
  <si>
    <t xml:space="preserve">   Total Non-Current Assets</t>
  </si>
  <si>
    <t xml:space="preserve">     Interest Expense</t>
  </si>
  <si>
    <t xml:space="preserve">   Total Assets</t>
  </si>
  <si>
    <t xml:space="preserve">     Total Expense</t>
  </si>
  <si>
    <t>Liabilities And Owner's Equity</t>
  </si>
  <si>
    <t xml:space="preserve">   Current Liabilities</t>
  </si>
  <si>
    <t xml:space="preserve">     Accounts Payable</t>
  </si>
  <si>
    <t xml:space="preserve">     Notes Payable</t>
  </si>
  <si>
    <t xml:space="preserve">     Interest Payable</t>
  </si>
  <si>
    <t xml:space="preserve">     Utilities Payable</t>
  </si>
  <si>
    <t xml:space="preserve">     Advertising Payable</t>
  </si>
  <si>
    <t xml:space="preserve">     Equipment Maintenance Payable</t>
  </si>
  <si>
    <t xml:space="preserve">     Wages Payable</t>
  </si>
  <si>
    <t xml:space="preserve">     Freight Payable</t>
  </si>
  <si>
    <t xml:space="preserve">   Total Current Liabilities</t>
  </si>
  <si>
    <t xml:space="preserve">   Owner's Equity</t>
  </si>
  <si>
    <t xml:space="preserve">     Owner's Capital</t>
  </si>
  <si>
    <t xml:space="preserve">   Total Equity</t>
  </si>
  <si>
    <t xml:space="preserve">   Total Liabilities And Owner's Equity</t>
  </si>
  <si>
    <t>CLOSING ENTRIES</t>
  </si>
  <si>
    <t xml:space="preserve">DATE </t>
  </si>
  <si>
    <t xml:space="preserve">Ref No. </t>
  </si>
  <si>
    <t xml:space="preserve">DEBIT </t>
  </si>
  <si>
    <t>CREDIT</t>
  </si>
  <si>
    <t xml:space="preserve">  Income Summary</t>
  </si>
  <si>
    <t>Income Summary</t>
  </si>
  <si>
    <t xml:space="preserve">         Sales Return and Allowance</t>
  </si>
  <si>
    <t xml:space="preserve">         Sales Discount</t>
  </si>
  <si>
    <t xml:space="preserve">         Cost of good sold</t>
  </si>
  <si>
    <t xml:space="preserve">         Utilities Expense</t>
  </si>
  <si>
    <t xml:space="preserve">         Miscellenous Expense</t>
  </si>
  <si>
    <t xml:space="preserve">         Advertising Expense</t>
  </si>
  <si>
    <t xml:space="preserve">         Subscription Expense</t>
  </si>
  <si>
    <t xml:space="preserve">         Staff training Expense</t>
  </si>
  <si>
    <t xml:space="preserve">         DeprEciation Expense</t>
  </si>
  <si>
    <t xml:space="preserve">         Interset Expense</t>
  </si>
  <si>
    <t>ost C</t>
  </si>
  <si>
    <t>RANCHERS.INC
POST CLOSING TRIAL BALANCE
AS OF DEC 31,2023</t>
  </si>
  <si>
    <t>REF NO</t>
  </si>
  <si>
    <t>DEBIT</t>
  </si>
  <si>
    <t>Account Rceivable</t>
  </si>
  <si>
    <t>Seeds, Fretilizers and Pesticides Inventory</t>
  </si>
  <si>
    <t>Fertilizers and Pesticides Inventory</t>
  </si>
  <si>
    <t>Plough Inventory</t>
  </si>
  <si>
    <t>Interset Payable</t>
  </si>
  <si>
    <t>Utiltites Payable</t>
  </si>
  <si>
    <t>Accumulate Depreciation - Tractor</t>
  </si>
  <si>
    <t>Accumulate Depreciation -Furniture</t>
  </si>
  <si>
    <t>Accumulate Depreciation - Harvesting Tools</t>
  </si>
  <si>
    <t>Sales Revenuve</t>
  </si>
  <si>
    <t>JAN</t>
  </si>
  <si>
    <t>FEB</t>
  </si>
  <si>
    <t>MAR</t>
  </si>
  <si>
    <t>APRIL</t>
  </si>
  <si>
    <t>MAY</t>
  </si>
  <si>
    <t xml:space="preserve">JUNE </t>
  </si>
  <si>
    <t>JULY</t>
  </si>
  <si>
    <t>AUG</t>
  </si>
  <si>
    <t>SEP</t>
  </si>
  <si>
    <t>OCT</t>
  </si>
  <si>
    <t xml:space="preserve">NOV </t>
  </si>
  <si>
    <t>DEC</t>
  </si>
  <si>
    <t>INTIAL</t>
  </si>
  <si>
    <t>Acccount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</si>
</sst>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m\.\ d"/>
    <numFmt numFmtId="165" formatCode="_(&quot;$&quot;* #,##0_);_(&quot;$&quot;* \(#,##0\);_(&quot;$&quot;* &quot;-&quot;??_);_(@_)"/>
    <numFmt numFmtId="166" formatCode="d\ mmm"/>
    <numFmt numFmtId="167" formatCode="mmmm\ d"/>
    <numFmt numFmtId="168" formatCode="mmm\ d"/>
    <numFmt numFmtId="169" formatCode="&quot;$&quot;#,##0"/>
    <numFmt numFmtId="170" formatCode="mmm\ d\,\ yyyy"/>
  </numFmts>
  <fonts count="36">
    <font>
      <sz val="11"/>
      <color theme="1"/>
      <name val="Arial"/>
      <scheme val="minor"/>
    </font>
    <font>
      <sz val="11"/>
      <color theme="1"/>
      <name val="Calibri"/>
    </font>
    <font>
      <sz val="13"/>
      <color theme="1"/>
      <name val="Times New Roman"/>
    </font>
    <font>
      <sz val="12"/>
      <color theme="1"/>
      <name val="Calibri"/>
    </font>
    <font>
      <sz val="12"/>
      <color rgb="FF000000"/>
      <name val="Calibri"/>
    </font>
    <font>
      <sz val="19"/>
      <color theme="1"/>
      <name val="Arial"/>
      <scheme val="minor"/>
    </font>
    <font>
      <b/>
      <sz val="20"/>
      <color theme="1"/>
      <name val="Calibri"/>
    </font>
    <font>
      <b/>
      <sz val="13"/>
      <color theme="1"/>
      <name val="Montserrat"/>
    </font>
    <font>
      <sz val="11"/>
      <name val="Arial"/>
    </font>
    <font>
      <sz val="11"/>
      <color theme="1"/>
      <name val="Arial"/>
      <scheme val="minor"/>
    </font>
    <font>
      <sz val="12"/>
      <color theme="1"/>
      <name val="Arial"/>
      <scheme val="minor"/>
    </font>
    <font>
      <sz val="11"/>
      <color rgb="FF000000"/>
      <name val="Arial"/>
      <scheme val="minor"/>
    </font>
    <font>
      <sz val="11"/>
      <color rgb="FFFF0000"/>
      <name val="Arial"/>
      <scheme val="minor"/>
    </font>
    <font>
      <b/>
      <sz val="11"/>
      <color rgb="FFFF0000"/>
      <name val="Arial"/>
      <scheme val="minor"/>
    </font>
    <font>
      <sz val="11"/>
      <color rgb="FF434343"/>
      <name val="Arial"/>
      <scheme val="minor"/>
    </font>
    <font>
      <b/>
      <sz val="11"/>
      <color theme="1"/>
      <name val="Montserrat"/>
    </font>
    <font>
      <b/>
      <sz val="11"/>
      <color rgb="FF980000"/>
      <name val="Arial"/>
      <scheme val="minor"/>
    </font>
    <font>
      <b/>
      <sz val="16"/>
      <color theme="1"/>
      <name val="Arial"/>
      <scheme val="minor"/>
    </font>
    <font>
      <b/>
      <sz val="11"/>
      <color rgb="FF000000"/>
      <name val="Arial"/>
      <scheme val="minor"/>
    </font>
    <font>
      <b/>
      <sz val="11"/>
      <color theme="1"/>
      <name val="Arial"/>
      <scheme val="minor"/>
    </font>
    <font>
      <sz val="11"/>
      <color rgb="FFFF0000"/>
      <name val="Calibri"/>
    </font>
    <font>
      <b/>
      <sz val="12"/>
      <color theme="1"/>
      <name val="Montserrat"/>
    </font>
    <font>
      <sz val="11"/>
      <color theme="1"/>
      <name val="Arial"/>
    </font>
    <font>
      <b/>
      <u/>
      <sz val="12"/>
      <color theme="1"/>
      <name val="Montserrat"/>
    </font>
    <font>
      <b/>
      <sz val="15"/>
      <color theme="1"/>
      <name val="Arial"/>
      <scheme val="minor"/>
    </font>
    <font>
      <sz val="11"/>
      <color rgb="FF000000"/>
      <name val="Calibri"/>
    </font>
    <font>
      <sz val="11"/>
      <color rgb="FF000000"/>
      <name val="Docs-Calibri"/>
    </font>
    <font>
      <b/>
      <sz val="12"/>
      <color theme="1"/>
      <name val="Arial"/>
      <scheme val="minor"/>
    </font>
    <font>
      <sz val="16"/>
      <name val="Arial"/>
    </font>
    <font>
      <b/>
      <sz val="11"/>
      <name val="Arial"/>
    </font>
    <font>
      <sz val="12"/>
      <name val="Arial"/>
    </font>
    <font>
      <b/>
      <sz val="13"/>
      <color rgb="FF314C59"/>
      <name val="Arial"/>
      <scheme val="minor"/>
    </font>
    <font>
      <b/>
      <sz val="13"/>
      <color theme="1"/>
      <name val="Arial"/>
      <scheme val="minor"/>
    </font>
    <font>
      <b/>
      <sz val="11"/>
      <color theme="1"/>
      <name val="Microsoft YaHei"/>
    </font>
    <font>
      <b/>
      <sz val="18"/>
      <color theme="1"/>
      <name val="Microsoft YaHei"/>
    </font>
    <font>
      <b/>
      <sz val="12"/>
      <color theme="1"/>
      <name val="Microsoft YaHei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CB4D"/>
        <bgColor rgb="FFF7CB4D"/>
      </patternFill>
    </fill>
    <fill>
      <patternFill patternType="solid">
        <fgColor rgb="FFF3F3F3"/>
        <bgColor rgb="FFF3F3F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434343"/>
      </left>
      <right/>
      <top/>
      <bottom/>
      <diagonal/>
    </border>
    <border>
      <left/>
      <right style="medium">
        <color rgb="FF434343"/>
      </right>
      <top/>
      <bottom/>
      <diagonal/>
    </border>
    <border>
      <left/>
      <right style="medium">
        <color rgb="FF434343"/>
      </right>
      <top style="thin">
        <color rgb="FF000000"/>
      </top>
      <bottom style="double">
        <color rgb="FF000000"/>
      </bottom>
      <diagonal/>
    </border>
    <border>
      <left style="medium">
        <color rgb="FF434343"/>
      </left>
      <right/>
      <top/>
      <bottom style="medium">
        <color rgb="FF434343"/>
      </bottom>
      <diagonal/>
    </border>
    <border>
      <left/>
      <right/>
      <top/>
      <bottom style="medium">
        <color rgb="FF434343"/>
      </bottom>
      <diagonal/>
    </border>
    <border>
      <left/>
      <right style="medium">
        <color rgb="FF434343"/>
      </right>
      <top/>
      <bottom style="medium">
        <color rgb="FF434343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0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left" vertical="center"/>
    </xf>
    <xf numFmtId="165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3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164" fontId="3" fillId="0" borderId="6" xfId="0" applyNumberFormat="1" applyFont="1" applyBorder="1" applyAlignment="1">
      <alignment horizontal="right" vertical="center"/>
    </xf>
    <xf numFmtId="3" fontId="3" fillId="0" borderId="6" xfId="0" applyNumberFormat="1" applyFont="1" applyBorder="1" applyAlignment="1">
      <alignment vertical="center"/>
    </xf>
    <xf numFmtId="0" fontId="4" fillId="2" borderId="6" xfId="0" applyFont="1" applyFill="1" applyBorder="1" applyAlignment="1">
      <alignment horizontal="left" vertical="center"/>
    </xf>
    <xf numFmtId="0" fontId="10" fillId="0" borderId="5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9" fillId="0" borderId="14" xfId="0" applyFont="1" applyBorder="1" applyAlignment="1">
      <alignment horizontal="left" vertical="center"/>
    </xf>
    <xf numFmtId="3" fontId="9" fillId="0" borderId="6" xfId="0" applyNumberFormat="1" applyFont="1" applyBorder="1" applyAlignment="1">
      <alignment horizontal="center" vertical="center"/>
    </xf>
    <xf numFmtId="3" fontId="9" fillId="0" borderId="7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164" fontId="9" fillId="0" borderId="14" xfId="0" applyNumberFormat="1" applyFont="1" applyBorder="1" applyAlignment="1">
      <alignment horizontal="center" vertical="center"/>
    </xf>
    <xf numFmtId="164" fontId="9" fillId="0" borderId="14" xfId="0" applyNumberFormat="1" applyFont="1" applyBorder="1" applyAlignment="1">
      <alignment horizontal="left" vertical="center"/>
    </xf>
    <xf numFmtId="3" fontId="13" fillId="0" borderId="7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right" vertical="center"/>
    </xf>
    <xf numFmtId="0" fontId="9" fillId="4" borderId="3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11" fillId="4" borderId="4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3" fontId="11" fillId="0" borderId="7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4" xfId="0" applyFont="1" applyBorder="1" applyAlignment="1">
      <alignment horizontal="right" vertical="center"/>
    </xf>
    <xf numFmtId="0" fontId="11" fillId="0" borderId="6" xfId="0" applyFont="1" applyBorder="1" applyAlignment="1">
      <alignment vertical="center"/>
    </xf>
    <xf numFmtId="3" fontId="11" fillId="0" borderId="6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left" vertical="center"/>
    </xf>
    <xf numFmtId="0" fontId="11" fillId="0" borderId="14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3" fontId="9" fillId="0" borderId="6" xfId="0" applyNumberFormat="1" applyFont="1" applyBorder="1" applyAlignment="1">
      <alignment vertical="center"/>
    </xf>
    <xf numFmtId="3" fontId="11" fillId="0" borderId="7" xfId="0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3" fontId="14" fillId="0" borderId="7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4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6" xfId="0" applyFont="1" applyBorder="1" applyAlignment="1">
      <alignment vertical="center"/>
    </xf>
    <xf numFmtId="3" fontId="14" fillId="0" borderId="6" xfId="0" applyNumberFormat="1" applyFont="1" applyBorder="1" applyAlignment="1">
      <alignment horizontal="center" vertical="center"/>
    </xf>
    <xf numFmtId="3" fontId="12" fillId="0" borderId="7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9" fillId="0" borderId="16" xfId="0" applyFont="1" applyBorder="1" applyAlignment="1">
      <alignment vertical="center"/>
    </xf>
    <xf numFmtId="165" fontId="9" fillId="0" borderId="17" xfId="0" applyNumberFormat="1" applyFont="1" applyBorder="1" applyAlignment="1">
      <alignment vertical="center"/>
    </xf>
    <xf numFmtId="3" fontId="9" fillId="0" borderId="17" xfId="0" applyNumberFormat="1" applyFont="1" applyBorder="1" applyAlignment="1">
      <alignment vertical="center"/>
    </xf>
    <xf numFmtId="165" fontId="16" fillId="0" borderId="18" xfId="0" applyNumberFormat="1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167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67" fontId="9" fillId="0" borderId="0" xfId="0" applyNumberFormat="1" applyFont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" fontId="9" fillId="0" borderId="7" xfId="0" applyNumberFormat="1" applyFont="1" applyBorder="1" applyAlignment="1">
      <alignment vertical="center"/>
    </xf>
    <xf numFmtId="3" fontId="9" fillId="0" borderId="0" xfId="0" applyNumberFormat="1" applyFont="1" applyAlignment="1">
      <alignment vertical="center"/>
    </xf>
    <xf numFmtId="3" fontId="13" fillId="0" borderId="0" xfId="0" applyNumberFormat="1" applyFont="1" applyAlignment="1">
      <alignment vertical="center"/>
    </xf>
    <xf numFmtId="3" fontId="18" fillId="0" borderId="7" xfId="0" applyNumberFormat="1" applyFont="1" applyBorder="1" applyAlignment="1">
      <alignment vertical="center"/>
    </xf>
    <xf numFmtId="168" fontId="9" fillId="0" borderId="14" xfId="0" applyNumberFormat="1" applyFont="1" applyBorder="1" applyAlignment="1">
      <alignment vertical="center"/>
    </xf>
    <xf numFmtId="3" fontId="13" fillId="0" borderId="7" xfId="0" applyNumberFormat="1" applyFont="1" applyBorder="1" applyAlignment="1">
      <alignment vertical="center"/>
    </xf>
    <xf numFmtId="3" fontId="19" fillId="0" borderId="7" xfId="0" applyNumberFormat="1" applyFont="1" applyBorder="1" applyAlignment="1">
      <alignment vertical="center"/>
    </xf>
    <xf numFmtId="3" fontId="11" fillId="0" borderId="6" xfId="0" applyNumberFormat="1" applyFont="1" applyBorder="1" applyAlignment="1">
      <alignment vertical="center"/>
    </xf>
    <xf numFmtId="3" fontId="14" fillId="0" borderId="7" xfId="0" applyNumberFormat="1" applyFont="1" applyBorder="1" applyAlignment="1">
      <alignment vertical="center"/>
    </xf>
    <xf numFmtId="0" fontId="14" fillId="0" borderId="6" xfId="0" applyFont="1" applyBorder="1" applyAlignment="1">
      <alignment horizontal="center" vertical="center"/>
    </xf>
    <xf numFmtId="3" fontId="14" fillId="0" borderId="6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168" fontId="9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1" fillId="0" borderId="7" xfId="0" applyFont="1" applyBorder="1" applyAlignment="1">
      <alignment vertical="center"/>
    </xf>
    <xf numFmtId="165" fontId="1" fillId="0" borderId="0" xfId="0" applyNumberFormat="1" applyFont="1" applyAlignment="1">
      <alignment horizontal="right" vertical="center"/>
    </xf>
    <xf numFmtId="0" fontId="1" fillId="0" borderId="14" xfId="0" applyFont="1" applyBorder="1" applyAlignment="1">
      <alignment vertical="center"/>
    </xf>
    <xf numFmtId="3" fontId="1" fillId="0" borderId="0" xfId="0" applyNumberFormat="1" applyFont="1" applyAlignment="1">
      <alignment horizontal="right" vertical="center"/>
    </xf>
    <xf numFmtId="165" fontId="16" fillId="0" borderId="23" xfId="0" applyNumberFormat="1" applyFont="1" applyBorder="1" applyAlignment="1">
      <alignment vertical="center"/>
    </xf>
    <xf numFmtId="0" fontId="22" fillId="0" borderId="0" xfId="0" applyFont="1"/>
    <xf numFmtId="0" fontId="19" fillId="2" borderId="7" xfId="0" applyFont="1" applyFill="1" applyBorder="1"/>
    <xf numFmtId="0" fontId="9" fillId="2" borderId="0" xfId="0" applyFont="1" applyFill="1"/>
    <xf numFmtId="3" fontId="9" fillId="2" borderId="14" xfId="0" applyNumberFormat="1" applyFont="1" applyFill="1" applyBorder="1" applyAlignment="1">
      <alignment horizontal="right"/>
    </xf>
    <xf numFmtId="0" fontId="9" fillId="2" borderId="14" xfId="0" applyFont="1" applyFill="1" applyBorder="1"/>
    <xf numFmtId="0" fontId="9" fillId="2" borderId="7" xfId="0" applyFont="1" applyFill="1" applyBorder="1" applyAlignment="1">
      <alignment horizontal="left"/>
    </xf>
    <xf numFmtId="3" fontId="9" fillId="2" borderId="0" xfId="0" applyNumberFormat="1" applyFont="1" applyFill="1" applyAlignment="1">
      <alignment horizontal="right"/>
    </xf>
    <xf numFmtId="3" fontId="9" fillId="2" borderId="20" xfId="0" applyNumberFormat="1" applyFont="1" applyFill="1" applyBorder="1" applyAlignment="1">
      <alignment horizontal="right"/>
    </xf>
    <xf numFmtId="0" fontId="9" fillId="2" borderId="21" xfId="0" applyFont="1" applyFill="1" applyBorder="1" applyAlignment="1">
      <alignment horizontal="right"/>
    </xf>
    <xf numFmtId="169" fontId="9" fillId="2" borderId="0" xfId="0" applyNumberFormat="1" applyFont="1" applyFill="1" applyAlignment="1">
      <alignment horizontal="right"/>
    </xf>
    <xf numFmtId="3" fontId="22" fillId="2" borderId="0" xfId="0" applyNumberFormat="1" applyFont="1" applyFill="1"/>
    <xf numFmtId="0" fontId="9" fillId="2" borderId="7" xfId="0" applyFont="1" applyFill="1" applyBorder="1"/>
    <xf numFmtId="0" fontId="9" fillId="2" borderId="14" xfId="0" applyFont="1" applyFill="1" applyBorder="1" applyAlignment="1">
      <alignment horizontal="right"/>
    </xf>
    <xf numFmtId="3" fontId="9" fillId="2" borderId="0" xfId="0" applyNumberFormat="1" applyFont="1" applyFill="1"/>
    <xf numFmtId="0" fontId="9" fillId="2" borderId="24" xfId="0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3" fontId="9" fillId="2" borderId="14" xfId="0" applyNumberFormat="1" applyFont="1" applyFill="1" applyBorder="1"/>
    <xf numFmtId="0" fontId="19" fillId="0" borderId="7" xfId="0" applyFont="1" applyBorder="1"/>
    <xf numFmtId="0" fontId="9" fillId="0" borderId="0" xfId="0" applyFont="1"/>
    <xf numFmtId="0" fontId="9" fillId="0" borderId="14" xfId="0" applyFont="1" applyBorder="1"/>
    <xf numFmtId="0" fontId="9" fillId="0" borderId="7" xfId="0" applyFont="1" applyBorder="1" applyAlignment="1">
      <alignment horizontal="left"/>
    </xf>
    <xf numFmtId="3" fontId="9" fillId="0" borderId="14" xfId="0" applyNumberFormat="1" applyFont="1" applyBorder="1" applyAlignment="1">
      <alignment horizontal="right"/>
    </xf>
    <xf numFmtId="0" fontId="9" fillId="0" borderId="14" xfId="0" applyFont="1" applyBorder="1" applyAlignment="1">
      <alignment horizontal="right"/>
    </xf>
    <xf numFmtId="3" fontId="9" fillId="2" borderId="24" xfId="0" applyNumberFormat="1" applyFont="1" applyFill="1" applyBorder="1" applyAlignment="1">
      <alignment horizontal="right"/>
    </xf>
    <xf numFmtId="0" fontId="19" fillId="2" borderId="9" xfId="0" applyFont="1" applyFill="1" applyBorder="1"/>
    <xf numFmtId="0" fontId="9" fillId="2" borderId="8" xfId="0" applyFont="1" applyFill="1" applyBorder="1"/>
    <xf numFmtId="3" fontId="9" fillId="2" borderId="13" xfId="0" applyNumberFormat="1" applyFont="1" applyFill="1" applyBorder="1" applyAlignment="1">
      <alignment horizontal="right"/>
    </xf>
    <xf numFmtId="0" fontId="19" fillId="0" borderId="7" xfId="0" applyFont="1" applyBorder="1" applyAlignment="1">
      <alignment horizontal="left" vertical="center"/>
    </xf>
    <xf numFmtId="3" fontId="9" fillId="0" borderId="14" xfId="0" applyNumberFormat="1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9" fillId="0" borderId="7" xfId="0" applyFont="1" applyBorder="1" applyAlignment="1">
      <alignment horizontal="left" vertical="center"/>
    </xf>
    <xf numFmtId="0" fontId="0" fillId="2" borderId="0" xfId="0" applyFill="1"/>
    <xf numFmtId="0" fontId="0" fillId="2" borderId="26" xfId="0" applyFill="1" applyBorder="1"/>
    <xf numFmtId="0" fontId="0" fillId="2" borderId="25" xfId="0" applyFill="1" applyBorder="1" applyAlignment="1">
      <alignment horizontal="left"/>
    </xf>
    <xf numFmtId="3" fontId="0" fillId="2" borderId="26" xfId="0" applyNumberFormat="1" applyFill="1" applyBorder="1" applyAlignment="1">
      <alignment horizontal="right"/>
    </xf>
    <xf numFmtId="3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3" fontId="9" fillId="0" borderId="24" xfId="0" applyNumberFormat="1" applyFont="1" applyBorder="1" applyAlignment="1">
      <alignment vertical="center"/>
    </xf>
    <xf numFmtId="3" fontId="0" fillId="2" borderId="27" xfId="0" applyNumberFormat="1" applyFill="1" applyBorder="1" applyAlignment="1">
      <alignment horizontal="right"/>
    </xf>
    <xf numFmtId="0" fontId="9" fillId="0" borderId="28" xfId="0" applyFont="1" applyBorder="1" applyAlignment="1">
      <alignment horizontal="left"/>
    </xf>
    <xf numFmtId="0" fontId="9" fillId="0" borderId="29" xfId="0" applyFont="1" applyBorder="1" applyAlignment="1">
      <alignment vertical="center"/>
    </xf>
    <xf numFmtId="0" fontId="9" fillId="0" borderId="30" xfId="0" applyFont="1" applyBorder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3" fontId="9" fillId="0" borderId="0" xfId="0" applyNumberFormat="1" applyFont="1" applyAlignment="1">
      <alignment horizontal="right" vertical="center"/>
    </xf>
    <xf numFmtId="0" fontId="9" fillId="0" borderId="32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70" fontId="9" fillId="0" borderId="32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left" vertical="center"/>
    </xf>
    <xf numFmtId="165" fontId="26" fillId="2" borderId="14" xfId="0" applyNumberFormat="1" applyFont="1" applyFill="1" applyBorder="1" applyAlignment="1">
      <alignment horizontal="right" vertical="center"/>
    </xf>
    <xf numFmtId="0" fontId="9" fillId="0" borderId="31" xfId="0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14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right" vertical="center"/>
    </xf>
    <xf numFmtId="0" fontId="9" fillId="0" borderId="3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165" fontId="16" fillId="0" borderId="0" xfId="0" applyNumberFormat="1" applyFont="1" applyAlignment="1">
      <alignment vertical="center"/>
    </xf>
    <xf numFmtId="0" fontId="9" fillId="0" borderId="36" xfId="0" applyFont="1" applyBorder="1" applyAlignment="1">
      <alignment vertical="center"/>
    </xf>
    <xf numFmtId="0" fontId="9" fillId="0" borderId="37" xfId="0" applyFont="1" applyBorder="1" applyAlignment="1">
      <alignment horizontal="left" vertical="center"/>
    </xf>
    <xf numFmtId="0" fontId="9" fillId="0" borderId="37" xfId="0" applyFont="1" applyBorder="1" applyAlignment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vertical="center"/>
    </xf>
    <xf numFmtId="0" fontId="9" fillId="6" borderId="4" xfId="0" applyFont="1" applyFill="1" applyBorder="1" applyAlignment="1">
      <alignment vertical="center"/>
    </xf>
    <xf numFmtId="0" fontId="11" fillId="6" borderId="4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15" fillId="7" borderId="15" xfId="0" applyFont="1" applyFill="1" applyBorder="1" applyAlignment="1">
      <alignment vertical="center"/>
    </xf>
    <xf numFmtId="0" fontId="7" fillId="7" borderId="15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7" borderId="22" xfId="0" applyFont="1" applyFill="1" applyBorder="1" applyAlignment="1">
      <alignment horizontal="center" vertical="center"/>
    </xf>
    <xf numFmtId="0" fontId="27" fillId="7" borderId="22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166" fontId="9" fillId="0" borderId="6" xfId="0" applyNumberFormat="1" applyFont="1" applyBorder="1" applyAlignment="1">
      <alignment horizontal="center" vertical="center"/>
    </xf>
    <xf numFmtId="167" fontId="9" fillId="0" borderId="6" xfId="0" applyNumberFormat="1" applyFont="1" applyBorder="1" applyAlignment="1">
      <alignment horizontal="center" vertical="center"/>
    </xf>
    <xf numFmtId="0" fontId="8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9" fillId="6" borderId="6" xfId="0" applyFont="1" applyFill="1" applyBorder="1" applyAlignment="1">
      <alignment vertical="center"/>
    </xf>
    <xf numFmtId="0" fontId="21" fillId="7" borderId="4" xfId="0" applyFont="1" applyFill="1" applyBorder="1" applyAlignment="1">
      <alignment vertical="center"/>
    </xf>
    <xf numFmtId="0" fontId="21" fillId="7" borderId="4" xfId="0" applyFont="1" applyFill="1" applyBorder="1" applyAlignment="1">
      <alignment horizontal="center" vertical="center"/>
    </xf>
    <xf numFmtId="3" fontId="1" fillId="0" borderId="6" xfId="0" applyNumberFormat="1" applyFont="1" applyBorder="1" applyAlignment="1">
      <alignment vertical="center"/>
    </xf>
    <xf numFmtId="165" fontId="1" fillId="0" borderId="6" xfId="0" applyNumberFormat="1" applyFont="1" applyBorder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165" fontId="16" fillId="0" borderId="38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7" fillId="7" borderId="4" xfId="0" applyFont="1" applyFill="1" applyBorder="1" applyAlignment="1">
      <alignment horizontal="center" vertical="center"/>
    </xf>
    <xf numFmtId="0" fontId="19" fillId="2" borderId="25" xfId="0" applyFont="1" applyFill="1" applyBorder="1"/>
    <xf numFmtId="165" fontId="9" fillId="0" borderId="31" xfId="0" applyNumberFormat="1" applyFont="1" applyBorder="1" applyAlignment="1">
      <alignment vertical="center"/>
    </xf>
    <xf numFmtId="3" fontId="9" fillId="0" borderId="31" xfId="0" applyNumberFormat="1" applyFont="1" applyBorder="1" applyAlignment="1">
      <alignment vertical="center"/>
    </xf>
    <xf numFmtId="165" fontId="16" fillId="0" borderId="31" xfId="0" applyNumberFormat="1" applyFont="1" applyBorder="1" applyAlignment="1">
      <alignment vertical="center"/>
    </xf>
    <xf numFmtId="0" fontId="19" fillId="7" borderId="39" xfId="0" applyFont="1" applyFill="1" applyBorder="1" applyAlignment="1">
      <alignment horizontal="center" vertical="center"/>
    </xf>
    <xf numFmtId="0" fontId="19" fillId="7" borderId="37" xfId="0" applyFont="1" applyFill="1" applyBorder="1" applyAlignment="1">
      <alignment horizontal="center" vertical="center"/>
    </xf>
    <xf numFmtId="0" fontId="19" fillId="7" borderId="36" xfId="0" applyFont="1" applyFill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vertical="center"/>
    </xf>
    <xf numFmtId="0" fontId="1" fillId="0" borderId="4" xfId="0" applyFont="1" applyBorder="1" applyAlignment="1">
      <alignment vertical="center"/>
    </xf>
    <xf numFmtId="168" fontId="1" fillId="0" borderId="14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3" fontId="20" fillId="0" borderId="7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vertical="center"/>
    </xf>
    <xf numFmtId="0" fontId="1" fillId="0" borderId="14" xfId="0" applyFont="1" applyBorder="1" applyAlignment="1">
      <alignment horizontal="right" vertical="center"/>
    </xf>
    <xf numFmtId="0" fontId="20" fillId="0" borderId="7" xfId="0" applyFont="1" applyBorder="1" applyAlignment="1">
      <alignment horizontal="right" vertical="center"/>
    </xf>
    <xf numFmtId="0" fontId="0" fillId="0" borderId="7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3" xfId="0" applyBorder="1" applyAlignment="1">
      <alignment vertical="center"/>
    </xf>
    <xf numFmtId="0" fontId="19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33" fillId="0" borderId="9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7" fillId="2" borderId="0" xfId="0" applyFont="1" applyFill="1"/>
    <xf numFmtId="0" fontId="35" fillId="0" borderId="0" xfId="0" applyFont="1" applyAlignment="1">
      <alignment vertical="center"/>
    </xf>
    <xf numFmtId="165" fontId="25" fillId="2" borderId="17" xfId="0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31" fillId="5" borderId="10" xfId="0" applyFont="1" applyFill="1" applyBorder="1" applyAlignment="1">
      <alignment horizontal="center" vertical="center" wrapText="1"/>
    </xf>
    <xf numFmtId="0" fontId="32" fillId="5" borderId="11" xfId="0" applyFont="1" applyFill="1" applyBorder="1" applyAlignment="1">
      <alignment horizontal="center" vertical="center"/>
    </xf>
    <xf numFmtId="0" fontId="32" fillId="5" borderId="12" xfId="0" applyFont="1" applyFill="1" applyBorder="1" applyAlignment="1">
      <alignment horizontal="center" vertical="center"/>
    </xf>
    <xf numFmtId="0" fontId="32" fillId="5" borderId="7" xfId="0" applyFont="1" applyFill="1" applyBorder="1" applyAlignment="1">
      <alignment horizontal="center" vertical="center"/>
    </xf>
    <xf numFmtId="0" fontId="32" fillId="5" borderId="0" xfId="0" applyFont="1" applyFill="1" applyAlignment="1">
      <alignment horizontal="center" vertical="center"/>
    </xf>
    <xf numFmtId="0" fontId="32" fillId="5" borderId="14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vertical="center"/>
    </xf>
    <xf numFmtId="0" fontId="8" fillId="5" borderId="12" xfId="0" applyFont="1" applyFill="1" applyBorder="1" applyAlignment="1">
      <alignment vertical="center"/>
    </xf>
    <xf numFmtId="0" fontId="8" fillId="5" borderId="7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8" fillId="5" borderId="14" xfId="0" applyFont="1" applyFill="1" applyBorder="1" applyAlignment="1">
      <alignment vertical="center"/>
    </xf>
    <xf numFmtId="0" fontId="8" fillId="5" borderId="9" xfId="0" applyFont="1" applyFill="1" applyBorder="1" applyAlignment="1">
      <alignment vertical="center"/>
    </xf>
    <xf numFmtId="0" fontId="8" fillId="5" borderId="8" xfId="0" applyFont="1" applyFill="1" applyBorder="1" applyAlignment="1">
      <alignment vertical="center"/>
    </xf>
    <xf numFmtId="0" fontId="8" fillId="5" borderId="13" xfId="0" applyFont="1" applyFill="1" applyBorder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vertical="center"/>
    </xf>
    <xf numFmtId="0" fontId="7" fillId="5" borderId="1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7" fillId="5" borderId="10" xfId="0" applyFont="1" applyFill="1" applyBorder="1" applyAlignment="1">
      <alignment horizontal="center" vertical="center"/>
    </xf>
    <xf numFmtId="0" fontId="28" fillId="5" borderId="11" xfId="0" applyFont="1" applyFill="1" applyBorder="1" applyAlignment="1">
      <alignment vertical="center"/>
    </xf>
    <xf numFmtId="0" fontId="28" fillId="5" borderId="12" xfId="0" applyFont="1" applyFill="1" applyBorder="1" applyAlignment="1">
      <alignment vertical="center"/>
    </xf>
    <xf numFmtId="0" fontId="28" fillId="5" borderId="19" xfId="0" applyFont="1" applyFill="1" applyBorder="1" applyAlignment="1">
      <alignment vertical="center"/>
    </xf>
    <xf numFmtId="0" fontId="28" fillId="5" borderId="20" xfId="0" applyFont="1" applyFill="1" applyBorder="1" applyAlignment="1">
      <alignment vertical="center"/>
    </xf>
    <xf numFmtId="0" fontId="28" fillId="5" borderId="21" xfId="0" applyFont="1" applyFill="1" applyBorder="1" applyAlignment="1">
      <alignment vertical="center"/>
    </xf>
    <xf numFmtId="168" fontId="7" fillId="5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9" fillId="5" borderId="11" xfId="0" applyFont="1" applyFill="1" applyBorder="1" applyAlignment="1">
      <alignment vertical="center"/>
    </xf>
    <xf numFmtId="0" fontId="29" fillId="5" borderId="12" xfId="0" applyFont="1" applyFill="1" applyBorder="1" applyAlignment="1">
      <alignment vertical="center"/>
    </xf>
    <xf numFmtId="0" fontId="29" fillId="5" borderId="7" xfId="0" applyFont="1" applyFill="1" applyBorder="1" applyAlignment="1">
      <alignment vertical="center"/>
    </xf>
    <xf numFmtId="0" fontId="19" fillId="5" borderId="0" xfId="0" applyFont="1" applyFill="1" applyAlignment="1">
      <alignment vertical="center"/>
    </xf>
    <xf numFmtId="0" fontId="29" fillId="5" borderId="14" xfId="0" applyFont="1" applyFill="1" applyBorder="1" applyAlignment="1">
      <alignment vertical="center"/>
    </xf>
    <xf numFmtId="0" fontId="29" fillId="5" borderId="9" xfId="0" applyFont="1" applyFill="1" applyBorder="1" applyAlignment="1">
      <alignment vertical="center"/>
    </xf>
    <xf numFmtId="0" fontId="29" fillId="5" borderId="8" xfId="0" applyFont="1" applyFill="1" applyBorder="1" applyAlignment="1">
      <alignment vertical="center"/>
    </xf>
    <xf numFmtId="0" fontId="29" fillId="5" borderId="13" xfId="0" applyFont="1" applyFill="1" applyBorder="1" applyAlignment="1">
      <alignment vertical="center"/>
    </xf>
    <xf numFmtId="0" fontId="21" fillId="8" borderId="7" xfId="0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8" fillId="8" borderId="14" xfId="0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7" fillId="5" borderId="10" xfId="0" applyFont="1" applyFill="1" applyBorder="1" applyAlignment="1">
      <alignment horizontal="center" wrapText="1"/>
    </xf>
    <xf numFmtId="0" fontId="21" fillId="8" borderId="7" xfId="0" applyFont="1" applyFill="1" applyBorder="1" applyAlignment="1">
      <alignment horizontal="center"/>
    </xf>
    <xf numFmtId="0" fontId="27" fillId="5" borderId="10" xfId="0" applyFont="1" applyFill="1" applyBorder="1" applyAlignment="1">
      <alignment horizontal="center" vertical="center"/>
    </xf>
    <xf numFmtId="0" fontId="30" fillId="5" borderId="11" xfId="0" applyFont="1" applyFill="1" applyBorder="1" applyAlignment="1">
      <alignment vertical="center"/>
    </xf>
    <xf numFmtId="0" fontId="30" fillId="5" borderId="12" xfId="0" applyFont="1" applyFill="1" applyBorder="1" applyAlignment="1">
      <alignment vertical="center"/>
    </xf>
    <xf numFmtId="0" fontId="30" fillId="5" borderId="7" xfId="0" applyFont="1" applyFill="1" applyBorder="1" applyAlignment="1">
      <alignment vertical="center"/>
    </xf>
    <xf numFmtId="0" fontId="10" fillId="5" borderId="0" xfId="0" applyFont="1" applyFill="1" applyAlignment="1">
      <alignment vertical="center"/>
    </xf>
    <xf numFmtId="0" fontId="30" fillId="5" borderId="14" xfId="0" applyFont="1" applyFill="1" applyBorder="1" applyAlignment="1">
      <alignment vertical="center"/>
    </xf>
    <xf numFmtId="0" fontId="24" fillId="5" borderId="10" xfId="0" applyFont="1" applyFill="1" applyBorder="1" applyAlignment="1">
      <alignment horizontal="center" vertical="center" wrapText="1"/>
    </xf>
    <xf numFmtId="0" fontId="24" fillId="5" borderId="11" xfId="0" applyFont="1" applyFill="1" applyBorder="1" applyAlignment="1">
      <alignment horizontal="center" vertical="center"/>
    </xf>
    <xf numFmtId="0" fontId="24" fillId="5" borderId="12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0" fontId="24" fillId="5" borderId="14" xfId="0" applyFont="1" applyFill="1" applyBorder="1" applyAlignment="1">
      <alignment horizontal="center" vertical="center"/>
    </xf>
    <xf numFmtId="0" fontId="24" fillId="5" borderId="9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4" fillId="5" borderId="13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" formatCode="#,##0"/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8252C"/>
                </a:solidFill>
                <a:latin typeface="Aptos Display"/>
                <a:ea typeface="Aptos Display"/>
                <a:cs typeface="Aptos Display"/>
              </a:defRPr>
            </a:pPr>
            <a:r>
              <a:rPr lang="en-US"/>
              <a:t>Sales Revenue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8252C"/>
              </a:solidFill>
              <a:latin typeface="Aptos Display"/>
              <a:ea typeface="Aptos Display"/>
              <a:cs typeface="Aptos Display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Graphs!$B$1:$B$13</c:f>
              <c:strCache>
                <c:ptCount val="13"/>
                <c:pt idx="0">
                  <c:v>Sales Revenuve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APRIL</c:v>
                </c:pt>
                <c:pt idx="5">
                  <c:v>MAY</c:v>
                </c:pt>
                <c:pt idx="6">
                  <c:v>JUNE </c:v>
                </c:pt>
                <c:pt idx="7">
                  <c:v>JULY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 </c:v>
                </c:pt>
                <c:pt idx="12">
                  <c:v>DEC</c:v>
                </c:pt>
              </c:strCache>
            </c:strRef>
          </c:cat>
          <c:val>
            <c:numRef>
              <c:f>Graphs!$C$1:$C$13</c:f>
              <c:numCache>
                <c:formatCode>General</c:formatCode>
                <c:ptCount val="13"/>
                <c:pt idx="1">
                  <c:v>6000</c:v>
                </c:pt>
                <c:pt idx="2" formatCode="#,##0">
                  <c:v>8000</c:v>
                </c:pt>
                <c:pt idx="3" formatCode="#,##0">
                  <c:v>11500</c:v>
                </c:pt>
                <c:pt idx="4" formatCode="#,##0">
                  <c:v>8500</c:v>
                </c:pt>
                <c:pt idx="5" formatCode="#,##0">
                  <c:v>6000</c:v>
                </c:pt>
                <c:pt idx="6" formatCode="#,##0">
                  <c:v>9200</c:v>
                </c:pt>
                <c:pt idx="7" formatCode="#,##0">
                  <c:v>7000</c:v>
                </c:pt>
                <c:pt idx="8" formatCode="#,##0">
                  <c:v>12000</c:v>
                </c:pt>
                <c:pt idx="9" formatCode="#,##0">
                  <c:v>10000</c:v>
                </c:pt>
                <c:pt idx="10" formatCode="#,##0">
                  <c:v>12500</c:v>
                </c:pt>
                <c:pt idx="11" formatCode="#,##0">
                  <c:v>15000</c:v>
                </c:pt>
                <c:pt idx="12" formatCode="#,##0">
                  <c:v>16500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292-4C27-960F-77C73275D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-27"/>
        <c:axId val="2026462728"/>
        <c:axId val="1811273224"/>
      </c:barChart>
      <c:catAx>
        <c:axId val="20264627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14C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73224"/>
        <c:crosses val="autoZero"/>
        <c:auto val="1"/>
        <c:lblAlgn val="ctr"/>
        <c:lblOffset val="100"/>
        <c:noMultiLvlLbl val="0"/>
      </c:catAx>
      <c:valAx>
        <c:axId val="181127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4384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62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Payable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Graphs!$B$30:$B$42</c:f>
              <c:strCache>
                <c:ptCount val="13"/>
                <c:pt idx="0">
                  <c:v>Acccount payable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APRIL</c:v>
                </c:pt>
                <c:pt idx="5">
                  <c:v>MAY</c:v>
                </c:pt>
                <c:pt idx="6">
                  <c:v>JUNE </c:v>
                </c:pt>
                <c:pt idx="7">
                  <c:v>JULY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 </c:v>
                </c:pt>
                <c:pt idx="12">
                  <c:v>DEC</c:v>
                </c:pt>
              </c:strCache>
            </c:strRef>
          </c:cat>
          <c:val>
            <c:numRef>
              <c:f>Graphs!$C$30:$C$42</c:f>
              <c:numCache>
                <c:formatCode>#,##0</c:formatCode>
                <c:ptCount val="13"/>
                <c:pt idx="1">
                  <c:v>120000</c:v>
                </c:pt>
                <c:pt idx="2">
                  <c:v>114100</c:v>
                </c:pt>
                <c:pt idx="3">
                  <c:v>112100</c:v>
                </c:pt>
                <c:pt idx="4">
                  <c:v>119900</c:v>
                </c:pt>
                <c:pt idx="5">
                  <c:v>125400</c:v>
                </c:pt>
                <c:pt idx="6">
                  <c:v>125600</c:v>
                </c:pt>
                <c:pt idx="7">
                  <c:v>130800</c:v>
                </c:pt>
                <c:pt idx="8">
                  <c:v>132500</c:v>
                </c:pt>
                <c:pt idx="9">
                  <c:v>132500</c:v>
                </c:pt>
                <c:pt idx="10">
                  <c:v>132500</c:v>
                </c:pt>
                <c:pt idx="11">
                  <c:v>131500</c:v>
                </c:pt>
                <c:pt idx="12">
                  <c:v>140900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6-49C3-99A5-5D5709D46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38151"/>
        <c:axId val="245640711"/>
      </c:lineChart>
      <c:catAx>
        <c:axId val="245638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40711"/>
        <c:crosses val="autoZero"/>
        <c:auto val="1"/>
        <c:lblAlgn val="ctr"/>
        <c:lblOffset val="100"/>
        <c:noMultiLvlLbl val="0"/>
      </c:catAx>
      <c:valAx>
        <c:axId val="245640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38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0</xdr:rowOff>
    </xdr:from>
    <xdr:to>
      <xdr:col>10</xdr:col>
      <xdr:colOff>514350</xdr:colOff>
      <xdr:row>15</xdr:row>
      <xdr:rowOff>19050</xdr:rowOff>
    </xdr:to>
    <xdr:graphicFrame macro="">
      <xdr:nvGraphicFramePr>
        <xdr:cNvPr id="34" name="Chart 3">
          <a:extLst>
            <a:ext uri="{FF2B5EF4-FFF2-40B4-BE49-F238E27FC236}">
              <a16:creationId xmlns:a16="http://schemas.microsoft.com/office/drawing/2014/main" id="{7641E6E0-FCD4-E3BE-7B4C-3AD83B566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28</xdr:row>
      <xdr:rowOff>171450</xdr:rowOff>
    </xdr:from>
    <xdr:to>
      <xdr:col>10</xdr:col>
      <xdr:colOff>466725</xdr:colOff>
      <xdr:row>44</xdr:row>
      <xdr:rowOff>0</xdr:rowOff>
    </xdr:to>
    <xdr:graphicFrame macro="">
      <xdr:nvGraphicFramePr>
        <xdr:cNvPr id="36" name="Chart 4">
          <a:extLst>
            <a:ext uri="{FF2B5EF4-FFF2-40B4-BE49-F238E27FC236}">
              <a16:creationId xmlns:a16="http://schemas.microsoft.com/office/drawing/2014/main" id="{CE4BC910-276D-7C7A-E9A0-EF1E37BD5F7F}"/>
            </a:ext>
            <a:ext uri="{147F2762-F138-4A5C-976F-8EAC2B608ADB}">
              <a16:predDERef xmlns:a16="http://schemas.microsoft.com/office/drawing/2014/main" pred="{7641E6E0-FCD4-E3BE-7B4C-3AD83B566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F6057-7495-4312-A66F-AE9FAA6A4D3B}" name="Table1" displayName="Table1" ref="C8:E41" totalsRowShown="0" headerRowDxfId="4" headerRowBorderDxfId="2" tableBorderDxfId="3">
  <autoFilter ref="C8:E41" xr:uid="{DE4F6057-7495-4312-A66F-AE9FAA6A4D3B}"/>
  <tableColumns count="3">
    <tableColumn id="1" xr3:uid="{ABEDA174-CA92-4891-B9CE-E7E43A9D881C}" name="ACCOUNT TITTLE" dataDxfId="1"/>
    <tableColumn id="2" xr3:uid="{BC307791-49CA-4916-A7F8-6BEE9B52E436}" name="DEBIT"/>
    <tableColumn id="3" xr3:uid="{59D52C02-EC0B-4ABD-B347-6634B0EABB95}" name="CREDI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C1:M1003"/>
  <sheetViews>
    <sheetView workbookViewId="0">
      <selection activeCell="D1" sqref="C1:D6"/>
    </sheetView>
  </sheetViews>
  <sheetFormatPr defaultColWidth="12.625" defaultRowHeight="15" customHeight="1"/>
  <cols>
    <col min="1" max="2" width="8" customWidth="1"/>
    <col min="3" max="3" width="9.5" customWidth="1"/>
    <col min="4" max="4" width="119.75" customWidth="1"/>
    <col min="5" max="26" width="8" customWidth="1"/>
  </cols>
  <sheetData>
    <row r="1" spans="3:13" ht="15" customHeight="1">
      <c r="C1" s="236" t="s">
        <v>0</v>
      </c>
      <c r="D1" s="237"/>
    </row>
    <row r="2" spans="3:13" ht="15" customHeight="1">
      <c r="C2" s="237"/>
      <c r="D2" s="237"/>
    </row>
    <row r="3" spans="3:13">
      <c r="C3" s="237"/>
      <c r="D3" s="237"/>
      <c r="E3" s="1"/>
      <c r="F3" s="1"/>
      <c r="G3" s="1"/>
      <c r="H3" s="1"/>
      <c r="I3" s="1"/>
      <c r="J3" s="1"/>
      <c r="K3" s="1"/>
      <c r="L3" s="1"/>
      <c r="M3" s="1"/>
    </row>
    <row r="4" spans="3:13">
      <c r="C4" s="237"/>
      <c r="D4" s="237"/>
      <c r="E4" s="1"/>
      <c r="F4" s="1"/>
      <c r="G4" s="1"/>
      <c r="H4" s="1"/>
      <c r="I4" s="1"/>
      <c r="J4" s="1"/>
      <c r="K4" s="1"/>
      <c r="L4" s="1"/>
      <c r="M4" s="1"/>
    </row>
    <row r="5" spans="3:13">
      <c r="C5" s="237"/>
      <c r="D5" s="237"/>
      <c r="E5" s="1"/>
      <c r="F5" s="1"/>
      <c r="G5" s="1"/>
      <c r="H5" s="1"/>
      <c r="I5" s="1"/>
      <c r="J5" s="1"/>
      <c r="K5" s="1"/>
      <c r="L5" s="1"/>
      <c r="M5" s="1"/>
    </row>
    <row r="6" spans="3:13">
      <c r="C6" s="237"/>
      <c r="D6" s="237"/>
      <c r="E6" s="1"/>
      <c r="F6" s="1"/>
      <c r="G6" s="1"/>
      <c r="H6" s="1"/>
      <c r="I6" s="1"/>
      <c r="J6" s="1"/>
      <c r="K6" s="1"/>
      <c r="L6" s="1"/>
      <c r="M6" s="1"/>
    </row>
    <row r="7" spans="3:13">
      <c r="C7" s="2"/>
    </row>
    <row r="8" spans="3:13">
      <c r="C8" s="3" t="s">
        <v>1</v>
      </c>
      <c r="D8" s="3"/>
    </row>
    <row r="9" spans="3:13">
      <c r="C9" s="4">
        <v>1</v>
      </c>
      <c r="D9" s="5" t="s">
        <v>2</v>
      </c>
    </row>
    <row r="10" spans="3:13">
      <c r="C10" s="4">
        <v>3</v>
      </c>
      <c r="D10" s="5" t="s">
        <v>3</v>
      </c>
    </row>
    <row r="11" spans="3:13">
      <c r="C11" s="4">
        <v>5</v>
      </c>
      <c r="D11" s="5" t="s">
        <v>4</v>
      </c>
    </row>
    <row r="12" spans="3:13">
      <c r="C12" s="4">
        <v>8</v>
      </c>
      <c r="D12" s="3" t="s">
        <v>5</v>
      </c>
    </row>
    <row r="13" spans="3:13">
      <c r="C13" s="4">
        <v>10</v>
      </c>
      <c r="D13" s="3" t="s">
        <v>6</v>
      </c>
    </row>
    <row r="14" spans="3:13">
      <c r="C14" s="4">
        <v>12</v>
      </c>
      <c r="D14" s="5" t="s">
        <v>7</v>
      </c>
    </row>
    <row r="15" spans="3:13">
      <c r="C15" s="4">
        <v>15</v>
      </c>
      <c r="D15" s="3" t="s">
        <v>8</v>
      </c>
    </row>
    <row r="16" spans="3:13">
      <c r="C16" s="4">
        <v>20</v>
      </c>
      <c r="D16" s="5" t="s">
        <v>9</v>
      </c>
    </row>
    <row r="17" spans="3:4">
      <c r="C17" s="4">
        <v>22</v>
      </c>
      <c r="D17" s="3" t="s">
        <v>10</v>
      </c>
    </row>
    <row r="18" spans="3:4">
      <c r="C18" s="4">
        <v>25</v>
      </c>
      <c r="D18" s="5" t="s">
        <v>11</v>
      </c>
    </row>
    <row r="19" spans="3:4">
      <c r="C19" s="4">
        <v>28</v>
      </c>
      <c r="D19" s="3" t="s">
        <v>12</v>
      </c>
    </row>
    <row r="20" spans="3:4">
      <c r="C20" s="4">
        <v>30</v>
      </c>
      <c r="D20" s="3" t="s">
        <v>13</v>
      </c>
    </row>
    <row r="21" spans="3:4">
      <c r="C21" s="3"/>
      <c r="D21" s="3"/>
    </row>
    <row r="22" spans="3:4">
      <c r="C22" s="3" t="s">
        <v>14</v>
      </c>
      <c r="D22" s="3"/>
    </row>
    <row r="23" spans="3:4" ht="15.75" customHeight="1">
      <c r="C23" s="3">
        <v>1</v>
      </c>
      <c r="D23" s="3" t="s">
        <v>15</v>
      </c>
    </row>
    <row r="24" spans="3:4" ht="15.75" customHeight="1">
      <c r="C24" s="3">
        <v>3</v>
      </c>
      <c r="D24" s="3" t="s">
        <v>16</v>
      </c>
    </row>
    <row r="25" spans="3:4" ht="15.75" customHeight="1">
      <c r="C25" s="3">
        <v>6</v>
      </c>
      <c r="D25" s="3" t="s">
        <v>17</v>
      </c>
    </row>
    <row r="26" spans="3:4" ht="15.75" customHeight="1">
      <c r="C26" s="3">
        <v>10</v>
      </c>
      <c r="D26" s="3" t="s">
        <v>18</v>
      </c>
    </row>
    <row r="27" spans="3:4" ht="15.75" customHeight="1">
      <c r="C27" s="3">
        <v>12</v>
      </c>
      <c r="D27" s="3" t="s">
        <v>19</v>
      </c>
    </row>
    <row r="28" spans="3:4" ht="15.75" customHeight="1">
      <c r="C28" s="3">
        <v>20</v>
      </c>
      <c r="D28" s="3" t="s">
        <v>20</v>
      </c>
    </row>
    <row r="29" spans="3:4" ht="15.75" customHeight="1">
      <c r="C29" s="3">
        <v>23</v>
      </c>
      <c r="D29" s="3" t="s">
        <v>21</v>
      </c>
    </row>
    <row r="30" spans="3:4" ht="15.75" customHeight="1">
      <c r="C30" s="3">
        <v>26</v>
      </c>
      <c r="D30" s="3" t="s">
        <v>22</v>
      </c>
    </row>
    <row r="31" spans="3:4" ht="15.75" customHeight="1">
      <c r="C31" s="3">
        <v>28</v>
      </c>
      <c r="D31" s="3" t="s">
        <v>23</v>
      </c>
    </row>
    <row r="32" spans="3:4" ht="15.75" customHeight="1">
      <c r="C32" s="3"/>
      <c r="D32" s="3"/>
    </row>
    <row r="33" spans="3:4" ht="15.75" customHeight="1">
      <c r="C33" s="6" t="s">
        <v>24</v>
      </c>
      <c r="D33" s="3"/>
    </row>
    <row r="34" spans="3:4" ht="15.75" customHeight="1">
      <c r="C34" s="3">
        <v>2</v>
      </c>
      <c r="D34" s="3" t="s">
        <v>25</v>
      </c>
    </row>
    <row r="35" spans="3:4" ht="15.75" customHeight="1">
      <c r="C35" s="3">
        <v>5</v>
      </c>
      <c r="D35" s="3" t="s">
        <v>26</v>
      </c>
    </row>
    <row r="36" spans="3:4" ht="15.75" customHeight="1">
      <c r="C36" s="3">
        <v>7</v>
      </c>
      <c r="D36" s="3" t="s">
        <v>27</v>
      </c>
    </row>
    <row r="37" spans="3:4" ht="15.75" customHeight="1">
      <c r="C37" s="3">
        <v>10</v>
      </c>
      <c r="D37" s="3" t="s">
        <v>28</v>
      </c>
    </row>
    <row r="38" spans="3:4" ht="15.75" customHeight="1">
      <c r="C38" s="3">
        <v>12</v>
      </c>
      <c r="D38" s="3" t="s">
        <v>29</v>
      </c>
    </row>
    <row r="39" spans="3:4" ht="15.75" customHeight="1">
      <c r="C39" s="3">
        <v>15</v>
      </c>
      <c r="D39" s="7" t="s">
        <v>30</v>
      </c>
    </row>
    <row r="40" spans="3:4" ht="15.75" customHeight="1">
      <c r="C40" s="3">
        <v>18</v>
      </c>
      <c r="D40" s="7" t="s">
        <v>31</v>
      </c>
    </row>
    <row r="41" spans="3:4" ht="15.75" customHeight="1">
      <c r="C41" s="3">
        <v>20</v>
      </c>
      <c r="D41" s="3" t="s">
        <v>32</v>
      </c>
    </row>
    <row r="42" spans="3:4" ht="15.75" customHeight="1">
      <c r="C42" s="3">
        <v>24</v>
      </c>
      <c r="D42" s="3" t="s">
        <v>33</v>
      </c>
    </row>
    <row r="43" spans="3:4" ht="15.75" customHeight="1">
      <c r="C43" s="3">
        <v>27</v>
      </c>
      <c r="D43" s="3" t="s">
        <v>34</v>
      </c>
    </row>
    <row r="44" spans="3:4" ht="15.75" customHeight="1">
      <c r="C44" s="3">
        <v>31</v>
      </c>
      <c r="D44" s="3" t="s">
        <v>35</v>
      </c>
    </row>
    <row r="45" spans="3:4" ht="15.75" customHeight="1">
      <c r="C45" s="3"/>
      <c r="D45" s="3"/>
    </row>
    <row r="46" spans="3:4" ht="15.75" customHeight="1">
      <c r="C46" s="3" t="s">
        <v>36</v>
      </c>
      <c r="D46" s="3"/>
    </row>
    <row r="47" spans="3:4" ht="15.75" customHeight="1">
      <c r="C47" s="3">
        <v>3</v>
      </c>
      <c r="D47" s="3" t="s">
        <v>37</v>
      </c>
    </row>
    <row r="48" spans="3:4" ht="15.75" customHeight="1">
      <c r="C48" s="3">
        <v>6</v>
      </c>
      <c r="D48" s="3" t="s">
        <v>38</v>
      </c>
    </row>
    <row r="49" spans="3:4" ht="15.75" customHeight="1">
      <c r="C49" s="3">
        <v>10</v>
      </c>
      <c r="D49" s="3" t="s">
        <v>39</v>
      </c>
    </row>
    <row r="50" spans="3:4" ht="15.75" customHeight="1">
      <c r="C50" s="3">
        <v>12</v>
      </c>
      <c r="D50" s="3" t="s">
        <v>40</v>
      </c>
    </row>
    <row r="51" spans="3:4" ht="15.75" customHeight="1">
      <c r="C51" s="3">
        <v>16</v>
      </c>
      <c r="D51" s="3" t="s">
        <v>41</v>
      </c>
    </row>
    <row r="52" spans="3:4" ht="15.75" customHeight="1">
      <c r="C52" s="3">
        <v>20</v>
      </c>
      <c r="D52" s="3" t="s">
        <v>42</v>
      </c>
    </row>
    <row r="53" spans="3:4" ht="15.75" customHeight="1">
      <c r="C53" s="3">
        <v>20</v>
      </c>
      <c r="D53" s="3" t="s">
        <v>43</v>
      </c>
    </row>
    <row r="54" spans="3:4" ht="15.75" customHeight="1">
      <c r="C54" s="3">
        <v>23</v>
      </c>
      <c r="D54" s="3" t="s">
        <v>44</v>
      </c>
    </row>
    <row r="55" spans="3:4" ht="15.75" customHeight="1">
      <c r="C55" s="3">
        <v>25</v>
      </c>
      <c r="D55" s="3" t="s">
        <v>45</v>
      </c>
    </row>
    <row r="56" spans="3:4" ht="15.75" customHeight="1">
      <c r="C56" s="3">
        <v>27</v>
      </c>
      <c r="D56" s="3" t="s">
        <v>46</v>
      </c>
    </row>
    <row r="57" spans="3:4" ht="15.75" customHeight="1">
      <c r="C57" s="3">
        <v>30</v>
      </c>
      <c r="D57" s="3" t="s">
        <v>47</v>
      </c>
    </row>
    <row r="58" spans="3:4" ht="15.75" customHeight="1">
      <c r="C58" s="3"/>
      <c r="D58" s="3"/>
    </row>
    <row r="59" spans="3:4" ht="15.75" customHeight="1">
      <c r="C59" s="3" t="s">
        <v>48</v>
      </c>
      <c r="D59" s="3"/>
    </row>
    <row r="60" spans="3:4" ht="15.75" customHeight="1">
      <c r="C60" s="3">
        <v>2</v>
      </c>
      <c r="D60" s="3" t="s">
        <v>49</v>
      </c>
    </row>
    <row r="61" spans="3:4" ht="15.75" customHeight="1">
      <c r="C61" s="3">
        <v>4</v>
      </c>
      <c r="D61" s="3" t="s">
        <v>50</v>
      </c>
    </row>
    <row r="62" spans="3:4" ht="15.75" customHeight="1">
      <c r="C62" s="3">
        <v>7</v>
      </c>
      <c r="D62" s="3" t="s">
        <v>51</v>
      </c>
    </row>
    <row r="63" spans="3:4" ht="20.25" customHeight="1">
      <c r="C63" s="3">
        <v>9</v>
      </c>
      <c r="D63" s="3" t="s">
        <v>52</v>
      </c>
    </row>
    <row r="64" spans="3:4" ht="15.75" customHeight="1">
      <c r="C64" s="3">
        <v>12</v>
      </c>
      <c r="D64" s="3" t="s">
        <v>53</v>
      </c>
    </row>
    <row r="65" spans="3:5" ht="15.75" customHeight="1">
      <c r="C65" s="3">
        <v>15</v>
      </c>
      <c r="D65" s="3" t="s">
        <v>54</v>
      </c>
    </row>
    <row r="66" spans="3:5" ht="15.75" customHeight="1">
      <c r="C66" s="3">
        <v>18</v>
      </c>
      <c r="D66" s="3" t="s">
        <v>55</v>
      </c>
    </row>
    <row r="67" spans="3:5" ht="15.75" customHeight="1">
      <c r="C67" s="3">
        <v>21</v>
      </c>
      <c r="D67" s="3" t="s">
        <v>56</v>
      </c>
    </row>
    <row r="68" spans="3:5" ht="15.75" customHeight="1">
      <c r="C68" s="3">
        <v>25</v>
      </c>
      <c r="D68" s="3" t="s">
        <v>57</v>
      </c>
    </row>
    <row r="69" spans="3:5" ht="15.75" customHeight="1">
      <c r="C69" s="3">
        <v>28</v>
      </c>
      <c r="D69" s="3" t="s">
        <v>13</v>
      </c>
    </row>
    <row r="70" spans="3:5" ht="15.75" customHeight="1">
      <c r="C70" s="3"/>
      <c r="D70" s="3"/>
    </row>
    <row r="71" spans="3:5" ht="15.75" customHeight="1">
      <c r="C71" s="3" t="s">
        <v>58</v>
      </c>
      <c r="D71" s="3"/>
    </row>
    <row r="72" spans="3:5" ht="15.75" customHeight="1">
      <c r="C72" s="3">
        <v>1</v>
      </c>
      <c r="D72" s="3" t="s">
        <v>59</v>
      </c>
      <c r="E72" s="8"/>
    </row>
    <row r="73" spans="3:5" ht="15.75" customHeight="1">
      <c r="C73" s="3">
        <v>4</v>
      </c>
      <c r="D73" s="3" t="s">
        <v>60</v>
      </c>
    </row>
    <row r="74" spans="3:5" ht="15.75" customHeight="1">
      <c r="C74" s="3">
        <v>7</v>
      </c>
      <c r="D74" s="3" t="s">
        <v>61</v>
      </c>
    </row>
    <row r="75" spans="3:5" ht="15.75" customHeight="1">
      <c r="C75" s="3">
        <v>10</v>
      </c>
      <c r="D75" s="3" t="s">
        <v>62</v>
      </c>
    </row>
    <row r="76" spans="3:5" ht="15.75" customHeight="1">
      <c r="C76" s="3">
        <v>13</v>
      </c>
      <c r="D76" s="3" t="s">
        <v>63</v>
      </c>
    </row>
    <row r="77" spans="3:5" ht="15.75" customHeight="1">
      <c r="C77" s="3">
        <v>15</v>
      </c>
      <c r="D77" s="3" t="s">
        <v>64</v>
      </c>
    </row>
    <row r="78" spans="3:5" ht="15.75" customHeight="1">
      <c r="C78" s="3">
        <v>18</v>
      </c>
      <c r="D78" s="3" t="s">
        <v>65</v>
      </c>
    </row>
    <row r="79" spans="3:5" ht="15.75" customHeight="1">
      <c r="C79" s="3">
        <v>22</v>
      </c>
      <c r="D79" s="3" t="s">
        <v>66</v>
      </c>
    </row>
    <row r="80" spans="3:5" ht="15.75" customHeight="1">
      <c r="C80" s="3">
        <v>25</v>
      </c>
      <c r="D80" s="3" t="s">
        <v>67</v>
      </c>
    </row>
    <row r="81" spans="3:4" ht="15.75" customHeight="1">
      <c r="C81" s="3">
        <v>30</v>
      </c>
      <c r="D81" s="3" t="s">
        <v>68</v>
      </c>
    </row>
    <row r="82" spans="3:4" ht="15.75" customHeight="1">
      <c r="C82" s="3"/>
      <c r="D82" s="3"/>
    </row>
    <row r="83" spans="3:4" ht="15.75" customHeight="1">
      <c r="C83" s="3" t="s">
        <v>69</v>
      </c>
      <c r="D83" s="3"/>
    </row>
    <row r="84" spans="3:4" ht="15.75" customHeight="1">
      <c r="C84" s="3">
        <v>2</v>
      </c>
      <c r="D84" s="3" t="s">
        <v>70</v>
      </c>
    </row>
    <row r="85" spans="3:4" ht="15.75" customHeight="1">
      <c r="C85" s="3">
        <v>5</v>
      </c>
      <c r="D85" s="3" t="s">
        <v>71</v>
      </c>
    </row>
    <row r="86" spans="3:4" ht="15.75" customHeight="1">
      <c r="C86" s="3">
        <v>8</v>
      </c>
      <c r="D86" s="3" t="s">
        <v>72</v>
      </c>
    </row>
    <row r="87" spans="3:4" ht="15.75" customHeight="1">
      <c r="C87" s="3">
        <v>10</v>
      </c>
      <c r="D87" s="3" t="s">
        <v>73</v>
      </c>
    </row>
    <row r="88" spans="3:4" ht="15.75" customHeight="1">
      <c r="C88" s="3">
        <v>10</v>
      </c>
      <c r="D88" s="3" t="s">
        <v>74</v>
      </c>
    </row>
    <row r="89" spans="3:4" ht="15.75" customHeight="1">
      <c r="C89" s="3">
        <v>15</v>
      </c>
      <c r="D89" s="3" t="s">
        <v>75</v>
      </c>
    </row>
    <row r="90" spans="3:4" ht="15.75" customHeight="1">
      <c r="C90" s="3">
        <v>18</v>
      </c>
      <c r="D90" s="3" t="s">
        <v>76</v>
      </c>
    </row>
    <row r="91" spans="3:4" ht="15.75" customHeight="1">
      <c r="C91" s="3">
        <v>20</v>
      </c>
      <c r="D91" s="3" t="s">
        <v>77</v>
      </c>
    </row>
    <row r="92" spans="3:4" ht="15.75" customHeight="1">
      <c r="C92" s="3">
        <v>25</v>
      </c>
      <c r="D92" s="3" t="s">
        <v>78</v>
      </c>
    </row>
    <row r="93" spans="3:4" ht="15.75" customHeight="1">
      <c r="C93" s="3">
        <v>27</v>
      </c>
      <c r="D93" s="3" t="s">
        <v>79</v>
      </c>
    </row>
    <row r="94" spans="3:4" ht="15.75" customHeight="1">
      <c r="C94" s="3">
        <v>30</v>
      </c>
      <c r="D94" s="3" t="s">
        <v>44</v>
      </c>
    </row>
    <row r="95" spans="3:4" ht="15.75" customHeight="1">
      <c r="C95" s="3"/>
      <c r="D95" s="3"/>
    </row>
    <row r="96" spans="3:4" ht="15.75" customHeight="1">
      <c r="C96" s="3" t="s">
        <v>80</v>
      </c>
      <c r="D96" s="3"/>
    </row>
    <row r="97" spans="3:4" ht="15.75" customHeight="1">
      <c r="C97" s="3">
        <v>2</v>
      </c>
      <c r="D97" s="3" t="s">
        <v>81</v>
      </c>
    </row>
    <row r="98" spans="3:4" ht="15.75" customHeight="1">
      <c r="C98" s="3">
        <v>5</v>
      </c>
      <c r="D98" s="3" t="s">
        <v>82</v>
      </c>
    </row>
    <row r="99" spans="3:4" ht="15.75" customHeight="1">
      <c r="C99" s="3">
        <v>8</v>
      </c>
      <c r="D99" s="3" t="s">
        <v>83</v>
      </c>
    </row>
    <row r="100" spans="3:4" ht="15.75" customHeight="1">
      <c r="C100" s="3">
        <v>10</v>
      </c>
      <c r="D100" s="3" t="s">
        <v>84</v>
      </c>
    </row>
    <row r="101" spans="3:4" ht="15.75" customHeight="1">
      <c r="C101" s="3">
        <v>12</v>
      </c>
      <c r="D101" s="3" t="s">
        <v>85</v>
      </c>
    </row>
    <row r="102" spans="3:4" ht="15.75" customHeight="1">
      <c r="C102" s="3">
        <v>15</v>
      </c>
      <c r="D102" s="3" t="s">
        <v>86</v>
      </c>
    </row>
    <row r="103" spans="3:4" ht="15.75" customHeight="1">
      <c r="C103" s="3">
        <v>20</v>
      </c>
      <c r="D103" s="3" t="s">
        <v>87</v>
      </c>
    </row>
    <row r="104" spans="3:4" ht="15.75" customHeight="1">
      <c r="C104" s="3">
        <v>27</v>
      </c>
      <c r="D104" s="3" t="s">
        <v>88</v>
      </c>
    </row>
    <row r="105" spans="3:4" ht="15.75" customHeight="1">
      <c r="C105" s="3">
        <v>30</v>
      </c>
      <c r="D105" s="3" t="s">
        <v>89</v>
      </c>
    </row>
    <row r="106" spans="3:4" ht="15.75" customHeight="1">
      <c r="C106" s="3"/>
      <c r="D106" s="3"/>
    </row>
    <row r="107" spans="3:4" ht="15.75" customHeight="1">
      <c r="C107" s="3" t="s">
        <v>90</v>
      </c>
      <c r="D107" s="3"/>
    </row>
    <row r="108" spans="3:4" ht="15.75" customHeight="1">
      <c r="C108" s="3">
        <v>3</v>
      </c>
      <c r="D108" s="3" t="s">
        <v>91</v>
      </c>
    </row>
    <row r="109" spans="3:4" ht="15.75" customHeight="1">
      <c r="C109" s="3">
        <v>5</v>
      </c>
      <c r="D109" s="3" t="s">
        <v>92</v>
      </c>
    </row>
    <row r="110" spans="3:4" ht="15.75" customHeight="1">
      <c r="C110" s="3">
        <v>10</v>
      </c>
      <c r="D110" s="3" t="s">
        <v>93</v>
      </c>
    </row>
    <row r="111" spans="3:4" ht="15.75" customHeight="1">
      <c r="C111" s="3">
        <v>12</v>
      </c>
      <c r="D111" s="3" t="s">
        <v>94</v>
      </c>
    </row>
    <row r="112" spans="3:4" ht="15.75" customHeight="1">
      <c r="C112" s="3">
        <v>15</v>
      </c>
      <c r="D112" s="3" t="s">
        <v>95</v>
      </c>
    </row>
    <row r="113" spans="3:4" ht="15.75" customHeight="1">
      <c r="C113" s="3">
        <v>18</v>
      </c>
      <c r="D113" s="3" t="s">
        <v>96</v>
      </c>
    </row>
    <row r="114" spans="3:4" ht="15.75" customHeight="1">
      <c r="C114" s="3">
        <v>22</v>
      </c>
      <c r="D114" s="3" t="s">
        <v>97</v>
      </c>
    </row>
    <row r="115" spans="3:4" ht="15.75" customHeight="1">
      <c r="C115" s="3">
        <v>25</v>
      </c>
      <c r="D115" s="3" t="s">
        <v>98</v>
      </c>
    </row>
    <row r="116" spans="3:4" ht="15.75" customHeight="1">
      <c r="C116" s="3">
        <v>30</v>
      </c>
      <c r="D116" s="3" t="s">
        <v>99</v>
      </c>
    </row>
    <row r="117" spans="3:4" ht="15.75" customHeight="1">
      <c r="C117" s="3"/>
      <c r="D117" s="3"/>
    </row>
    <row r="118" spans="3:4" ht="15.75" customHeight="1">
      <c r="C118" s="3" t="s">
        <v>100</v>
      </c>
      <c r="D118" s="3"/>
    </row>
    <row r="119" spans="3:4" ht="15.75" customHeight="1">
      <c r="C119" s="3">
        <v>1</v>
      </c>
      <c r="D119" s="3" t="s">
        <v>101</v>
      </c>
    </row>
    <row r="120" spans="3:4" ht="15.75" customHeight="1">
      <c r="C120" s="3">
        <v>5</v>
      </c>
      <c r="D120" s="3" t="s">
        <v>102</v>
      </c>
    </row>
    <row r="121" spans="3:4" ht="15.75" customHeight="1">
      <c r="C121" s="3">
        <v>10</v>
      </c>
      <c r="D121" s="3" t="s">
        <v>103</v>
      </c>
    </row>
    <row r="122" spans="3:4" ht="15.75" customHeight="1">
      <c r="C122" s="3">
        <v>12</v>
      </c>
      <c r="D122" s="3" t="s">
        <v>104</v>
      </c>
    </row>
    <row r="123" spans="3:4" ht="15.75" customHeight="1">
      <c r="C123" s="3">
        <v>15</v>
      </c>
      <c r="D123" s="3" t="s">
        <v>105</v>
      </c>
    </row>
    <row r="124" spans="3:4" ht="15.75" customHeight="1">
      <c r="C124" s="3">
        <v>20</v>
      </c>
      <c r="D124" s="3" t="s">
        <v>106</v>
      </c>
    </row>
    <row r="125" spans="3:4" ht="15.75" customHeight="1">
      <c r="C125" s="3">
        <v>25</v>
      </c>
      <c r="D125" s="3" t="s">
        <v>107</v>
      </c>
    </row>
    <row r="126" spans="3:4" ht="15.75" customHeight="1">
      <c r="C126" s="3">
        <v>28</v>
      </c>
      <c r="D126" s="3" t="s">
        <v>108</v>
      </c>
    </row>
    <row r="127" spans="3:4" ht="15.75" customHeight="1">
      <c r="C127" s="3">
        <v>28</v>
      </c>
      <c r="D127" s="3" t="s">
        <v>109</v>
      </c>
    </row>
    <row r="128" spans="3:4" ht="15.75" customHeight="1">
      <c r="C128" s="3">
        <v>30</v>
      </c>
      <c r="D128" s="3" t="s">
        <v>110</v>
      </c>
    </row>
    <row r="129" spans="3:4" ht="15.75" customHeight="1">
      <c r="C129" s="3">
        <v>31</v>
      </c>
      <c r="D129" s="3" t="s">
        <v>111</v>
      </c>
    </row>
    <row r="130" spans="3:4" ht="15.75" customHeight="1">
      <c r="C130" s="3"/>
      <c r="D130" s="3"/>
    </row>
    <row r="131" spans="3:4" ht="15.75" customHeight="1">
      <c r="C131" s="3" t="s">
        <v>112</v>
      </c>
      <c r="D131" s="3"/>
    </row>
    <row r="132" spans="3:4" ht="15.75" customHeight="1">
      <c r="C132" s="3">
        <v>2</v>
      </c>
      <c r="D132" s="3" t="s">
        <v>113</v>
      </c>
    </row>
    <row r="133" spans="3:4" ht="15.75" customHeight="1">
      <c r="C133" s="3">
        <v>5</v>
      </c>
      <c r="D133" s="3" t="s">
        <v>114</v>
      </c>
    </row>
    <row r="134" spans="3:4" ht="15.75" customHeight="1">
      <c r="C134" s="3">
        <v>8</v>
      </c>
      <c r="D134" s="3" t="s">
        <v>115</v>
      </c>
    </row>
    <row r="135" spans="3:4" ht="15.75" customHeight="1">
      <c r="C135" s="3">
        <v>10</v>
      </c>
      <c r="D135" s="3" t="s">
        <v>116</v>
      </c>
    </row>
    <row r="136" spans="3:4" ht="15.75" customHeight="1">
      <c r="C136" s="3">
        <v>12</v>
      </c>
      <c r="D136" s="3" t="s">
        <v>117</v>
      </c>
    </row>
    <row r="137" spans="3:4" ht="15.75" customHeight="1">
      <c r="C137" s="3">
        <v>15</v>
      </c>
      <c r="D137" s="3" t="s">
        <v>73</v>
      </c>
    </row>
    <row r="138" spans="3:4" ht="15.75" customHeight="1">
      <c r="C138" s="3">
        <v>18</v>
      </c>
      <c r="D138" s="3" t="s">
        <v>118</v>
      </c>
    </row>
    <row r="139" spans="3:4" ht="15.75" customHeight="1">
      <c r="C139" s="3">
        <v>22</v>
      </c>
      <c r="D139" s="3" t="s">
        <v>119</v>
      </c>
    </row>
    <row r="140" spans="3:4" ht="15.75" customHeight="1">
      <c r="C140" s="3">
        <v>25</v>
      </c>
      <c r="D140" s="3" t="s">
        <v>120</v>
      </c>
    </row>
    <row r="141" spans="3:4" ht="15.75" customHeight="1">
      <c r="C141" s="3">
        <v>30</v>
      </c>
      <c r="D141" s="3" t="s">
        <v>121</v>
      </c>
    </row>
    <row r="142" spans="3:4" ht="15.75" customHeight="1">
      <c r="C142" s="3"/>
      <c r="D142" s="3"/>
    </row>
    <row r="143" spans="3:4" ht="15.75" customHeight="1">
      <c r="C143" s="3" t="s">
        <v>122</v>
      </c>
      <c r="D143" s="3"/>
    </row>
    <row r="144" spans="3:4" ht="15.75" customHeight="1">
      <c r="C144" s="3">
        <v>1</v>
      </c>
      <c r="D144" s="3" t="s">
        <v>123</v>
      </c>
    </row>
    <row r="145" spans="3:4" ht="15.75" customHeight="1">
      <c r="C145" s="3">
        <v>4</v>
      </c>
      <c r="D145" s="3" t="s">
        <v>124</v>
      </c>
    </row>
    <row r="146" spans="3:4" ht="15.75" customHeight="1">
      <c r="C146" s="3">
        <v>6</v>
      </c>
      <c r="D146" s="3" t="s">
        <v>125</v>
      </c>
    </row>
    <row r="147" spans="3:4" ht="15.75" customHeight="1">
      <c r="C147" s="3">
        <v>10</v>
      </c>
      <c r="D147" s="3" t="s">
        <v>126</v>
      </c>
    </row>
    <row r="148" spans="3:4" ht="15.75" customHeight="1">
      <c r="C148" s="3">
        <v>12</v>
      </c>
      <c r="D148" s="3" t="s">
        <v>127</v>
      </c>
    </row>
    <row r="149" spans="3:4" ht="15.75" customHeight="1">
      <c r="C149" s="3">
        <v>15</v>
      </c>
      <c r="D149" s="3" t="s">
        <v>128</v>
      </c>
    </row>
    <row r="150" spans="3:4" ht="15.75" customHeight="1">
      <c r="C150" s="3">
        <v>15</v>
      </c>
      <c r="D150" s="3" t="s">
        <v>129</v>
      </c>
    </row>
    <row r="151" spans="3:4" ht="15.75" customHeight="1">
      <c r="C151" s="3">
        <v>18</v>
      </c>
      <c r="D151" s="3" t="s">
        <v>27</v>
      </c>
    </row>
    <row r="152" spans="3:4" ht="15.75" customHeight="1">
      <c r="C152" s="3">
        <v>22</v>
      </c>
      <c r="D152" s="3" t="s">
        <v>130</v>
      </c>
    </row>
    <row r="153" spans="3:4" ht="15.75" customHeight="1">
      <c r="C153" s="3">
        <v>25</v>
      </c>
      <c r="D153" s="3" t="s">
        <v>131</v>
      </c>
    </row>
    <row r="154" spans="3:4" ht="15.75" customHeight="1">
      <c r="C154" s="3">
        <v>30</v>
      </c>
      <c r="D154" s="3" t="s">
        <v>132</v>
      </c>
    </row>
    <row r="155" spans="3:4" ht="15.75" customHeight="1">
      <c r="C155" s="1"/>
      <c r="D155" s="9"/>
    </row>
    <row r="156" spans="3:4" ht="15.75" customHeight="1">
      <c r="D156" s="234" t="s">
        <v>133</v>
      </c>
    </row>
    <row r="157" spans="3:4" ht="15.75" customHeight="1">
      <c r="D157" t="s">
        <v>134</v>
      </c>
    </row>
    <row r="158" spans="3:4" ht="15.75" customHeight="1">
      <c r="D158" t="s">
        <v>135</v>
      </c>
    </row>
    <row r="159" spans="3:4" ht="15.75" customHeight="1">
      <c r="D159" t="s">
        <v>136</v>
      </c>
    </row>
    <row r="160" spans="3:4" ht="15.75" customHeight="1">
      <c r="D160" t="s">
        <v>137</v>
      </c>
    </row>
    <row r="161" spans="4:4" ht="15.75" customHeight="1">
      <c r="D161" t="s">
        <v>138</v>
      </c>
    </row>
    <row r="162" spans="4:4" ht="15.75" customHeight="1">
      <c r="D162" t="s">
        <v>139</v>
      </c>
    </row>
    <row r="163" spans="4:4" ht="15.75" customHeight="1">
      <c r="D163" t="s">
        <v>140</v>
      </c>
    </row>
    <row r="164" spans="4:4" ht="15.75" customHeight="1">
      <c r="D164" t="s">
        <v>141</v>
      </c>
    </row>
    <row r="165" spans="4:4" ht="15.75" customHeight="1">
      <c r="D165" t="s">
        <v>142</v>
      </c>
    </row>
    <row r="166" spans="4:4" ht="15.75" customHeight="1">
      <c r="D166" t="s">
        <v>143</v>
      </c>
    </row>
    <row r="167" spans="4:4" ht="15.75" customHeight="1">
      <c r="D167" t="s">
        <v>144</v>
      </c>
    </row>
    <row r="168" spans="4:4" ht="15.75" customHeight="1">
      <c r="D168" t="s">
        <v>145</v>
      </c>
    </row>
    <row r="169" spans="4:4" ht="15.75" customHeight="1">
      <c r="D169" t="s">
        <v>146</v>
      </c>
    </row>
    <row r="170" spans="4:4" ht="15.75" customHeight="1"/>
    <row r="171" spans="4:4" ht="15.75" customHeight="1"/>
    <row r="172" spans="4:4" ht="15.75" customHeight="1"/>
    <row r="173" spans="4:4" ht="15.75" customHeight="1"/>
    <row r="174" spans="4:4" ht="15.75" customHeight="1"/>
    <row r="175" spans="4:4" ht="15.75" customHeight="1"/>
    <row r="176" spans="4:4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">
    <mergeCell ref="C1:D6"/>
  </mergeCells>
  <pageMargins left="0.75" right="0.75" top="1" bottom="1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2:H44"/>
  <sheetViews>
    <sheetView topLeftCell="A5" workbookViewId="0">
      <selection activeCell="D8" sqref="D8"/>
    </sheetView>
  </sheetViews>
  <sheetFormatPr defaultColWidth="12.625" defaultRowHeight="15" customHeight="1"/>
  <cols>
    <col min="2" max="2" width="14" customWidth="1"/>
    <col min="3" max="3" width="34.625" customWidth="1"/>
    <col min="4" max="4" width="8.375" customWidth="1"/>
  </cols>
  <sheetData>
    <row r="2" spans="2:8" ht="15" customHeight="1">
      <c r="B2" s="59"/>
      <c r="C2" s="59"/>
      <c r="D2" s="59"/>
      <c r="E2" s="59"/>
      <c r="F2" s="59"/>
      <c r="G2" s="59"/>
    </row>
    <row r="3" spans="2:8" ht="14.25" customHeight="1">
      <c r="B3" s="285" t="s">
        <v>533</v>
      </c>
      <c r="C3" s="286"/>
      <c r="D3" s="286"/>
      <c r="E3" s="286"/>
      <c r="F3" s="287"/>
      <c r="G3" s="59"/>
    </row>
    <row r="4" spans="2:8" ht="14.25" customHeight="1">
      <c r="B4" s="288"/>
      <c r="C4" s="289"/>
      <c r="D4" s="289"/>
      <c r="E4" s="289"/>
      <c r="F4" s="290"/>
      <c r="G4" s="59"/>
      <c r="H4" s="59"/>
    </row>
    <row r="5" spans="2:8" ht="23.25" customHeight="1">
      <c r="B5" s="202" t="s">
        <v>534</v>
      </c>
      <c r="C5" s="202" t="s">
        <v>329</v>
      </c>
      <c r="D5" s="202" t="s">
        <v>535</v>
      </c>
      <c r="E5" s="202" t="s">
        <v>536</v>
      </c>
      <c r="F5" s="202" t="s">
        <v>537</v>
      </c>
      <c r="G5" s="59"/>
      <c r="H5" s="59"/>
    </row>
    <row r="6" spans="2:8" ht="15" customHeight="1">
      <c r="B6" s="154"/>
      <c r="C6" s="155"/>
      <c r="D6" s="155"/>
      <c r="E6" s="155"/>
      <c r="F6" s="156"/>
      <c r="G6" s="59"/>
      <c r="H6" s="59"/>
    </row>
    <row r="7" spans="2:8" ht="19.5" customHeight="1">
      <c r="B7" s="157">
        <v>45291</v>
      </c>
      <c r="C7" s="158" t="s">
        <v>230</v>
      </c>
      <c r="D7" s="155"/>
      <c r="E7" s="235">
        <v>122200</v>
      </c>
      <c r="F7" s="156"/>
      <c r="G7" s="59"/>
      <c r="H7" s="59"/>
    </row>
    <row r="8" spans="2:8" ht="14.25">
      <c r="B8" s="154"/>
      <c r="C8" s="155" t="s">
        <v>538</v>
      </c>
      <c r="D8" s="155"/>
      <c r="E8" s="155"/>
      <c r="F8" s="159">
        <v>122200</v>
      </c>
      <c r="G8" s="59"/>
      <c r="H8" s="59"/>
    </row>
    <row r="9" spans="2:8" ht="14.25">
      <c r="B9" s="154"/>
      <c r="C9" s="155"/>
      <c r="D9" s="155"/>
      <c r="E9" s="155"/>
      <c r="F9" s="156"/>
      <c r="G9" s="59"/>
      <c r="H9" s="59"/>
    </row>
    <row r="10" spans="2:8" ht="14.25">
      <c r="B10" s="157">
        <v>45291</v>
      </c>
      <c r="C10" s="158" t="s">
        <v>539</v>
      </c>
      <c r="D10" s="155"/>
      <c r="E10" s="162">
        <f>SUM(F11:F26)</f>
        <v>179484</v>
      </c>
      <c r="F10" s="163"/>
      <c r="G10" s="59"/>
      <c r="H10" s="59"/>
    </row>
    <row r="11" spans="2:8" ht="14.25">
      <c r="B11" s="154"/>
      <c r="C11" s="158" t="s">
        <v>540</v>
      </c>
      <c r="D11" s="155"/>
      <c r="E11" s="162"/>
      <c r="F11" s="163">
        <v>2600</v>
      </c>
      <c r="G11" s="59"/>
      <c r="H11" s="59"/>
    </row>
    <row r="12" spans="2:8" ht="14.25">
      <c r="B12" s="154"/>
      <c r="C12" s="158" t="s">
        <v>541</v>
      </c>
      <c r="D12" s="155"/>
      <c r="E12" s="162"/>
      <c r="F12" s="163">
        <v>1258</v>
      </c>
      <c r="G12" s="59"/>
      <c r="H12" s="59"/>
    </row>
    <row r="13" spans="2:8" ht="14.25">
      <c r="B13" s="154"/>
      <c r="C13" s="158" t="s">
        <v>542</v>
      </c>
      <c r="D13" s="155"/>
      <c r="E13" s="162"/>
      <c r="F13" s="163">
        <v>100200</v>
      </c>
      <c r="G13" s="59"/>
      <c r="H13" s="59"/>
    </row>
    <row r="14" spans="2:8" ht="14.25">
      <c r="B14" s="154"/>
      <c r="C14" s="158" t="s">
        <v>468</v>
      </c>
      <c r="D14" s="155"/>
      <c r="E14" s="162"/>
      <c r="F14" s="163">
        <v>9500</v>
      </c>
      <c r="G14" s="59"/>
      <c r="H14" s="59"/>
    </row>
    <row r="15" spans="2:8" ht="14.25">
      <c r="B15" s="154"/>
      <c r="C15" s="158" t="s">
        <v>469</v>
      </c>
      <c r="D15" s="155"/>
      <c r="E15" s="162"/>
      <c r="F15" s="163">
        <v>10600</v>
      </c>
      <c r="G15" s="59"/>
      <c r="H15" s="59"/>
    </row>
    <row r="16" spans="2:8" ht="14.25">
      <c r="B16" s="154"/>
      <c r="C16" s="158" t="s">
        <v>543</v>
      </c>
      <c r="D16" s="155"/>
      <c r="E16" s="162"/>
      <c r="F16" s="163">
        <v>10400</v>
      </c>
      <c r="G16" s="59"/>
      <c r="H16" s="59"/>
    </row>
    <row r="17" spans="2:8" ht="14.25">
      <c r="B17" s="154"/>
      <c r="C17" s="158" t="s">
        <v>471</v>
      </c>
      <c r="D17" s="155"/>
      <c r="E17" s="162"/>
      <c r="F17" s="163">
        <v>550</v>
      </c>
      <c r="G17" s="59"/>
      <c r="H17" s="59"/>
    </row>
    <row r="18" spans="2:8" ht="14.25">
      <c r="B18" s="154"/>
      <c r="C18" s="158" t="s">
        <v>472</v>
      </c>
      <c r="D18" s="155"/>
      <c r="E18" s="162"/>
      <c r="F18" s="163">
        <v>26000</v>
      </c>
      <c r="G18" s="59"/>
      <c r="H18" s="59"/>
    </row>
    <row r="19" spans="2:8" ht="14.25">
      <c r="B19" s="154"/>
      <c r="C19" s="158" t="s">
        <v>544</v>
      </c>
      <c r="D19" s="155"/>
      <c r="E19" s="162"/>
      <c r="F19" s="163">
        <v>5000</v>
      </c>
      <c r="G19" s="59"/>
      <c r="H19" s="59"/>
    </row>
    <row r="20" spans="2:8" ht="14.25">
      <c r="B20" s="154"/>
      <c r="C20" s="158" t="s">
        <v>475</v>
      </c>
      <c r="D20" s="155"/>
      <c r="E20" s="162"/>
      <c r="F20" s="163">
        <v>1200</v>
      </c>
      <c r="G20" s="59"/>
      <c r="H20" s="59"/>
    </row>
    <row r="21" spans="2:8" ht="14.25">
      <c r="B21" s="154"/>
      <c r="C21" s="158" t="s">
        <v>477</v>
      </c>
      <c r="D21" s="155"/>
      <c r="E21" s="162"/>
      <c r="F21" s="163">
        <v>3800</v>
      </c>
      <c r="G21" s="59"/>
      <c r="H21" s="59"/>
    </row>
    <row r="22" spans="2:8" ht="14.25">
      <c r="B22" s="154"/>
      <c r="C22" s="158" t="s">
        <v>545</v>
      </c>
      <c r="D22" s="155"/>
      <c r="E22" s="162"/>
      <c r="F22" s="163">
        <v>3500</v>
      </c>
      <c r="G22" s="59"/>
      <c r="H22" s="59"/>
    </row>
    <row r="23" spans="2:8" ht="14.25">
      <c r="B23" s="154"/>
      <c r="C23" s="158" t="s">
        <v>546</v>
      </c>
      <c r="D23" s="155"/>
      <c r="E23" s="162"/>
      <c r="F23" s="163">
        <v>1200</v>
      </c>
      <c r="G23" s="59"/>
      <c r="H23" s="59"/>
    </row>
    <row r="24" spans="2:8" ht="14.25">
      <c r="B24" s="154"/>
      <c r="C24" s="158" t="s">
        <v>547</v>
      </c>
      <c r="D24" s="155"/>
      <c r="E24" s="162"/>
      <c r="F24" s="163">
        <v>2500</v>
      </c>
      <c r="G24" s="59"/>
      <c r="H24" s="59"/>
    </row>
    <row r="25" spans="2:8" ht="14.25">
      <c r="B25" s="154"/>
      <c r="C25" s="158" t="s">
        <v>548</v>
      </c>
      <c r="D25" s="155"/>
      <c r="E25" s="162"/>
      <c r="F25" s="163">
        <v>1153</v>
      </c>
      <c r="G25" s="59"/>
      <c r="H25" s="59"/>
    </row>
    <row r="26" spans="2:8" ht="14.25">
      <c r="B26" s="154"/>
      <c r="C26" s="158" t="s">
        <v>549</v>
      </c>
      <c r="D26" s="155"/>
      <c r="E26" s="162"/>
      <c r="F26" s="163">
        <v>23</v>
      </c>
      <c r="G26" s="59"/>
      <c r="H26" s="59"/>
    </row>
    <row r="27" spans="2:8" ht="14.25">
      <c r="B27" s="154"/>
      <c r="C27" s="164"/>
      <c r="D27" s="155"/>
      <c r="E27" s="162"/>
      <c r="F27" s="163"/>
      <c r="G27" s="59"/>
      <c r="H27" s="59"/>
    </row>
    <row r="28" spans="2:8" ht="14.25">
      <c r="B28" s="157">
        <v>45291</v>
      </c>
      <c r="C28" s="158" t="s">
        <v>345</v>
      </c>
      <c r="D28" s="155"/>
      <c r="E28" s="162">
        <v>57284</v>
      </c>
      <c r="F28" s="163"/>
      <c r="G28" s="59"/>
      <c r="H28" s="59"/>
    </row>
    <row r="29" spans="2:8" ht="14.25">
      <c r="B29" s="154"/>
      <c r="C29" s="155" t="s">
        <v>539</v>
      </c>
      <c r="D29" s="155"/>
      <c r="E29" s="162"/>
      <c r="F29" s="163">
        <v>57284</v>
      </c>
      <c r="G29" s="59"/>
      <c r="H29" s="59"/>
    </row>
    <row r="30" spans="2:8" ht="14.25">
      <c r="B30" s="154"/>
      <c r="C30" s="164"/>
      <c r="D30" s="155"/>
      <c r="E30" s="162"/>
      <c r="F30" s="163"/>
      <c r="G30" s="59"/>
      <c r="H30" s="59"/>
    </row>
    <row r="31" spans="2:8" ht="14.25">
      <c r="B31" s="157">
        <v>45291</v>
      </c>
      <c r="C31" s="158" t="s">
        <v>345</v>
      </c>
      <c r="D31" s="155"/>
      <c r="E31" s="162">
        <v>9100</v>
      </c>
      <c r="F31" s="163"/>
      <c r="G31" s="59"/>
      <c r="H31" s="59"/>
    </row>
    <row r="32" spans="2:8" ht="14.25">
      <c r="B32" s="154"/>
      <c r="C32" s="155" t="s">
        <v>346</v>
      </c>
      <c r="D32" s="155"/>
      <c r="E32" s="162"/>
      <c r="F32" s="163">
        <v>9100</v>
      </c>
      <c r="G32" s="59"/>
      <c r="H32" s="59"/>
    </row>
    <row r="33" spans="2:8" ht="14.25">
      <c r="B33" s="165"/>
      <c r="C33" s="166"/>
      <c r="D33" s="167"/>
      <c r="E33" s="166"/>
      <c r="F33" s="168"/>
      <c r="G33" s="59"/>
      <c r="H33" s="59"/>
    </row>
    <row r="34" spans="2:8" ht="14.25">
      <c r="B34" s="59"/>
      <c r="C34" s="59"/>
      <c r="D34" s="59"/>
      <c r="E34" s="59"/>
      <c r="F34" s="59"/>
      <c r="G34" s="59"/>
      <c r="H34" s="59"/>
    </row>
    <row r="35" spans="2:8" ht="14.25"/>
    <row r="36" spans="2:8" ht="14.25"/>
    <row r="37" spans="2:8" ht="14.25"/>
    <row r="38" spans="2:8" ht="14.25"/>
    <row r="39" spans="2:8" ht="14.25"/>
    <row r="40" spans="2:8" ht="14.25"/>
    <row r="41" spans="2:8" ht="14.25"/>
    <row r="42" spans="2:8" ht="14.25"/>
    <row r="43" spans="2:8" ht="14.25"/>
    <row r="44" spans="2:8" ht="14.25"/>
  </sheetData>
  <mergeCells count="1">
    <mergeCell ref="B3:F4"/>
  </mergeCells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849E-52E1-4DFC-9250-C948D98E5203}">
  <dimension ref="A1:E42"/>
  <sheetViews>
    <sheetView workbookViewId="0">
      <selection activeCell="G44" sqref="G44"/>
    </sheetView>
  </sheetViews>
  <sheetFormatPr defaultRowHeight="14.25"/>
  <cols>
    <col min="3" max="3" width="38.5" bestFit="1" customWidth="1"/>
    <col min="4" max="4" width="12.125" customWidth="1"/>
    <col min="5" max="5" width="14.5" customWidth="1"/>
  </cols>
  <sheetData>
    <row r="1" spans="1:5">
      <c r="A1" t="s">
        <v>550</v>
      </c>
    </row>
    <row r="3" spans="1:5">
      <c r="B3" s="291" t="s">
        <v>551</v>
      </c>
      <c r="C3" s="292"/>
      <c r="D3" s="292"/>
      <c r="E3" s="293"/>
    </row>
    <row r="4" spans="1:5">
      <c r="B4" s="294"/>
      <c r="C4" s="295"/>
      <c r="D4" s="295"/>
      <c r="E4" s="296"/>
    </row>
    <row r="5" spans="1:5">
      <c r="B5" s="294"/>
      <c r="C5" s="295"/>
      <c r="D5" s="295"/>
      <c r="E5" s="296"/>
    </row>
    <row r="6" spans="1:5">
      <c r="B6" s="294"/>
      <c r="C6" s="295"/>
      <c r="D6" s="295"/>
      <c r="E6" s="296"/>
    </row>
    <row r="7" spans="1:5">
      <c r="B7" s="297"/>
      <c r="C7" s="298"/>
      <c r="D7" s="298"/>
      <c r="E7" s="299"/>
    </row>
    <row r="8" spans="1:5" ht="21.75" customHeight="1">
      <c r="B8" s="208" t="s">
        <v>552</v>
      </c>
      <c r="C8" s="207" t="s">
        <v>329</v>
      </c>
      <c r="D8" s="208" t="s">
        <v>553</v>
      </c>
      <c r="E8" s="209" t="s">
        <v>537</v>
      </c>
    </row>
    <row r="9" spans="1:5">
      <c r="B9" s="160"/>
      <c r="C9" s="158" t="s">
        <v>229</v>
      </c>
      <c r="D9" s="161">
        <v>122442</v>
      </c>
      <c r="E9" s="160"/>
    </row>
    <row r="10" spans="1:5">
      <c r="B10" s="160"/>
      <c r="C10" s="158" t="s">
        <v>554</v>
      </c>
      <c r="D10" s="86">
        <v>14700</v>
      </c>
      <c r="E10" s="160"/>
    </row>
    <row r="11" spans="1:5">
      <c r="B11" s="160"/>
      <c r="C11" s="158" t="s">
        <v>253</v>
      </c>
      <c r="D11" s="86">
        <v>13500</v>
      </c>
      <c r="E11" s="160"/>
    </row>
    <row r="12" spans="1:5">
      <c r="B12" s="160"/>
      <c r="C12" s="158" t="s">
        <v>247</v>
      </c>
      <c r="D12" s="86">
        <v>4100</v>
      </c>
      <c r="E12" s="160"/>
    </row>
    <row r="13" spans="1:5">
      <c r="B13" s="160"/>
      <c r="C13" s="158" t="s">
        <v>239</v>
      </c>
      <c r="D13" s="86">
        <v>17000</v>
      </c>
      <c r="E13" s="160"/>
    </row>
    <row r="14" spans="1:5">
      <c r="B14" s="160"/>
      <c r="C14" s="158" t="s">
        <v>555</v>
      </c>
      <c r="D14" s="86">
        <v>7000</v>
      </c>
      <c r="E14" s="160"/>
    </row>
    <row r="15" spans="1:5">
      <c r="B15" s="160"/>
      <c r="C15" s="158" t="s">
        <v>331</v>
      </c>
      <c r="D15" s="86">
        <v>1900</v>
      </c>
      <c r="E15" s="160"/>
    </row>
    <row r="16" spans="1:5">
      <c r="B16" s="160"/>
      <c r="C16" s="158" t="s">
        <v>332</v>
      </c>
      <c r="D16" s="86">
        <v>3800</v>
      </c>
      <c r="E16" s="160"/>
    </row>
    <row r="17" spans="2:5">
      <c r="B17" s="160"/>
      <c r="C17" s="158" t="s">
        <v>556</v>
      </c>
      <c r="D17" s="86">
        <v>3000</v>
      </c>
      <c r="E17" s="160"/>
    </row>
    <row r="18" spans="2:5">
      <c r="B18" s="160"/>
      <c r="C18" s="158" t="s">
        <v>557</v>
      </c>
      <c r="D18" s="86">
        <v>5000</v>
      </c>
      <c r="E18" s="160"/>
    </row>
    <row r="19" spans="2:5">
      <c r="B19" s="160"/>
      <c r="C19" s="158" t="s">
        <v>335</v>
      </c>
      <c r="D19" s="86">
        <v>5900</v>
      </c>
      <c r="E19" s="160"/>
    </row>
    <row r="20" spans="2:5">
      <c r="B20" s="160"/>
      <c r="C20" s="158" t="s">
        <v>336</v>
      </c>
      <c r="D20" s="86">
        <v>50</v>
      </c>
      <c r="E20" s="160"/>
    </row>
    <row r="21" spans="2:5">
      <c r="B21" s="160"/>
      <c r="C21" s="158" t="s">
        <v>337</v>
      </c>
      <c r="D21" s="86">
        <v>12000</v>
      </c>
      <c r="E21" s="160"/>
    </row>
    <row r="22" spans="2:5">
      <c r="B22" s="160"/>
      <c r="C22" s="158" t="s">
        <v>338</v>
      </c>
      <c r="D22" s="86">
        <v>4500</v>
      </c>
      <c r="E22" s="160"/>
    </row>
    <row r="23" spans="2:5">
      <c r="B23" s="160"/>
      <c r="C23" s="158" t="s">
        <v>339</v>
      </c>
      <c r="D23" s="86">
        <v>1200</v>
      </c>
      <c r="E23" s="160"/>
    </row>
    <row r="24" spans="2:5">
      <c r="B24" s="160"/>
      <c r="C24" s="158" t="s">
        <v>340</v>
      </c>
      <c r="D24" s="86">
        <v>1000</v>
      </c>
      <c r="E24" s="160"/>
    </row>
    <row r="25" spans="2:5">
      <c r="B25" s="160"/>
      <c r="C25" s="158" t="s">
        <v>341</v>
      </c>
      <c r="D25" s="86">
        <v>3500</v>
      </c>
      <c r="E25" s="160"/>
    </row>
    <row r="26" spans="2:5">
      <c r="B26" s="160"/>
      <c r="C26" s="158" t="s">
        <v>342</v>
      </c>
      <c r="D26" s="86">
        <v>2500</v>
      </c>
      <c r="E26" s="160"/>
    </row>
    <row r="27" spans="2:5">
      <c r="B27" s="160"/>
      <c r="C27" s="158" t="s">
        <v>343</v>
      </c>
      <c r="D27" s="86">
        <v>3600</v>
      </c>
      <c r="E27" s="160"/>
    </row>
    <row r="28" spans="2:5">
      <c r="B28" s="160"/>
      <c r="C28" s="158" t="s">
        <v>344</v>
      </c>
      <c r="E28" s="204">
        <v>1000</v>
      </c>
    </row>
    <row r="29" spans="2:5">
      <c r="B29" s="160"/>
      <c r="C29" s="158" t="s">
        <v>234</v>
      </c>
      <c r="E29" s="205">
        <v>135100</v>
      </c>
    </row>
    <row r="30" spans="2:5">
      <c r="B30" s="160"/>
      <c r="C30" s="158" t="s">
        <v>558</v>
      </c>
      <c r="E30" s="205">
        <v>23</v>
      </c>
    </row>
    <row r="31" spans="2:5">
      <c r="B31" s="160"/>
      <c r="C31" s="158" t="s">
        <v>559</v>
      </c>
      <c r="E31" s="205">
        <v>1500</v>
      </c>
    </row>
    <row r="32" spans="2:5">
      <c r="B32" s="160"/>
      <c r="C32" s="158" t="s">
        <v>446</v>
      </c>
      <c r="E32" s="205">
        <v>1000</v>
      </c>
    </row>
    <row r="33" spans="2:5">
      <c r="B33" s="160"/>
      <c r="C33" s="158" t="s">
        <v>447</v>
      </c>
      <c r="E33" s="205">
        <v>800</v>
      </c>
    </row>
    <row r="34" spans="2:5">
      <c r="B34" s="160"/>
      <c r="C34" s="158" t="s">
        <v>448</v>
      </c>
      <c r="E34" s="205">
        <v>2200</v>
      </c>
    </row>
    <row r="35" spans="2:5">
      <c r="B35" s="160"/>
      <c r="C35" s="158" t="s">
        <v>450</v>
      </c>
      <c r="E35" s="205">
        <v>300</v>
      </c>
    </row>
    <row r="36" spans="2:5">
      <c r="B36" s="160"/>
      <c r="C36" s="158" t="s">
        <v>560</v>
      </c>
      <c r="E36" s="205">
        <v>1000</v>
      </c>
    </row>
    <row r="37" spans="2:5">
      <c r="B37" s="160"/>
      <c r="C37" s="158" t="s">
        <v>561</v>
      </c>
      <c r="E37" s="205">
        <v>120</v>
      </c>
    </row>
    <row r="38" spans="2:5">
      <c r="B38" s="160"/>
      <c r="C38" s="158" t="s">
        <v>562</v>
      </c>
      <c r="E38" s="205">
        <v>33</v>
      </c>
    </row>
    <row r="39" spans="2:5">
      <c r="B39" s="160"/>
      <c r="C39" s="158" t="s">
        <v>345</v>
      </c>
      <c r="E39" s="205">
        <v>83616</v>
      </c>
    </row>
    <row r="40" spans="2:5">
      <c r="B40" s="160"/>
      <c r="C40" s="158"/>
      <c r="E40" s="160"/>
    </row>
    <row r="41" spans="2:5" ht="15">
      <c r="B41" s="160"/>
      <c r="C41" s="158"/>
      <c r="D41" s="169">
        <f>SUM(D9:D39)</f>
        <v>226692</v>
      </c>
      <c r="E41" s="206">
        <f>SUM(E9:E39)</f>
        <v>226692</v>
      </c>
    </row>
    <row r="42" spans="2:5">
      <c r="B42" s="170"/>
      <c r="C42" s="171"/>
      <c r="D42" s="172"/>
      <c r="E42" s="172"/>
    </row>
  </sheetData>
  <mergeCells count="1">
    <mergeCell ref="B3:E7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D08B-8988-4E65-BED8-C46D7D374F51}">
  <dimension ref="B1:C42"/>
  <sheetViews>
    <sheetView topLeftCell="A34" workbookViewId="0"/>
  </sheetViews>
  <sheetFormatPr defaultRowHeight="14.25"/>
  <sheetData>
    <row r="1" spans="2:3">
      <c r="B1" t="s">
        <v>563</v>
      </c>
    </row>
    <row r="2" spans="2:3">
      <c r="B2" t="s">
        <v>564</v>
      </c>
      <c r="C2">
        <v>6000</v>
      </c>
    </row>
    <row r="3" spans="2:3">
      <c r="B3" t="s">
        <v>565</v>
      </c>
      <c r="C3" s="210">
        <v>8000</v>
      </c>
    </row>
    <row r="4" spans="2:3">
      <c r="B4" t="s">
        <v>566</v>
      </c>
      <c r="C4" s="210">
        <v>11500</v>
      </c>
    </row>
    <row r="5" spans="2:3">
      <c r="B5" t="s">
        <v>567</v>
      </c>
      <c r="C5" s="210">
        <v>8500</v>
      </c>
    </row>
    <row r="6" spans="2:3">
      <c r="B6" t="s">
        <v>568</v>
      </c>
      <c r="C6" s="210">
        <v>6000</v>
      </c>
    </row>
    <row r="7" spans="2:3">
      <c r="B7" t="s">
        <v>569</v>
      </c>
      <c r="C7" s="210">
        <v>9200</v>
      </c>
    </row>
    <row r="8" spans="2:3">
      <c r="B8" t="s">
        <v>570</v>
      </c>
      <c r="C8" s="210">
        <v>7000</v>
      </c>
    </row>
    <row r="9" spans="2:3">
      <c r="B9" t="s">
        <v>571</v>
      </c>
      <c r="C9" s="210">
        <v>12000</v>
      </c>
    </row>
    <row r="10" spans="2:3">
      <c r="B10" t="s">
        <v>572</v>
      </c>
      <c r="C10" s="210">
        <v>10000</v>
      </c>
    </row>
    <row r="11" spans="2:3">
      <c r="B11" t="s">
        <v>573</v>
      </c>
      <c r="C11" s="210">
        <v>12500</v>
      </c>
    </row>
    <row r="12" spans="2:3">
      <c r="B12" t="s">
        <v>574</v>
      </c>
      <c r="C12" s="210">
        <v>15000</v>
      </c>
    </row>
    <row r="13" spans="2:3">
      <c r="B13" t="s">
        <v>575</v>
      </c>
      <c r="C13" s="210">
        <v>16500</v>
      </c>
    </row>
    <row r="15" spans="2:3">
      <c r="B15" s="211" t="s">
        <v>229</v>
      </c>
      <c r="C15" s="211"/>
    </row>
    <row r="16" spans="2:3">
      <c r="B16" t="s">
        <v>576</v>
      </c>
      <c r="C16" s="31">
        <v>150000</v>
      </c>
    </row>
    <row r="17" spans="2:3">
      <c r="B17" t="s">
        <v>564</v>
      </c>
      <c r="C17" s="31">
        <v>142550</v>
      </c>
    </row>
    <row r="18" spans="2:3">
      <c r="B18" t="s">
        <v>565</v>
      </c>
      <c r="C18" s="31">
        <v>136350</v>
      </c>
    </row>
    <row r="19" spans="2:3">
      <c r="B19" t="s">
        <v>566</v>
      </c>
      <c r="C19" s="31">
        <v>126650</v>
      </c>
    </row>
    <row r="20" spans="2:3">
      <c r="B20" t="s">
        <v>567</v>
      </c>
      <c r="C20" s="31">
        <v>126850</v>
      </c>
    </row>
    <row r="21" spans="2:3">
      <c r="B21" t="s">
        <v>568</v>
      </c>
      <c r="C21" s="31">
        <v>122850</v>
      </c>
    </row>
    <row r="22" spans="2:3">
      <c r="B22" t="s">
        <v>569</v>
      </c>
      <c r="C22" s="31">
        <v>122110</v>
      </c>
    </row>
    <row r="23" spans="2:3">
      <c r="B23" t="s">
        <v>570</v>
      </c>
      <c r="C23" s="31">
        <v>117610</v>
      </c>
    </row>
    <row r="24" spans="2:3">
      <c r="B24" t="s">
        <v>571</v>
      </c>
      <c r="C24" s="31">
        <v>117870</v>
      </c>
    </row>
    <row r="25" spans="2:3">
      <c r="B25" t="s">
        <v>572</v>
      </c>
      <c r="C25" s="31">
        <v>114670</v>
      </c>
    </row>
    <row r="26" spans="2:3">
      <c r="B26" t="s">
        <v>573</v>
      </c>
      <c r="C26" s="31">
        <v>109970</v>
      </c>
    </row>
    <row r="27" spans="2:3">
      <c r="B27" t="s">
        <v>574</v>
      </c>
      <c r="C27" s="31">
        <v>115930</v>
      </c>
    </row>
    <row r="28" spans="2:3" ht="15">
      <c r="B28" t="s">
        <v>575</v>
      </c>
      <c r="C28" s="35">
        <v>122442</v>
      </c>
    </row>
    <row r="30" spans="2:3">
      <c r="B30" s="269" t="s">
        <v>577</v>
      </c>
      <c r="C30" s="269"/>
    </row>
    <row r="31" spans="2:3">
      <c r="B31" t="s">
        <v>564</v>
      </c>
      <c r="C31" s="58">
        <v>120000</v>
      </c>
    </row>
    <row r="32" spans="2:3">
      <c r="B32" t="s">
        <v>565</v>
      </c>
      <c r="C32" s="58">
        <v>114100</v>
      </c>
    </row>
    <row r="33" spans="2:3">
      <c r="B33" t="s">
        <v>566</v>
      </c>
      <c r="C33" s="58">
        <v>112100</v>
      </c>
    </row>
    <row r="34" spans="2:3">
      <c r="B34" t="s">
        <v>567</v>
      </c>
      <c r="C34" s="58">
        <v>119900</v>
      </c>
    </row>
    <row r="35" spans="2:3">
      <c r="B35" t="s">
        <v>568</v>
      </c>
      <c r="C35" s="58">
        <v>125400</v>
      </c>
    </row>
    <row r="36" spans="2:3">
      <c r="B36" t="s">
        <v>569</v>
      </c>
      <c r="C36" s="58">
        <v>125600</v>
      </c>
    </row>
    <row r="37" spans="2:3">
      <c r="B37" t="s">
        <v>570</v>
      </c>
      <c r="C37" s="58">
        <v>130800</v>
      </c>
    </row>
    <row r="38" spans="2:3">
      <c r="B38" t="s">
        <v>571</v>
      </c>
      <c r="C38" s="58">
        <v>132500</v>
      </c>
    </row>
    <row r="39" spans="2:3">
      <c r="B39" t="s">
        <v>572</v>
      </c>
      <c r="C39" s="58">
        <v>132500</v>
      </c>
    </row>
    <row r="40" spans="2:3">
      <c r="B40" t="s">
        <v>573</v>
      </c>
      <c r="C40" s="58">
        <v>132500</v>
      </c>
    </row>
    <row r="41" spans="2:3">
      <c r="B41" t="s">
        <v>574</v>
      </c>
      <c r="C41" s="58">
        <v>131500</v>
      </c>
    </row>
    <row r="42" spans="2:3" ht="15">
      <c r="B42" t="s">
        <v>575</v>
      </c>
      <c r="C42" s="90">
        <v>140900</v>
      </c>
    </row>
  </sheetData>
  <mergeCells count="1">
    <mergeCell ref="B30:C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  <outlinePr summaryBelow="0" summaryRight="0"/>
  </sheetPr>
  <dimension ref="C2:G459"/>
  <sheetViews>
    <sheetView workbookViewId="0">
      <selection activeCell="D221" sqref="D221"/>
    </sheetView>
  </sheetViews>
  <sheetFormatPr defaultColWidth="12.625" defaultRowHeight="15" customHeight="1"/>
  <cols>
    <col min="4" max="4" width="42.5" customWidth="1"/>
  </cols>
  <sheetData>
    <row r="2" spans="3:7" ht="25.5" customHeight="1">
      <c r="C2" s="238" t="s">
        <v>147</v>
      </c>
      <c r="D2" s="239"/>
      <c r="E2" s="239"/>
      <c r="F2" s="239"/>
      <c r="G2" s="240"/>
    </row>
    <row r="3" spans="3:7" ht="21" customHeight="1">
      <c r="C3" s="10" t="s">
        <v>148</v>
      </c>
      <c r="D3" s="10" t="s">
        <v>149</v>
      </c>
      <c r="E3" s="10" t="s">
        <v>150</v>
      </c>
      <c r="F3" s="11" t="s">
        <v>151</v>
      </c>
      <c r="G3" s="12" t="s">
        <v>152</v>
      </c>
    </row>
    <row r="4" spans="3:7">
      <c r="C4" s="13"/>
      <c r="D4" s="13"/>
      <c r="E4" s="14"/>
      <c r="F4" s="14"/>
      <c r="G4" s="14"/>
    </row>
    <row r="5" spans="3:7">
      <c r="C5" s="15">
        <v>2023</v>
      </c>
      <c r="D5" s="16"/>
      <c r="E5" s="17"/>
      <c r="F5" s="17"/>
      <c r="G5" s="17"/>
    </row>
    <row r="6" spans="3:7">
      <c r="C6" s="18" t="str">
        <f>CONCATENATE("Jan","                ","1")</f>
        <v>Jan                1</v>
      </c>
      <c r="D6" s="15" t="s">
        <v>153</v>
      </c>
      <c r="E6" s="17">
        <v>101</v>
      </c>
      <c r="F6" s="19">
        <v>150000</v>
      </c>
      <c r="G6" s="19"/>
    </row>
    <row r="7" spans="3:7">
      <c r="C7" s="18"/>
      <c r="D7" s="16" t="s">
        <v>154</v>
      </c>
      <c r="E7" s="17">
        <v>301</v>
      </c>
      <c r="F7" s="19"/>
      <c r="G7" s="19">
        <v>150000</v>
      </c>
    </row>
    <row r="8" spans="3:7">
      <c r="C8" s="18"/>
      <c r="D8" s="16"/>
      <c r="E8" s="17"/>
      <c r="F8" s="19"/>
      <c r="G8" s="19"/>
    </row>
    <row r="9" spans="3:7">
      <c r="C9" s="20">
        <v>3</v>
      </c>
      <c r="D9" s="16" t="s">
        <v>155</v>
      </c>
      <c r="E9" s="17">
        <v>114</v>
      </c>
      <c r="F9" s="21">
        <v>5000</v>
      </c>
      <c r="G9" s="21"/>
    </row>
    <row r="10" spans="3:7">
      <c r="C10" s="18"/>
      <c r="D10" s="16" t="s">
        <v>156</v>
      </c>
      <c r="E10" s="17">
        <v>201</v>
      </c>
      <c r="F10" s="21"/>
      <c r="G10" s="21">
        <v>5000</v>
      </c>
    </row>
    <row r="11" spans="3:7">
      <c r="C11" s="18"/>
      <c r="D11" s="16"/>
      <c r="E11" s="17"/>
      <c r="F11" s="21"/>
      <c r="G11" s="21"/>
    </row>
    <row r="12" spans="3:7">
      <c r="C12" s="22">
        <v>5</v>
      </c>
      <c r="D12" s="16" t="s">
        <v>157</v>
      </c>
      <c r="E12" s="17">
        <v>500</v>
      </c>
      <c r="F12" s="21">
        <v>1000</v>
      </c>
      <c r="G12" s="21"/>
    </row>
    <row r="13" spans="3:7">
      <c r="C13" s="23"/>
      <c r="D13" s="16" t="s">
        <v>158</v>
      </c>
      <c r="E13" s="17">
        <v>101</v>
      </c>
      <c r="F13" s="21"/>
      <c r="G13" s="21">
        <v>1000</v>
      </c>
    </row>
    <row r="14" spans="3:7">
      <c r="C14" s="23"/>
      <c r="D14" s="16"/>
      <c r="E14" s="17"/>
      <c r="F14" s="21"/>
      <c r="G14" s="21"/>
    </row>
    <row r="15" spans="3:7">
      <c r="C15" s="22">
        <v>8</v>
      </c>
      <c r="D15" s="16" t="s">
        <v>159</v>
      </c>
      <c r="E15" s="17">
        <v>115</v>
      </c>
      <c r="F15" s="21">
        <v>50000</v>
      </c>
      <c r="G15" s="21"/>
    </row>
    <row r="16" spans="3:7">
      <c r="C16" s="23"/>
      <c r="D16" s="16" t="s">
        <v>160</v>
      </c>
      <c r="E16" s="17">
        <v>201</v>
      </c>
      <c r="F16" s="21"/>
      <c r="G16" s="21">
        <v>50000</v>
      </c>
    </row>
    <row r="17" spans="3:7">
      <c r="C17" s="23"/>
      <c r="D17" s="16"/>
      <c r="E17" s="17"/>
      <c r="F17" s="21"/>
      <c r="G17" s="21"/>
    </row>
    <row r="18" spans="3:7">
      <c r="C18" s="22">
        <v>10</v>
      </c>
      <c r="D18" s="16" t="s">
        <v>161</v>
      </c>
      <c r="E18" s="17">
        <v>112</v>
      </c>
      <c r="F18" s="21">
        <v>6000</v>
      </c>
      <c r="G18" s="21"/>
    </row>
    <row r="19" spans="3:7">
      <c r="C19" s="23"/>
      <c r="D19" s="16" t="s">
        <v>162</v>
      </c>
      <c r="E19" s="17">
        <v>400</v>
      </c>
      <c r="F19" s="21"/>
      <c r="G19" s="21">
        <v>6000</v>
      </c>
    </row>
    <row r="20" spans="3:7">
      <c r="C20" s="23"/>
      <c r="D20" s="16"/>
      <c r="E20" s="17"/>
      <c r="F20" s="21"/>
      <c r="G20" s="21"/>
    </row>
    <row r="21" spans="3:7">
      <c r="C21" s="22">
        <v>10</v>
      </c>
      <c r="D21" s="16" t="s">
        <v>163</v>
      </c>
      <c r="E21" s="17">
        <v>403</v>
      </c>
      <c r="F21" s="21">
        <v>4400</v>
      </c>
      <c r="G21" s="21"/>
    </row>
    <row r="22" spans="3:7">
      <c r="C22" s="22"/>
      <c r="D22" s="16" t="s">
        <v>164</v>
      </c>
      <c r="E22" s="17">
        <v>115</v>
      </c>
      <c r="F22" s="21"/>
      <c r="G22" s="21">
        <v>4400</v>
      </c>
    </row>
    <row r="23" spans="3:7">
      <c r="C23" s="22"/>
      <c r="D23" s="16"/>
      <c r="E23" s="17"/>
      <c r="F23" s="21"/>
      <c r="G23" s="21"/>
    </row>
    <row r="24" spans="3:7">
      <c r="C24" s="22">
        <v>12</v>
      </c>
      <c r="D24" s="16" t="s">
        <v>165</v>
      </c>
      <c r="E24" s="17">
        <v>157</v>
      </c>
      <c r="F24" s="21">
        <v>12000</v>
      </c>
      <c r="G24" s="21"/>
    </row>
    <row r="25" spans="3:7">
      <c r="C25" s="22"/>
      <c r="D25" s="16" t="s">
        <v>158</v>
      </c>
      <c r="E25" s="17">
        <v>101</v>
      </c>
      <c r="F25" s="21"/>
      <c r="G25" s="21">
        <v>5000</v>
      </c>
    </row>
    <row r="26" spans="3:7">
      <c r="C26" s="22"/>
      <c r="D26" s="16" t="s">
        <v>166</v>
      </c>
      <c r="E26" s="17">
        <v>200</v>
      </c>
      <c r="F26" s="21"/>
      <c r="G26" s="21">
        <v>7000</v>
      </c>
    </row>
    <row r="27" spans="3:7">
      <c r="C27" s="22"/>
      <c r="D27" s="16"/>
      <c r="E27" s="17"/>
      <c r="F27" s="21"/>
      <c r="G27" s="21"/>
    </row>
    <row r="28" spans="3:7">
      <c r="C28" s="22">
        <v>15</v>
      </c>
      <c r="D28" s="16" t="s">
        <v>167</v>
      </c>
      <c r="E28" s="17">
        <v>201</v>
      </c>
      <c r="F28" s="21">
        <v>2000</v>
      </c>
      <c r="G28" s="21"/>
    </row>
    <row r="29" spans="3:7">
      <c r="C29" s="22"/>
      <c r="D29" s="16" t="s">
        <v>158</v>
      </c>
      <c r="E29" s="17">
        <v>101</v>
      </c>
      <c r="F29" s="21"/>
      <c r="G29" s="21">
        <v>2000</v>
      </c>
    </row>
    <row r="30" spans="3:7">
      <c r="C30" s="22"/>
      <c r="D30" s="16"/>
      <c r="E30" s="17"/>
      <c r="F30" s="21"/>
      <c r="G30" s="21"/>
    </row>
    <row r="31" spans="3:7">
      <c r="C31" s="22">
        <v>20</v>
      </c>
      <c r="D31" s="16" t="s">
        <v>168</v>
      </c>
      <c r="E31" s="17">
        <v>501</v>
      </c>
      <c r="F31" s="21">
        <v>800</v>
      </c>
      <c r="G31" s="21"/>
    </row>
    <row r="32" spans="3:7">
      <c r="C32" s="22"/>
      <c r="D32" s="16" t="s">
        <v>158</v>
      </c>
      <c r="E32" s="17">
        <v>101</v>
      </c>
      <c r="F32" s="21"/>
      <c r="G32" s="21">
        <v>800</v>
      </c>
    </row>
    <row r="33" spans="3:7">
      <c r="C33" s="22"/>
      <c r="D33" s="16"/>
      <c r="E33" s="17"/>
      <c r="F33" s="21"/>
      <c r="G33" s="21"/>
    </row>
    <row r="34" spans="3:7">
      <c r="C34" s="22">
        <v>22</v>
      </c>
      <c r="D34" s="16" t="s">
        <v>169</v>
      </c>
      <c r="E34" s="17">
        <v>404</v>
      </c>
      <c r="F34" s="21">
        <v>500</v>
      </c>
      <c r="G34" s="21"/>
    </row>
    <row r="35" spans="3:7">
      <c r="C35" s="22"/>
      <c r="D35" s="16" t="s">
        <v>158</v>
      </c>
      <c r="E35" s="17">
        <v>101</v>
      </c>
      <c r="F35" s="21"/>
      <c r="G35" s="21">
        <v>500</v>
      </c>
    </row>
    <row r="36" spans="3:7">
      <c r="C36" s="22"/>
      <c r="D36" s="16"/>
      <c r="E36" s="17"/>
      <c r="F36" s="21"/>
      <c r="G36" s="21"/>
    </row>
    <row r="37" spans="3:7">
      <c r="C37" s="22">
        <v>25</v>
      </c>
      <c r="D37" s="16" t="s">
        <v>170</v>
      </c>
      <c r="E37" s="17">
        <v>116</v>
      </c>
      <c r="F37" s="21">
        <v>60000</v>
      </c>
      <c r="G37" s="21"/>
    </row>
    <row r="38" spans="3:7">
      <c r="C38" s="22"/>
      <c r="D38" s="16" t="s">
        <v>156</v>
      </c>
      <c r="E38" s="17">
        <v>201</v>
      </c>
      <c r="F38" s="21"/>
      <c r="G38" s="21">
        <v>60000</v>
      </c>
    </row>
    <row r="39" spans="3:7">
      <c r="C39" s="22"/>
      <c r="D39" s="16"/>
      <c r="E39" s="17"/>
      <c r="F39" s="21"/>
      <c r="G39" s="21"/>
    </row>
    <row r="40" spans="3:7">
      <c r="C40" s="22">
        <v>28</v>
      </c>
      <c r="D40" s="16" t="s">
        <v>171</v>
      </c>
      <c r="E40" s="17">
        <v>101</v>
      </c>
      <c r="F40" s="21">
        <v>2850</v>
      </c>
      <c r="G40" s="21"/>
    </row>
    <row r="41" spans="3:7">
      <c r="C41" s="22"/>
      <c r="D41" s="16" t="s">
        <v>172</v>
      </c>
      <c r="E41" s="17">
        <v>402</v>
      </c>
      <c r="F41" s="21">
        <v>150</v>
      </c>
      <c r="G41" s="21"/>
    </row>
    <row r="42" spans="3:7">
      <c r="C42" s="22"/>
      <c r="D42" s="16" t="s">
        <v>173</v>
      </c>
      <c r="E42" s="17">
        <v>112</v>
      </c>
      <c r="F42" s="21"/>
      <c r="G42" s="21">
        <v>3000</v>
      </c>
    </row>
    <row r="43" spans="3:7">
      <c r="C43" s="22"/>
      <c r="D43" s="16"/>
      <c r="E43" s="17"/>
      <c r="F43" s="21"/>
      <c r="G43" s="21"/>
    </row>
    <row r="44" spans="3:7">
      <c r="C44" s="22">
        <v>30</v>
      </c>
      <c r="D44" s="16" t="s">
        <v>174</v>
      </c>
      <c r="E44" s="17">
        <v>306</v>
      </c>
      <c r="F44" s="21">
        <v>1000</v>
      </c>
      <c r="G44" s="21"/>
    </row>
    <row r="45" spans="3:7">
      <c r="C45" s="16"/>
      <c r="D45" s="16" t="s">
        <v>175</v>
      </c>
      <c r="E45" s="17">
        <v>101</v>
      </c>
      <c r="F45" s="21"/>
      <c r="G45" s="21">
        <v>1000</v>
      </c>
    </row>
    <row r="46" spans="3:7">
      <c r="C46" s="16"/>
      <c r="D46" s="16"/>
      <c r="E46" s="17"/>
      <c r="F46" s="21"/>
      <c r="G46" s="21"/>
    </row>
    <row r="47" spans="3:7">
      <c r="C47" s="18" t="str">
        <f>CONCATENATE("Feb.","               ","1")</f>
        <v>Feb.               1</v>
      </c>
      <c r="D47" s="16" t="s">
        <v>176</v>
      </c>
      <c r="E47" s="17">
        <v>113</v>
      </c>
      <c r="F47" s="21">
        <v>600</v>
      </c>
      <c r="G47" s="21"/>
    </row>
    <row r="48" spans="3:7">
      <c r="C48" s="16"/>
      <c r="D48" s="16" t="s">
        <v>177</v>
      </c>
      <c r="E48" s="17">
        <v>101</v>
      </c>
      <c r="F48" s="21"/>
      <c r="G48" s="21">
        <v>600</v>
      </c>
    </row>
    <row r="49" spans="3:7">
      <c r="C49" s="16"/>
      <c r="D49" s="16"/>
      <c r="E49" s="17"/>
      <c r="F49" s="21"/>
      <c r="G49" s="21"/>
    </row>
    <row r="50" spans="3:7">
      <c r="C50" s="16">
        <v>3</v>
      </c>
      <c r="D50" s="16" t="s">
        <v>178</v>
      </c>
      <c r="E50" s="17">
        <v>502</v>
      </c>
      <c r="F50" s="21">
        <v>2000</v>
      </c>
      <c r="G50" s="21"/>
    </row>
    <row r="51" spans="3:7">
      <c r="C51" s="16"/>
      <c r="D51" s="16" t="s">
        <v>177</v>
      </c>
      <c r="E51" s="17">
        <v>101</v>
      </c>
      <c r="F51" s="21"/>
      <c r="G51" s="21">
        <v>2000</v>
      </c>
    </row>
    <row r="52" spans="3:7">
      <c r="C52" s="16"/>
      <c r="D52" s="16"/>
      <c r="E52" s="17"/>
      <c r="F52" s="21"/>
      <c r="G52" s="21"/>
    </row>
    <row r="53" spans="3:7">
      <c r="C53" s="16">
        <v>6</v>
      </c>
      <c r="D53" s="16" t="s">
        <v>179</v>
      </c>
      <c r="E53" s="17">
        <v>112</v>
      </c>
      <c r="F53" s="21">
        <v>8000</v>
      </c>
      <c r="G53" s="21"/>
    </row>
    <row r="54" spans="3:7">
      <c r="C54" s="16"/>
      <c r="D54" s="16" t="s">
        <v>180</v>
      </c>
      <c r="E54" s="17">
        <v>400</v>
      </c>
      <c r="F54" s="21"/>
      <c r="G54" s="21">
        <v>8000</v>
      </c>
    </row>
    <row r="55" spans="3:7">
      <c r="C55" s="16"/>
      <c r="D55" s="16"/>
      <c r="E55" s="17"/>
      <c r="F55" s="21"/>
      <c r="G55" s="21"/>
    </row>
    <row r="56" spans="3:7">
      <c r="C56" s="16">
        <v>6</v>
      </c>
      <c r="D56" s="16" t="s">
        <v>181</v>
      </c>
      <c r="E56" s="17">
        <v>403</v>
      </c>
      <c r="F56" s="21">
        <v>7000</v>
      </c>
      <c r="G56" s="21"/>
    </row>
    <row r="57" spans="3:7">
      <c r="C57" s="16"/>
      <c r="D57" s="16" t="s">
        <v>182</v>
      </c>
      <c r="E57" s="17">
        <v>116</v>
      </c>
      <c r="F57" s="21"/>
      <c r="G57" s="21">
        <v>7000</v>
      </c>
    </row>
    <row r="58" spans="3:7">
      <c r="C58" s="16"/>
      <c r="D58" s="16"/>
      <c r="E58" s="17"/>
      <c r="F58" s="21"/>
      <c r="G58" s="21"/>
    </row>
    <row r="59" spans="3:7">
      <c r="C59" s="16">
        <v>10</v>
      </c>
      <c r="D59" s="16" t="s">
        <v>183</v>
      </c>
      <c r="E59" s="17">
        <v>101</v>
      </c>
      <c r="F59" s="21">
        <v>3000</v>
      </c>
      <c r="G59" s="21"/>
    </row>
    <row r="60" spans="3:7">
      <c r="C60" s="16"/>
      <c r="D60" s="16" t="s">
        <v>184</v>
      </c>
      <c r="E60" s="17">
        <v>112</v>
      </c>
      <c r="F60" s="21"/>
      <c r="G60" s="21">
        <v>3000</v>
      </c>
    </row>
    <row r="61" spans="3:7">
      <c r="C61" s="16"/>
      <c r="D61" s="16"/>
      <c r="E61" s="17"/>
      <c r="F61" s="21"/>
      <c r="G61" s="21"/>
    </row>
    <row r="62" spans="3:7">
      <c r="C62" s="16">
        <v>12</v>
      </c>
      <c r="D62" s="16" t="s">
        <v>185</v>
      </c>
      <c r="E62" s="17">
        <v>158</v>
      </c>
      <c r="F62" s="21">
        <v>4500</v>
      </c>
      <c r="G62" s="21"/>
    </row>
    <row r="63" spans="3:7">
      <c r="C63" s="16"/>
      <c r="D63" s="16" t="s">
        <v>186</v>
      </c>
      <c r="E63" s="17">
        <v>101</v>
      </c>
      <c r="F63" s="21"/>
      <c r="G63" s="21">
        <v>2500</v>
      </c>
    </row>
    <row r="64" spans="3:7">
      <c r="C64" s="16"/>
      <c r="D64" s="16" t="s">
        <v>187</v>
      </c>
      <c r="E64" s="17">
        <v>201</v>
      </c>
      <c r="F64" s="21"/>
      <c r="G64" s="21">
        <v>2000</v>
      </c>
    </row>
    <row r="65" spans="3:7">
      <c r="C65" s="16"/>
      <c r="D65" s="16"/>
      <c r="E65" s="17"/>
      <c r="F65" s="21"/>
      <c r="G65" s="21"/>
    </row>
    <row r="66" spans="3:7">
      <c r="C66" s="16">
        <v>20</v>
      </c>
      <c r="D66" s="16" t="s">
        <v>188</v>
      </c>
      <c r="E66" s="17">
        <v>159</v>
      </c>
      <c r="F66" s="21">
        <v>1200</v>
      </c>
      <c r="G66" s="21"/>
    </row>
    <row r="67" spans="3:7">
      <c r="C67" s="16"/>
      <c r="D67" s="16" t="s">
        <v>177</v>
      </c>
      <c r="E67" s="17">
        <v>101</v>
      </c>
      <c r="F67" s="21"/>
      <c r="G67" s="21">
        <v>600</v>
      </c>
    </row>
    <row r="68" spans="3:7">
      <c r="C68" s="16"/>
      <c r="D68" s="16" t="s">
        <v>187</v>
      </c>
      <c r="E68" s="17">
        <v>201</v>
      </c>
      <c r="F68" s="21"/>
      <c r="G68" s="21">
        <v>600</v>
      </c>
    </row>
    <row r="69" spans="3:7">
      <c r="C69" s="16"/>
      <c r="D69" s="16"/>
      <c r="E69" s="17"/>
      <c r="F69" s="21"/>
      <c r="G69" s="21"/>
    </row>
    <row r="70" spans="3:7">
      <c r="C70" s="16">
        <v>23</v>
      </c>
      <c r="D70" s="16" t="s">
        <v>167</v>
      </c>
      <c r="E70" s="17">
        <v>201</v>
      </c>
      <c r="F70" s="21">
        <v>500</v>
      </c>
      <c r="G70" s="21"/>
    </row>
    <row r="71" spans="3:7">
      <c r="C71" s="16"/>
      <c r="D71" s="16" t="s">
        <v>189</v>
      </c>
      <c r="E71" s="17">
        <v>116</v>
      </c>
      <c r="F71" s="21"/>
      <c r="G71" s="21">
        <v>500</v>
      </c>
    </row>
    <row r="72" spans="3:7">
      <c r="C72" s="16"/>
      <c r="D72" s="16"/>
      <c r="E72" s="17"/>
      <c r="F72" s="21"/>
      <c r="G72" s="21"/>
    </row>
    <row r="73" spans="3:7">
      <c r="C73" s="16">
        <v>26</v>
      </c>
      <c r="D73" s="16" t="s">
        <v>167</v>
      </c>
      <c r="E73" s="17">
        <v>201</v>
      </c>
      <c r="F73" s="21">
        <v>1000</v>
      </c>
      <c r="G73" s="21"/>
    </row>
    <row r="74" spans="3:7">
      <c r="C74" s="16"/>
      <c r="D74" s="16" t="s">
        <v>186</v>
      </c>
      <c r="E74" s="17">
        <v>101</v>
      </c>
      <c r="F74" s="21"/>
      <c r="G74" s="21">
        <v>1000</v>
      </c>
    </row>
    <row r="75" spans="3:7">
      <c r="C75" s="16"/>
      <c r="D75" s="16"/>
      <c r="E75" s="17"/>
      <c r="F75" s="21"/>
      <c r="G75" s="21"/>
    </row>
    <row r="76" spans="3:7">
      <c r="C76" s="16">
        <v>28</v>
      </c>
      <c r="D76" s="16" t="s">
        <v>190</v>
      </c>
      <c r="E76" s="17">
        <v>503</v>
      </c>
      <c r="F76" s="21">
        <v>2500</v>
      </c>
      <c r="G76" s="21"/>
    </row>
    <row r="77" spans="3:7">
      <c r="C77" s="16"/>
      <c r="D77" s="16" t="s">
        <v>186</v>
      </c>
      <c r="E77" s="17">
        <v>101</v>
      </c>
      <c r="F77" s="21"/>
      <c r="G77" s="21">
        <v>2500</v>
      </c>
    </row>
    <row r="78" spans="3:7">
      <c r="C78" s="16"/>
      <c r="D78" s="16"/>
      <c r="E78" s="17"/>
      <c r="F78" s="21"/>
      <c r="G78" s="21"/>
    </row>
    <row r="79" spans="3:7">
      <c r="C79" s="18" t="str">
        <f>CONCATENATE("Mar.","              ","2")</f>
        <v>Mar.              2</v>
      </c>
      <c r="D79" s="16" t="s">
        <v>191</v>
      </c>
      <c r="E79" s="17">
        <v>112</v>
      </c>
      <c r="F79" s="21">
        <v>10000</v>
      </c>
      <c r="G79" s="21"/>
    </row>
    <row r="80" spans="3:7">
      <c r="C80" s="16"/>
      <c r="D80" s="16" t="s">
        <v>180</v>
      </c>
      <c r="E80" s="17">
        <v>400</v>
      </c>
      <c r="F80" s="21"/>
      <c r="G80" s="21">
        <v>10000</v>
      </c>
    </row>
    <row r="81" spans="3:7">
      <c r="C81" s="16"/>
      <c r="D81" s="16"/>
      <c r="E81" s="17"/>
      <c r="F81" s="21"/>
      <c r="G81" s="21"/>
    </row>
    <row r="82" spans="3:7">
      <c r="C82" s="16">
        <v>2</v>
      </c>
      <c r="D82" s="16" t="s">
        <v>192</v>
      </c>
      <c r="E82" s="17">
        <v>403</v>
      </c>
      <c r="F82" s="21">
        <v>8800</v>
      </c>
      <c r="G82" s="21"/>
    </row>
    <row r="83" spans="3:7">
      <c r="C83" s="16"/>
      <c r="D83" s="16" t="s">
        <v>193</v>
      </c>
      <c r="E83" s="17">
        <v>115</v>
      </c>
      <c r="F83" s="21"/>
      <c r="G83" s="21">
        <v>8800</v>
      </c>
    </row>
    <row r="84" spans="3:7">
      <c r="C84" s="16"/>
      <c r="D84" s="16"/>
      <c r="E84" s="17"/>
      <c r="F84" s="21"/>
      <c r="G84" s="21"/>
    </row>
    <row r="85" spans="3:7">
      <c r="C85" s="16">
        <v>5</v>
      </c>
      <c r="D85" s="16" t="s">
        <v>194</v>
      </c>
      <c r="E85" s="17">
        <v>117</v>
      </c>
      <c r="F85" s="21">
        <v>7000</v>
      </c>
      <c r="G85" s="21"/>
    </row>
    <row r="86" spans="3:7">
      <c r="C86" s="16"/>
      <c r="D86" s="16" t="s">
        <v>195</v>
      </c>
      <c r="E86" s="17">
        <v>201</v>
      </c>
      <c r="F86" s="21"/>
      <c r="G86" s="21">
        <v>7000</v>
      </c>
    </row>
    <row r="87" spans="3:7">
      <c r="C87" s="16"/>
      <c r="D87" s="16"/>
      <c r="E87" s="17"/>
      <c r="F87" s="21"/>
      <c r="G87" s="21"/>
    </row>
    <row r="88" spans="3:7">
      <c r="C88" s="16">
        <v>7</v>
      </c>
      <c r="D88" s="16" t="s">
        <v>196</v>
      </c>
      <c r="E88" s="17">
        <v>501</v>
      </c>
      <c r="F88" s="21">
        <v>1000</v>
      </c>
      <c r="G88" s="21"/>
    </row>
    <row r="89" spans="3:7">
      <c r="C89" s="16"/>
      <c r="D89" s="16" t="s">
        <v>186</v>
      </c>
      <c r="E89" s="17">
        <v>101</v>
      </c>
      <c r="F89" s="21"/>
      <c r="G89" s="21">
        <v>1000</v>
      </c>
    </row>
    <row r="90" spans="3:7">
      <c r="C90" s="16"/>
      <c r="D90" s="16"/>
      <c r="E90" s="17"/>
      <c r="F90" s="21"/>
      <c r="G90" s="21"/>
    </row>
    <row r="91" spans="3:7">
      <c r="C91" s="16">
        <v>10</v>
      </c>
      <c r="D91" s="16" t="s">
        <v>197</v>
      </c>
      <c r="E91" s="17">
        <v>502</v>
      </c>
      <c r="F91" s="21">
        <v>3000</v>
      </c>
      <c r="G91" s="21"/>
    </row>
    <row r="92" spans="3:7">
      <c r="C92" s="16"/>
      <c r="D92" s="16" t="s">
        <v>186</v>
      </c>
      <c r="E92" s="17">
        <v>101</v>
      </c>
      <c r="F92" s="21"/>
      <c r="G92" s="21">
        <v>3000</v>
      </c>
    </row>
    <row r="93" spans="3:7">
      <c r="C93" s="16"/>
      <c r="D93" s="16"/>
      <c r="E93" s="17"/>
      <c r="F93" s="21"/>
      <c r="G93" s="21"/>
    </row>
    <row r="94" spans="3:7">
      <c r="C94" s="16">
        <v>12</v>
      </c>
      <c r="D94" s="16" t="s">
        <v>198</v>
      </c>
      <c r="E94" s="17">
        <v>200</v>
      </c>
      <c r="F94" s="21">
        <v>6000</v>
      </c>
      <c r="G94" s="21"/>
    </row>
    <row r="95" spans="3:7">
      <c r="C95" s="16"/>
      <c r="D95" s="16" t="s">
        <v>177</v>
      </c>
      <c r="E95" s="17">
        <v>101</v>
      </c>
      <c r="F95" s="21"/>
      <c r="G95" s="21">
        <v>6000</v>
      </c>
    </row>
    <row r="96" spans="3:7">
      <c r="C96" s="16"/>
      <c r="D96" s="16"/>
      <c r="E96" s="17"/>
      <c r="F96" s="21"/>
      <c r="G96" s="21"/>
    </row>
    <row r="97" spans="3:7">
      <c r="C97" s="16">
        <v>15</v>
      </c>
      <c r="D97" s="16" t="s">
        <v>153</v>
      </c>
      <c r="E97" s="17">
        <v>101</v>
      </c>
      <c r="F97" s="21">
        <v>9800</v>
      </c>
      <c r="G97" s="21"/>
    </row>
    <row r="98" spans="3:7">
      <c r="C98" s="16"/>
      <c r="D98" s="16" t="s">
        <v>172</v>
      </c>
      <c r="E98" s="17">
        <v>402</v>
      </c>
      <c r="F98" s="21">
        <v>200</v>
      </c>
      <c r="G98" s="21"/>
    </row>
    <row r="99" spans="3:7">
      <c r="C99" s="16"/>
      <c r="D99" s="16" t="s">
        <v>173</v>
      </c>
      <c r="E99" s="17">
        <v>112</v>
      </c>
      <c r="F99" s="21"/>
      <c r="G99" s="21">
        <v>10000</v>
      </c>
    </row>
    <row r="100" spans="3:7">
      <c r="C100" s="16"/>
      <c r="D100" s="16"/>
      <c r="E100" s="17"/>
      <c r="F100" s="21"/>
      <c r="G100" s="21"/>
    </row>
    <row r="101" spans="3:7">
      <c r="C101" s="16">
        <v>18</v>
      </c>
      <c r="D101" s="16" t="s">
        <v>199</v>
      </c>
      <c r="E101" s="17">
        <v>401</v>
      </c>
      <c r="F101" s="21">
        <v>500</v>
      </c>
      <c r="G101" s="21"/>
    </row>
    <row r="102" spans="3:7">
      <c r="C102" s="16"/>
      <c r="D102" s="16" t="s">
        <v>200</v>
      </c>
      <c r="E102" s="17">
        <v>112</v>
      </c>
      <c r="F102" s="21"/>
      <c r="G102" s="21">
        <v>500</v>
      </c>
    </row>
    <row r="103" spans="3:7">
      <c r="C103" s="16"/>
      <c r="D103" s="16"/>
      <c r="E103" s="17"/>
      <c r="F103" s="21"/>
      <c r="G103" s="21"/>
    </row>
    <row r="104" spans="3:7">
      <c r="C104" s="16">
        <v>18</v>
      </c>
      <c r="D104" s="16" t="s">
        <v>159</v>
      </c>
      <c r="E104" s="17">
        <v>115</v>
      </c>
      <c r="F104" s="21">
        <v>100</v>
      </c>
      <c r="G104" s="21"/>
    </row>
    <row r="105" spans="3:7">
      <c r="C105" s="16"/>
      <c r="D105" s="16" t="s">
        <v>201</v>
      </c>
      <c r="E105" s="17">
        <v>403</v>
      </c>
      <c r="F105" s="21"/>
      <c r="G105" s="21">
        <v>100</v>
      </c>
    </row>
    <row r="106" spans="3:7">
      <c r="C106" s="16"/>
      <c r="D106" s="16"/>
      <c r="E106" s="17"/>
      <c r="F106" s="21"/>
      <c r="G106" s="21"/>
    </row>
    <row r="107" spans="3:7">
      <c r="C107" s="16">
        <v>20</v>
      </c>
      <c r="D107" s="16" t="s">
        <v>169</v>
      </c>
      <c r="E107" s="17">
        <v>404</v>
      </c>
      <c r="F107" s="21">
        <v>500</v>
      </c>
      <c r="G107" s="21"/>
    </row>
    <row r="108" spans="3:7">
      <c r="C108" s="16"/>
      <c r="D108" s="16" t="s">
        <v>177</v>
      </c>
      <c r="E108" s="17">
        <v>101</v>
      </c>
      <c r="F108" s="21"/>
      <c r="G108" s="21">
        <v>500</v>
      </c>
    </row>
    <row r="109" spans="3:7">
      <c r="C109" s="16"/>
      <c r="D109" s="16"/>
      <c r="E109" s="17"/>
      <c r="F109" s="21"/>
      <c r="G109" s="21"/>
    </row>
    <row r="110" spans="3:7">
      <c r="C110" s="16">
        <v>24</v>
      </c>
      <c r="D110" s="16" t="s">
        <v>202</v>
      </c>
      <c r="E110" s="17">
        <v>118</v>
      </c>
      <c r="F110" s="21">
        <v>6000</v>
      </c>
      <c r="G110" s="21"/>
    </row>
    <row r="111" spans="3:7">
      <c r="C111" s="16"/>
      <c r="D111" s="16" t="s">
        <v>177</v>
      </c>
      <c r="E111" s="17">
        <v>101</v>
      </c>
      <c r="F111" s="21"/>
      <c r="G111" s="21">
        <v>6000</v>
      </c>
    </row>
    <row r="112" spans="3:7">
      <c r="C112" s="16"/>
      <c r="D112" s="16"/>
      <c r="E112" s="17"/>
      <c r="F112" s="21"/>
      <c r="G112" s="21"/>
    </row>
    <row r="113" spans="3:7">
      <c r="C113" s="16">
        <v>27</v>
      </c>
      <c r="D113" s="16" t="s">
        <v>191</v>
      </c>
      <c r="E113" s="17">
        <v>112</v>
      </c>
      <c r="F113" s="21">
        <v>1500</v>
      </c>
      <c r="G113" s="21"/>
    </row>
    <row r="114" spans="3:7">
      <c r="C114" s="16"/>
      <c r="D114" s="16" t="s">
        <v>180</v>
      </c>
      <c r="E114" s="17">
        <v>400</v>
      </c>
      <c r="F114" s="21"/>
      <c r="G114" s="21">
        <v>1500</v>
      </c>
    </row>
    <row r="115" spans="3:7">
      <c r="C115" s="16"/>
      <c r="D115" s="16"/>
      <c r="E115" s="17"/>
      <c r="F115" s="21"/>
      <c r="G115" s="21"/>
    </row>
    <row r="116" spans="3:7">
      <c r="C116" s="16">
        <v>27</v>
      </c>
      <c r="D116" s="16" t="s">
        <v>192</v>
      </c>
      <c r="E116" s="17">
        <v>403</v>
      </c>
      <c r="F116" s="21">
        <v>1000</v>
      </c>
      <c r="G116" s="21"/>
    </row>
    <row r="117" spans="3:7">
      <c r="C117" s="16"/>
      <c r="D117" s="16" t="s">
        <v>189</v>
      </c>
      <c r="E117" s="17">
        <v>116</v>
      </c>
      <c r="F117" s="21"/>
      <c r="G117" s="21">
        <v>1000</v>
      </c>
    </row>
    <row r="118" spans="3:7">
      <c r="C118" s="16"/>
      <c r="D118" s="16"/>
      <c r="E118" s="17"/>
      <c r="F118" s="21"/>
      <c r="G118" s="21"/>
    </row>
    <row r="119" spans="3:7">
      <c r="C119" s="16">
        <v>31</v>
      </c>
      <c r="D119" s="16" t="s">
        <v>203</v>
      </c>
      <c r="E119" s="17">
        <v>201</v>
      </c>
      <c r="F119" s="21">
        <v>3000</v>
      </c>
      <c r="G119" s="21"/>
    </row>
    <row r="120" spans="3:7">
      <c r="C120" s="16"/>
      <c r="D120" s="16" t="s">
        <v>175</v>
      </c>
      <c r="E120" s="17">
        <v>101</v>
      </c>
      <c r="F120" s="21"/>
      <c r="G120" s="21">
        <v>3000</v>
      </c>
    </row>
    <row r="121" spans="3:7">
      <c r="C121" s="16"/>
      <c r="D121" s="16"/>
      <c r="E121" s="17"/>
      <c r="F121" s="21"/>
      <c r="G121" s="21"/>
    </row>
    <row r="122" spans="3:7">
      <c r="C122" s="18" t="str">
        <f>CONCATENATE("Apr.","               ","3")</f>
        <v>Apr.               3</v>
      </c>
      <c r="D122" s="16" t="s">
        <v>157</v>
      </c>
      <c r="E122" s="17">
        <v>500</v>
      </c>
      <c r="F122" s="21">
        <v>1000</v>
      </c>
      <c r="G122" s="21"/>
    </row>
    <row r="123" spans="3:7">
      <c r="C123" s="16"/>
      <c r="D123" s="16" t="s">
        <v>177</v>
      </c>
      <c r="E123" s="17">
        <v>101</v>
      </c>
      <c r="F123" s="21"/>
      <c r="G123" s="21">
        <v>1000</v>
      </c>
    </row>
    <row r="124" spans="3:7">
      <c r="C124" s="16"/>
      <c r="D124" s="16"/>
      <c r="E124" s="17"/>
      <c r="F124" s="21"/>
      <c r="G124" s="21"/>
    </row>
    <row r="125" spans="3:7">
      <c r="C125" s="16">
        <v>6</v>
      </c>
      <c r="D125" s="16" t="s">
        <v>191</v>
      </c>
      <c r="E125" s="17">
        <v>112</v>
      </c>
      <c r="F125" s="21">
        <v>2000</v>
      </c>
      <c r="G125" s="21"/>
    </row>
    <row r="126" spans="3:7">
      <c r="C126" s="16"/>
      <c r="D126" s="16" t="s">
        <v>153</v>
      </c>
      <c r="E126" s="17">
        <v>101</v>
      </c>
      <c r="F126" s="21">
        <v>3000</v>
      </c>
      <c r="G126" s="21"/>
    </row>
    <row r="127" spans="3:7">
      <c r="C127" s="16"/>
      <c r="D127" s="16" t="s">
        <v>204</v>
      </c>
      <c r="E127" s="17">
        <v>400</v>
      </c>
      <c r="F127" s="21"/>
      <c r="G127" s="21">
        <v>5000</v>
      </c>
    </row>
    <row r="128" spans="3:7">
      <c r="C128" s="16"/>
      <c r="D128" s="16"/>
      <c r="E128" s="17"/>
      <c r="F128" s="21"/>
      <c r="G128" s="21"/>
    </row>
    <row r="129" spans="3:7">
      <c r="C129" s="16">
        <v>6</v>
      </c>
      <c r="D129" s="16" t="s">
        <v>205</v>
      </c>
      <c r="E129" s="17">
        <v>403</v>
      </c>
      <c r="F129" s="21">
        <v>3500</v>
      </c>
      <c r="G129" s="21"/>
    </row>
    <row r="130" spans="3:7">
      <c r="C130" s="16"/>
      <c r="D130" s="16" t="s">
        <v>206</v>
      </c>
      <c r="E130" s="17">
        <v>115</v>
      </c>
      <c r="F130" s="21"/>
      <c r="G130" s="21">
        <v>3500</v>
      </c>
    </row>
    <row r="131" spans="3:7">
      <c r="C131" s="16"/>
      <c r="D131" s="16"/>
      <c r="E131" s="17"/>
      <c r="F131" s="21"/>
      <c r="G131" s="21"/>
    </row>
    <row r="132" spans="3:7">
      <c r="C132" s="16">
        <v>10</v>
      </c>
      <c r="D132" s="16" t="s">
        <v>153</v>
      </c>
      <c r="E132" s="17">
        <v>101</v>
      </c>
      <c r="F132" s="21">
        <v>1500</v>
      </c>
      <c r="G132" s="21"/>
    </row>
    <row r="133" spans="3:7">
      <c r="C133" s="16"/>
      <c r="D133" s="16" t="s">
        <v>200</v>
      </c>
      <c r="E133" s="17">
        <v>112</v>
      </c>
      <c r="F133" s="21"/>
      <c r="G133" s="21">
        <v>1500</v>
      </c>
    </row>
    <row r="134" spans="3:7">
      <c r="C134" s="16"/>
      <c r="D134" s="16"/>
      <c r="E134" s="17"/>
      <c r="F134" s="21"/>
      <c r="G134" s="21"/>
    </row>
    <row r="135" spans="3:7">
      <c r="C135" s="16">
        <v>12</v>
      </c>
      <c r="D135" s="16" t="s">
        <v>207</v>
      </c>
      <c r="E135" s="17">
        <v>119</v>
      </c>
      <c r="F135" s="21">
        <v>4500</v>
      </c>
      <c r="G135" s="21"/>
    </row>
    <row r="136" spans="3:7">
      <c r="C136" s="16"/>
      <c r="D136" s="16" t="s">
        <v>208</v>
      </c>
      <c r="E136" s="17">
        <v>201</v>
      </c>
      <c r="F136" s="21"/>
      <c r="G136" s="21">
        <v>4500</v>
      </c>
    </row>
    <row r="137" spans="3:7">
      <c r="C137" s="16"/>
      <c r="D137" s="16"/>
      <c r="E137" s="17"/>
      <c r="F137" s="21"/>
      <c r="G137" s="21"/>
    </row>
    <row r="138" spans="3:7">
      <c r="C138" s="16">
        <v>16</v>
      </c>
      <c r="D138" s="16" t="s">
        <v>167</v>
      </c>
      <c r="E138" s="17">
        <v>201</v>
      </c>
      <c r="F138" s="21">
        <v>700</v>
      </c>
      <c r="G138" s="21"/>
    </row>
    <row r="139" spans="3:7">
      <c r="C139" s="16"/>
      <c r="D139" s="16" t="s">
        <v>209</v>
      </c>
      <c r="E139" s="17">
        <v>119</v>
      </c>
      <c r="F139" s="21"/>
      <c r="G139" s="21">
        <v>700</v>
      </c>
    </row>
    <row r="140" spans="3:7">
      <c r="C140" s="16"/>
      <c r="D140" s="16"/>
      <c r="E140" s="17"/>
      <c r="F140" s="21"/>
      <c r="G140" s="21"/>
    </row>
    <row r="141" spans="3:7">
      <c r="C141" s="16">
        <v>20</v>
      </c>
      <c r="D141" s="16" t="s">
        <v>168</v>
      </c>
      <c r="E141" s="17">
        <v>501</v>
      </c>
      <c r="F141" s="21">
        <v>800</v>
      </c>
      <c r="G141" s="21"/>
    </row>
    <row r="142" spans="3:7">
      <c r="C142" s="16"/>
      <c r="D142" s="16" t="s">
        <v>175</v>
      </c>
      <c r="E142" s="17">
        <v>101</v>
      </c>
      <c r="F142" s="21"/>
      <c r="G142" s="21">
        <v>800</v>
      </c>
    </row>
    <row r="143" spans="3:7">
      <c r="C143" s="16"/>
      <c r="D143" s="16"/>
      <c r="E143" s="17"/>
      <c r="F143" s="21"/>
      <c r="G143" s="21"/>
    </row>
    <row r="144" spans="3:7">
      <c r="C144" s="16">
        <v>20</v>
      </c>
      <c r="D144" s="16" t="s">
        <v>210</v>
      </c>
      <c r="E144" s="17">
        <v>401</v>
      </c>
      <c r="F144" s="21">
        <v>200</v>
      </c>
      <c r="G144" s="21"/>
    </row>
    <row r="145" spans="3:7">
      <c r="C145" s="16"/>
      <c r="D145" s="16" t="s">
        <v>200</v>
      </c>
      <c r="E145" s="17">
        <v>112</v>
      </c>
      <c r="F145" s="21"/>
      <c r="G145" s="21">
        <v>200</v>
      </c>
    </row>
    <row r="146" spans="3:7">
      <c r="C146" s="16"/>
      <c r="D146" s="16"/>
      <c r="E146" s="17"/>
      <c r="F146" s="21"/>
      <c r="G146" s="21"/>
    </row>
    <row r="147" spans="3:7">
      <c r="C147" s="16">
        <v>20</v>
      </c>
      <c r="D147" s="16" t="s">
        <v>159</v>
      </c>
      <c r="E147" s="17">
        <v>115</v>
      </c>
      <c r="F147" s="21">
        <v>150</v>
      </c>
      <c r="G147" s="21"/>
    </row>
    <row r="148" spans="3:7">
      <c r="C148" s="16"/>
      <c r="D148" s="16" t="s">
        <v>201</v>
      </c>
      <c r="E148" s="17">
        <v>403</v>
      </c>
      <c r="F148" s="21"/>
      <c r="G148" s="21">
        <v>150</v>
      </c>
    </row>
    <row r="149" spans="3:7">
      <c r="C149" s="16"/>
      <c r="D149" s="16"/>
      <c r="E149" s="17"/>
      <c r="F149" s="21"/>
      <c r="G149" s="21"/>
    </row>
    <row r="150" spans="3:7">
      <c r="C150" s="16">
        <v>23</v>
      </c>
      <c r="D150" s="16" t="s">
        <v>174</v>
      </c>
      <c r="E150" s="17">
        <v>306</v>
      </c>
      <c r="F150" s="21">
        <v>1200</v>
      </c>
      <c r="G150" s="21"/>
    </row>
    <row r="151" spans="3:7">
      <c r="C151" s="16"/>
      <c r="D151" s="16" t="s">
        <v>177</v>
      </c>
      <c r="E151" s="17">
        <v>101</v>
      </c>
      <c r="F151" s="21"/>
      <c r="G151" s="21">
        <v>1200</v>
      </c>
    </row>
    <row r="152" spans="3:7">
      <c r="C152" s="16"/>
      <c r="D152" s="16"/>
      <c r="E152" s="17"/>
      <c r="F152" s="21"/>
      <c r="G152" s="21"/>
    </row>
    <row r="153" spans="3:7">
      <c r="C153" s="16">
        <v>25</v>
      </c>
      <c r="D153" s="16" t="s">
        <v>211</v>
      </c>
      <c r="E153" s="17">
        <v>502</v>
      </c>
      <c r="F153" s="21">
        <v>2800</v>
      </c>
      <c r="G153" s="21"/>
    </row>
    <row r="154" spans="3:7">
      <c r="C154" s="16"/>
      <c r="D154" s="16" t="s">
        <v>177</v>
      </c>
      <c r="E154" s="17">
        <v>101</v>
      </c>
      <c r="F154" s="21"/>
      <c r="G154" s="21">
        <v>2800</v>
      </c>
    </row>
    <row r="155" spans="3:7">
      <c r="C155" s="16"/>
      <c r="D155" s="16"/>
      <c r="E155" s="17"/>
      <c r="F155" s="21"/>
      <c r="G155" s="21"/>
    </row>
    <row r="156" spans="3:7">
      <c r="C156" s="16">
        <v>27</v>
      </c>
      <c r="D156" s="16" t="s">
        <v>171</v>
      </c>
      <c r="E156" s="17">
        <v>101</v>
      </c>
      <c r="F156" s="21">
        <v>3500</v>
      </c>
      <c r="G156" s="21"/>
    </row>
    <row r="157" spans="3:7">
      <c r="C157" s="16"/>
      <c r="D157" s="16" t="s">
        <v>180</v>
      </c>
      <c r="E157" s="17">
        <v>400</v>
      </c>
      <c r="F157" s="21"/>
      <c r="G157" s="21">
        <v>3500</v>
      </c>
    </row>
    <row r="158" spans="3:7">
      <c r="C158" s="16"/>
      <c r="D158" s="16"/>
      <c r="E158" s="17"/>
      <c r="F158" s="21"/>
      <c r="G158" s="21"/>
    </row>
    <row r="159" spans="3:7">
      <c r="C159" s="16">
        <v>27</v>
      </c>
      <c r="D159" s="16" t="s">
        <v>212</v>
      </c>
      <c r="E159" s="17">
        <v>403</v>
      </c>
      <c r="F159" s="21">
        <v>3000</v>
      </c>
      <c r="G159" s="21"/>
    </row>
    <row r="160" spans="3:7">
      <c r="C160" s="16"/>
      <c r="D160" s="16" t="s">
        <v>213</v>
      </c>
      <c r="E160" s="17">
        <v>118</v>
      </c>
      <c r="F160" s="21"/>
      <c r="G160" s="21">
        <v>3000</v>
      </c>
    </row>
    <row r="161" spans="3:7">
      <c r="C161" s="16"/>
      <c r="D161" s="16"/>
      <c r="E161" s="17"/>
      <c r="F161" s="21"/>
      <c r="G161" s="21"/>
    </row>
    <row r="162" spans="3:7">
      <c r="C162" s="16">
        <v>30</v>
      </c>
      <c r="D162" s="16" t="s">
        <v>167</v>
      </c>
      <c r="E162" s="17">
        <v>201</v>
      </c>
      <c r="F162" s="21">
        <v>2000</v>
      </c>
      <c r="G162" s="21"/>
    </row>
    <row r="163" spans="3:7">
      <c r="C163" s="16"/>
      <c r="D163" s="16" t="s">
        <v>186</v>
      </c>
      <c r="E163" s="17">
        <v>101</v>
      </c>
      <c r="F163" s="21"/>
      <c r="G163" s="21">
        <v>2000</v>
      </c>
    </row>
    <row r="164" spans="3:7">
      <c r="C164" s="16"/>
      <c r="D164" s="16"/>
      <c r="E164" s="17"/>
      <c r="F164" s="21"/>
      <c r="G164" s="21"/>
    </row>
    <row r="165" spans="3:7">
      <c r="C165" s="18" t="str">
        <f>CONCATENATE("May.","             ","2")</f>
        <v>May.             2</v>
      </c>
      <c r="D165" s="16" t="s">
        <v>214</v>
      </c>
      <c r="E165" s="17">
        <v>500</v>
      </c>
      <c r="F165" s="21">
        <v>1000</v>
      </c>
      <c r="G165" s="21"/>
    </row>
    <row r="166" spans="3:7">
      <c r="C166" s="16"/>
      <c r="D166" s="16" t="s">
        <v>215</v>
      </c>
      <c r="E166" s="17">
        <v>101</v>
      </c>
      <c r="F166" s="21"/>
      <c r="G166" s="21">
        <v>1000</v>
      </c>
    </row>
    <row r="167" spans="3:7">
      <c r="C167" s="16"/>
      <c r="D167" s="16"/>
      <c r="E167" s="17"/>
      <c r="F167" s="21"/>
      <c r="G167" s="21"/>
    </row>
    <row r="168" spans="3:7">
      <c r="C168" s="16">
        <v>4</v>
      </c>
      <c r="D168" s="16" t="s">
        <v>216</v>
      </c>
      <c r="E168" s="17">
        <v>120</v>
      </c>
      <c r="F168" s="21">
        <v>3200</v>
      </c>
      <c r="G168" s="21"/>
    </row>
    <row r="169" spans="3:7">
      <c r="C169" s="16"/>
      <c r="D169" s="16" t="s">
        <v>208</v>
      </c>
      <c r="E169" s="17">
        <v>201</v>
      </c>
      <c r="F169" s="21"/>
      <c r="G169" s="21">
        <v>3200</v>
      </c>
    </row>
    <row r="170" spans="3:7">
      <c r="C170" s="16"/>
      <c r="D170" s="16"/>
      <c r="E170" s="17"/>
      <c r="F170" s="21"/>
      <c r="G170" s="21"/>
    </row>
    <row r="171" spans="3:7">
      <c r="C171" s="16">
        <v>7</v>
      </c>
      <c r="D171" s="16" t="s">
        <v>196</v>
      </c>
      <c r="E171" s="17">
        <v>501</v>
      </c>
      <c r="F171" s="21">
        <v>1500</v>
      </c>
      <c r="G171" s="21"/>
    </row>
    <row r="172" spans="3:7">
      <c r="C172" s="16"/>
      <c r="D172" s="16" t="s">
        <v>177</v>
      </c>
      <c r="E172" s="17">
        <v>101</v>
      </c>
      <c r="F172" s="21"/>
      <c r="G172" s="21">
        <v>1500</v>
      </c>
    </row>
    <row r="173" spans="3:7">
      <c r="C173" s="16"/>
      <c r="D173" s="16"/>
      <c r="E173" s="17"/>
      <c r="F173" s="21"/>
      <c r="G173" s="21"/>
    </row>
    <row r="174" spans="3:7">
      <c r="C174" s="16">
        <v>9</v>
      </c>
      <c r="D174" s="16" t="s">
        <v>179</v>
      </c>
      <c r="E174" s="17">
        <v>112</v>
      </c>
      <c r="F174" s="21">
        <v>2000</v>
      </c>
      <c r="G174" s="21"/>
    </row>
    <row r="175" spans="3:7">
      <c r="C175" s="16"/>
      <c r="D175" s="16" t="s">
        <v>153</v>
      </c>
      <c r="E175" s="17">
        <v>101</v>
      </c>
      <c r="F175" s="21">
        <v>4000</v>
      </c>
      <c r="G175" s="21"/>
    </row>
    <row r="176" spans="3:7">
      <c r="C176" s="16"/>
      <c r="D176" s="16" t="s">
        <v>217</v>
      </c>
      <c r="E176" s="17">
        <v>400</v>
      </c>
      <c r="F176" s="21"/>
      <c r="G176" s="21">
        <v>6000</v>
      </c>
    </row>
    <row r="177" spans="3:7">
      <c r="C177" s="16"/>
      <c r="D177" s="16"/>
      <c r="E177" s="17"/>
      <c r="F177" s="21"/>
      <c r="G177" s="21"/>
    </row>
    <row r="178" spans="3:7">
      <c r="C178" s="16">
        <v>9</v>
      </c>
      <c r="D178" s="16" t="s">
        <v>212</v>
      </c>
      <c r="E178" s="17">
        <v>403</v>
      </c>
      <c r="F178" s="21">
        <v>4600</v>
      </c>
      <c r="G178" s="21"/>
    </row>
    <row r="179" spans="3:7">
      <c r="C179" s="16"/>
      <c r="D179" s="16" t="s">
        <v>218</v>
      </c>
      <c r="E179" s="17">
        <v>116</v>
      </c>
      <c r="F179" s="21"/>
      <c r="G179" s="21">
        <v>4600</v>
      </c>
    </row>
    <row r="180" spans="3:7">
      <c r="C180" s="16"/>
      <c r="D180" s="16"/>
      <c r="E180" s="17"/>
      <c r="F180" s="21"/>
      <c r="G180" s="21"/>
    </row>
    <row r="181" spans="3:7">
      <c r="C181" s="16">
        <v>12</v>
      </c>
      <c r="D181" s="16" t="s">
        <v>219</v>
      </c>
      <c r="E181" s="17">
        <v>504</v>
      </c>
      <c r="F181" s="21">
        <v>3000</v>
      </c>
      <c r="G181" s="21"/>
    </row>
    <row r="182" spans="3:7">
      <c r="C182" s="16"/>
      <c r="D182" s="16" t="s">
        <v>175</v>
      </c>
      <c r="E182" s="17">
        <v>101</v>
      </c>
      <c r="F182" s="21"/>
      <c r="G182" s="21">
        <v>3000</v>
      </c>
    </row>
    <row r="183" spans="3:7">
      <c r="C183" s="16"/>
      <c r="D183" s="16"/>
      <c r="E183" s="17"/>
      <c r="F183" s="21"/>
      <c r="G183" s="21"/>
    </row>
    <row r="184" spans="3:7">
      <c r="C184" s="16">
        <v>15</v>
      </c>
      <c r="D184" s="16" t="s">
        <v>153</v>
      </c>
      <c r="E184" s="17">
        <v>101</v>
      </c>
      <c r="F184" s="21">
        <v>1800</v>
      </c>
      <c r="G184" s="21"/>
    </row>
    <row r="185" spans="3:7">
      <c r="C185" s="16"/>
      <c r="D185" s="16" t="s">
        <v>200</v>
      </c>
      <c r="E185" s="17">
        <v>112</v>
      </c>
      <c r="F185" s="21"/>
      <c r="G185" s="21">
        <v>1800</v>
      </c>
    </row>
    <row r="186" spans="3:7">
      <c r="C186" s="16"/>
      <c r="D186" s="16"/>
      <c r="E186" s="17"/>
      <c r="F186" s="21"/>
      <c r="G186" s="21"/>
    </row>
    <row r="187" spans="3:7">
      <c r="C187" s="16">
        <v>18</v>
      </c>
      <c r="D187" s="16" t="s">
        <v>169</v>
      </c>
      <c r="E187" s="17">
        <v>404</v>
      </c>
      <c r="F187" s="21">
        <v>800</v>
      </c>
      <c r="G187" s="21"/>
    </row>
    <row r="188" spans="3:7">
      <c r="C188" s="16"/>
      <c r="D188" s="16" t="s">
        <v>177</v>
      </c>
      <c r="E188" s="17">
        <v>101</v>
      </c>
      <c r="F188" s="21"/>
      <c r="G188" s="21">
        <v>800</v>
      </c>
    </row>
    <row r="189" spans="3:7">
      <c r="C189" s="16"/>
      <c r="D189" s="16"/>
      <c r="E189" s="17"/>
      <c r="F189" s="21"/>
      <c r="G189" s="21"/>
    </row>
    <row r="190" spans="3:7">
      <c r="C190" s="16">
        <v>21</v>
      </c>
      <c r="D190" s="16" t="s">
        <v>220</v>
      </c>
      <c r="E190" s="17">
        <v>121</v>
      </c>
      <c r="F190" s="21">
        <v>5000</v>
      </c>
      <c r="G190" s="21"/>
    </row>
    <row r="191" spans="3:7">
      <c r="C191" s="16"/>
      <c r="D191" s="16" t="s">
        <v>177</v>
      </c>
      <c r="E191" s="17">
        <v>101</v>
      </c>
      <c r="F191" s="21"/>
      <c r="G191" s="21">
        <v>2500</v>
      </c>
    </row>
    <row r="192" spans="3:7">
      <c r="C192" s="16"/>
      <c r="D192" s="16" t="s">
        <v>195</v>
      </c>
      <c r="E192" s="17">
        <v>201</v>
      </c>
      <c r="F192" s="21"/>
      <c r="G192" s="21">
        <v>2500</v>
      </c>
    </row>
    <row r="193" spans="3:7">
      <c r="C193" s="16"/>
      <c r="D193" s="16"/>
      <c r="E193" s="17"/>
      <c r="F193" s="21"/>
      <c r="G193" s="21"/>
    </row>
    <row r="194" spans="3:7">
      <c r="C194" s="16">
        <v>25</v>
      </c>
      <c r="D194" s="16" t="s">
        <v>167</v>
      </c>
      <c r="E194" s="17">
        <v>201</v>
      </c>
      <c r="F194" s="21">
        <v>200</v>
      </c>
      <c r="G194" s="21"/>
    </row>
    <row r="195" spans="3:7">
      <c r="C195" s="16"/>
      <c r="D195" s="16" t="s">
        <v>221</v>
      </c>
      <c r="E195" s="17">
        <v>120</v>
      </c>
      <c r="F195" s="21"/>
      <c r="G195" s="21">
        <v>200</v>
      </c>
    </row>
    <row r="196" spans="3:7">
      <c r="C196" s="16"/>
      <c r="D196" s="16"/>
      <c r="E196" s="17"/>
      <c r="F196" s="21"/>
      <c r="G196" s="21"/>
    </row>
    <row r="197" spans="3:7">
      <c r="C197" s="16">
        <v>28</v>
      </c>
      <c r="D197" s="16" t="s">
        <v>174</v>
      </c>
      <c r="E197" s="17">
        <v>306</v>
      </c>
      <c r="F197" s="21">
        <v>1000</v>
      </c>
      <c r="G197" s="21"/>
    </row>
    <row r="198" spans="3:7">
      <c r="C198" s="16"/>
      <c r="D198" s="16" t="s">
        <v>177</v>
      </c>
      <c r="E198" s="17">
        <v>101</v>
      </c>
      <c r="F198" s="21"/>
      <c r="G198" s="21">
        <v>1000</v>
      </c>
    </row>
    <row r="199" spans="3:7">
      <c r="C199" s="16"/>
      <c r="D199" s="16"/>
      <c r="E199" s="17"/>
      <c r="F199" s="21"/>
      <c r="G199" s="21"/>
    </row>
    <row r="200" spans="3:7">
      <c r="C200" s="18" t="str">
        <f>CONCATENATE("June.","             ","1")</f>
        <v>June.             1</v>
      </c>
      <c r="D200" s="16" t="s">
        <v>179</v>
      </c>
      <c r="E200" s="17">
        <v>112</v>
      </c>
      <c r="F200" s="21">
        <v>8000</v>
      </c>
      <c r="G200" s="21"/>
    </row>
    <row r="201" spans="3:7">
      <c r="C201" s="16"/>
      <c r="D201" s="16" t="s">
        <v>222</v>
      </c>
      <c r="E201" s="17">
        <v>400</v>
      </c>
      <c r="F201" s="21"/>
      <c r="G201" s="21">
        <v>8000</v>
      </c>
    </row>
    <row r="202" spans="3:7">
      <c r="C202" s="16"/>
      <c r="D202" s="16"/>
      <c r="E202" s="17"/>
      <c r="F202" s="21"/>
      <c r="G202" s="21"/>
    </row>
    <row r="203" spans="3:7">
      <c r="C203" s="16">
        <v>1</v>
      </c>
      <c r="D203" s="16" t="s">
        <v>192</v>
      </c>
      <c r="E203" s="17">
        <v>403</v>
      </c>
      <c r="F203" s="21">
        <v>6700</v>
      </c>
      <c r="G203" s="21"/>
    </row>
    <row r="204" spans="3:7">
      <c r="C204" s="16"/>
      <c r="D204" s="16" t="s">
        <v>223</v>
      </c>
      <c r="E204" s="17">
        <v>115</v>
      </c>
      <c r="F204" s="21"/>
      <c r="G204" s="21">
        <v>6700</v>
      </c>
    </row>
    <row r="205" spans="3:7">
      <c r="C205" s="16"/>
      <c r="D205" s="16"/>
      <c r="E205" s="17"/>
      <c r="F205" s="21"/>
      <c r="G205" s="21"/>
    </row>
    <row r="206" spans="3:7">
      <c r="C206" s="16">
        <v>4</v>
      </c>
      <c r="D206" s="16" t="s">
        <v>224</v>
      </c>
      <c r="E206" s="17">
        <v>122</v>
      </c>
      <c r="F206" s="21">
        <v>2700</v>
      </c>
      <c r="G206" s="21"/>
    </row>
    <row r="207" spans="3:7">
      <c r="C207" s="16"/>
      <c r="D207" s="16" t="s">
        <v>187</v>
      </c>
      <c r="E207" s="17">
        <v>201</v>
      </c>
      <c r="F207" s="21"/>
      <c r="G207" s="21">
        <v>2700</v>
      </c>
    </row>
    <row r="208" spans="3:7">
      <c r="C208" s="16"/>
      <c r="D208" s="16"/>
      <c r="E208" s="17"/>
      <c r="F208" s="21"/>
      <c r="G208" s="21"/>
    </row>
    <row r="209" spans="3:7">
      <c r="C209" s="16">
        <v>7</v>
      </c>
      <c r="D209" s="16" t="s">
        <v>225</v>
      </c>
      <c r="E209" s="17">
        <v>505</v>
      </c>
      <c r="F209" s="21">
        <v>1200</v>
      </c>
      <c r="G209" s="21"/>
    </row>
    <row r="210" spans="3:7">
      <c r="C210" s="16"/>
      <c r="D210" s="16" t="s">
        <v>186</v>
      </c>
      <c r="E210" s="17">
        <v>101</v>
      </c>
      <c r="F210" s="21"/>
      <c r="G210" s="21">
        <v>1200</v>
      </c>
    </row>
    <row r="211" spans="3:7">
      <c r="C211" s="16"/>
      <c r="D211" s="16"/>
      <c r="E211" s="17"/>
      <c r="F211" s="21"/>
      <c r="G211" s="21"/>
    </row>
    <row r="212" spans="3:7">
      <c r="C212" s="16">
        <v>10</v>
      </c>
      <c r="D212" s="16" t="s">
        <v>153</v>
      </c>
      <c r="E212" s="17">
        <v>101</v>
      </c>
      <c r="F212" s="21">
        <v>7760</v>
      </c>
      <c r="G212" s="21"/>
    </row>
    <row r="213" spans="3:7">
      <c r="C213" s="16"/>
      <c r="D213" s="16" t="s">
        <v>226</v>
      </c>
      <c r="E213" s="17">
        <v>402</v>
      </c>
      <c r="F213" s="21">
        <v>240</v>
      </c>
      <c r="G213" s="21"/>
    </row>
    <row r="214" spans="3:7">
      <c r="C214" s="16"/>
      <c r="D214" s="16" t="s">
        <v>200</v>
      </c>
      <c r="E214" s="17">
        <v>112</v>
      </c>
      <c r="F214" s="21"/>
      <c r="G214" s="21">
        <v>8000</v>
      </c>
    </row>
    <row r="215" spans="3:7">
      <c r="C215" s="16"/>
      <c r="D215" s="16"/>
      <c r="E215" s="17"/>
      <c r="F215" s="21"/>
      <c r="G215" s="21"/>
    </row>
    <row r="216" spans="3:7">
      <c r="C216" s="16">
        <v>13</v>
      </c>
      <c r="D216" s="16" t="s">
        <v>227</v>
      </c>
      <c r="E216" s="17">
        <v>160</v>
      </c>
      <c r="F216" s="21">
        <v>1000</v>
      </c>
      <c r="G216" s="21"/>
    </row>
    <row r="217" spans="3:7">
      <c r="C217" s="16"/>
      <c r="D217" s="16" t="s">
        <v>177</v>
      </c>
      <c r="E217" s="17">
        <v>101</v>
      </c>
      <c r="F217" s="21"/>
      <c r="G217" s="21">
        <v>1000</v>
      </c>
    </row>
    <row r="218" spans="3:7">
      <c r="C218" s="16"/>
      <c r="D218" s="16"/>
      <c r="E218" s="17"/>
      <c r="F218" s="21"/>
      <c r="G218" s="21"/>
    </row>
    <row r="219" spans="3:7">
      <c r="C219" s="16">
        <v>15</v>
      </c>
      <c r="D219" s="16" t="s">
        <v>228</v>
      </c>
      <c r="E219" s="17">
        <v>506</v>
      </c>
      <c r="F219" s="21">
        <v>3000</v>
      </c>
      <c r="G219" s="21"/>
    </row>
    <row r="220" spans="3:7">
      <c r="C220" s="16"/>
      <c r="D220" s="16" t="s">
        <v>186</v>
      </c>
      <c r="E220" s="17">
        <v>101</v>
      </c>
      <c r="F220" s="21"/>
      <c r="G220" s="21">
        <v>3000</v>
      </c>
    </row>
    <row r="221" spans="3:7">
      <c r="C221" s="16"/>
      <c r="D221" s="16"/>
      <c r="E221" s="17"/>
      <c r="F221" s="21"/>
      <c r="G221" s="21"/>
    </row>
    <row r="222" spans="3:7">
      <c r="C222" s="16">
        <v>18</v>
      </c>
      <c r="D222" s="3" t="s">
        <v>229</v>
      </c>
      <c r="E222" s="17">
        <v>101</v>
      </c>
      <c r="F222" s="21">
        <v>1200</v>
      </c>
      <c r="G222" s="21"/>
    </row>
    <row r="223" spans="3:7">
      <c r="C223" s="16"/>
      <c r="D223" s="16" t="s">
        <v>230</v>
      </c>
      <c r="E223" s="17">
        <v>400</v>
      </c>
      <c r="F223" s="21"/>
      <c r="G223" s="21">
        <v>1200</v>
      </c>
    </row>
    <row r="224" spans="3:7">
      <c r="C224" s="16"/>
      <c r="D224" s="16"/>
      <c r="E224" s="17"/>
      <c r="F224" s="21"/>
      <c r="G224" s="21"/>
    </row>
    <row r="225" spans="3:7">
      <c r="C225" s="16">
        <v>18</v>
      </c>
      <c r="D225" s="3" t="s">
        <v>231</v>
      </c>
      <c r="E225" s="17">
        <v>403</v>
      </c>
      <c r="F225" s="21">
        <v>1100</v>
      </c>
      <c r="G225" s="24"/>
    </row>
    <row r="226" spans="3:7">
      <c r="C226" s="16"/>
      <c r="D226" s="3" t="s">
        <v>232</v>
      </c>
      <c r="E226" s="17">
        <v>118</v>
      </c>
      <c r="F226" s="24"/>
      <c r="G226" s="21">
        <v>1100</v>
      </c>
    </row>
    <row r="227" spans="3:7">
      <c r="C227" s="16"/>
      <c r="D227" s="16"/>
      <c r="E227" s="17"/>
      <c r="F227" s="21"/>
      <c r="G227" s="21"/>
    </row>
    <row r="228" spans="3:7">
      <c r="C228" s="16">
        <v>22</v>
      </c>
      <c r="D228" s="16" t="s">
        <v>233</v>
      </c>
      <c r="E228" s="17">
        <v>404</v>
      </c>
      <c r="F228" s="21">
        <v>800</v>
      </c>
      <c r="G228" s="21"/>
    </row>
    <row r="229" spans="3:7">
      <c r="C229" s="16"/>
      <c r="D229" s="16" t="s">
        <v>229</v>
      </c>
      <c r="E229" s="17">
        <v>101</v>
      </c>
      <c r="F229" s="21"/>
      <c r="G229" s="21">
        <v>800</v>
      </c>
    </row>
    <row r="230" spans="3:7">
      <c r="C230" s="16"/>
      <c r="D230" s="16"/>
      <c r="E230" s="17"/>
      <c r="F230" s="21"/>
      <c r="G230" s="21"/>
    </row>
    <row r="231" spans="3:7">
      <c r="C231" s="16">
        <v>25</v>
      </c>
      <c r="D231" s="16" t="s">
        <v>234</v>
      </c>
      <c r="E231" s="17">
        <v>201</v>
      </c>
      <c r="F231" s="21">
        <v>2500</v>
      </c>
      <c r="G231" s="21"/>
    </row>
    <row r="232" spans="3:7">
      <c r="C232" s="16"/>
      <c r="D232" s="16" t="s">
        <v>229</v>
      </c>
      <c r="E232" s="17">
        <v>101</v>
      </c>
      <c r="F232" s="21"/>
      <c r="G232" s="21">
        <v>2500</v>
      </c>
    </row>
    <row r="233" spans="3:7">
      <c r="C233" s="16"/>
      <c r="D233" s="16"/>
      <c r="E233" s="17"/>
      <c r="F233" s="21"/>
      <c r="G233" s="21"/>
    </row>
    <row r="234" spans="3:7">
      <c r="C234" s="16">
        <v>30</v>
      </c>
      <c r="D234" s="16" t="s">
        <v>235</v>
      </c>
      <c r="E234" s="17">
        <v>507</v>
      </c>
      <c r="F234" s="21">
        <v>1200</v>
      </c>
      <c r="G234" s="21"/>
    </row>
    <row r="235" spans="3:7">
      <c r="C235" s="16"/>
      <c r="D235" s="16" t="s">
        <v>229</v>
      </c>
      <c r="E235" s="17">
        <v>101</v>
      </c>
      <c r="F235" s="21"/>
      <c r="G235" s="21">
        <v>1200</v>
      </c>
    </row>
    <row r="236" spans="3:7">
      <c r="C236" s="16"/>
      <c r="D236" s="16"/>
      <c r="E236" s="17"/>
      <c r="F236" s="21"/>
      <c r="G236" s="21"/>
    </row>
    <row r="237" spans="3:7">
      <c r="C237" s="18" t="str">
        <f>CONCATENATE("July.","              ","2")</f>
        <v>July.              2</v>
      </c>
      <c r="D237" s="16" t="s">
        <v>236</v>
      </c>
      <c r="E237" s="17">
        <v>115</v>
      </c>
      <c r="F237" s="21">
        <v>5000</v>
      </c>
      <c r="G237" s="21"/>
    </row>
    <row r="238" spans="3:7">
      <c r="C238" s="16"/>
      <c r="D238" s="16" t="s">
        <v>234</v>
      </c>
      <c r="E238" s="17">
        <v>201</v>
      </c>
      <c r="F238" s="21"/>
      <c r="G238" s="21">
        <v>5000</v>
      </c>
    </row>
    <row r="239" spans="3:7">
      <c r="C239" s="16"/>
      <c r="D239" s="16"/>
      <c r="E239" s="17"/>
      <c r="F239" s="21"/>
      <c r="G239" s="21"/>
    </row>
    <row r="240" spans="3:7">
      <c r="C240" s="16">
        <v>5</v>
      </c>
      <c r="D240" s="16" t="s">
        <v>237</v>
      </c>
      <c r="E240" s="17">
        <v>112</v>
      </c>
      <c r="F240" s="21">
        <v>7000</v>
      </c>
      <c r="G240" s="21"/>
    </row>
    <row r="241" spans="3:7">
      <c r="C241" s="16"/>
      <c r="D241" s="16" t="s">
        <v>230</v>
      </c>
      <c r="E241" s="17">
        <v>400</v>
      </c>
      <c r="F241" s="21"/>
      <c r="G241" s="21">
        <v>7000</v>
      </c>
    </row>
    <row r="242" spans="3:7">
      <c r="C242" s="16"/>
      <c r="D242" s="16"/>
      <c r="E242" s="17"/>
      <c r="F242" s="21"/>
      <c r="G242" s="21"/>
    </row>
    <row r="243" spans="3:7">
      <c r="C243" s="16">
        <v>5</v>
      </c>
      <c r="D243" s="16" t="s">
        <v>238</v>
      </c>
      <c r="E243" s="17">
        <v>403</v>
      </c>
      <c r="F243" s="21">
        <v>6100</v>
      </c>
      <c r="G243" s="21"/>
    </row>
    <row r="244" spans="3:7">
      <c r="C244" s="16"/>
      <c r="D244" s="16" t="s">
        <v>239</v>
      </c>
      <c r="E244" s="17">
        <v>116</v>
      </c>
      <c r="F244" s="21"/>
      <c r="G244" s="21">
        <v>6100</v>
      </c>
    </row>
    <row r="245" spans="3:7">
      <c r="C245" s="16"/>
      <c r="D245" s="16"/>
      <c r="E245" s="17"/>
      <c r="F245" s="21"/>
      <c r="G245" s="21"/>
    </row>
    <row r="246" spans="3:7">
      <c r="C246" s="16">
        <v>8</v>
      </c>
      <c r="D246" s="16" t="s">
        <v>240</v>
      </c>
      <c r="E246" s="17">
        <v>508</v>
      </c>
      <c r="F246" s="21">
        <v>2500</v>
      </c>
      <c r="G246" s="21"/>
    </row>
    <row r="247" spans="3:7">
      <c r="C247" s="16"/>
      <c r="D247" s="16" t="s">
        <v>229</v>
      </c>
      <c r="E247" s="17">
        <v>101</v>
      </c>
      <c r="F247" s="21"/>
      <c r="G247" s="21">
        <v>2500</v>
      </c>
    </row>
    <row r="248" spans="3:7">
      <c r="C248" s="16"/>
      <c r="D248" s="16"/>
      <c r="E248" s="17"/>
      <c r="F248" s="21"/>
      <c r="G248" s="21"/>
    </row>
    <row r="249" spans="3:7">
      <c r="C249" s="16">
        <v>10</v>
      </c>
      <c r="D249" s="16" t="s">
        <v>241</v>
      </c>
      <c r="E249" s="17">
        <v>501</v>
      </c>
      <c r="F249" s="21">
        <v>800</v>
      </c>
      <c r="G249" s="21"/>
    </row>
    <row r="250" spans="3:7">
      <c r="C250" s="16"/>
      <c r="D250" s="16" t="s">
        <v>229</v>
      </c>
      <c r="E250" s="17">
        <v>101</v>
      </c>
      <c r="F250" s="21"/>
      <c r="G250" s="21">
        <v>800</v>
      </c>
    </row>
    <row r="251" spans="3:7">
      <c r="C251" s="16"/>
      <c r="D251" s="16"/>
      <c r="E251" s="17"/>
      <c r="F251" s="21"/>
      <c r="G251" s="21"/>
    </row>
    <row r="252" spans="3:7">
      <c r="C252" s="16">
        <v>10</v>
      </c>
      <c r="D252" s="25" t="s">
        <v>242</v>
      </c>
      <c r="E252" s="17">
        <v>401</v>
      </c>
      <c r="F252" s="21">
        <v>1000</v>
      </c>
      <c r="G252" s="21"/>
    </row>
    <row r="253" spans="3:7">
      <c r="C253" s="16"/>
      <c r="D253" s="16" t="s">
        <v>237</v>
      </c>
      <c r="E253" s="17">
        <v>112</v>
      </c>
      <c r="F253" s="21"/>
      <c r="G253" s="21">
        <v>1000</v>
      </c>
    </row>
    <row r="254" spans="3:7">
      <c r="C254" s="16"/>
      <c r="D254" s="16"/>
      <c r="E254" s="17"/>
      <c r="F254" s="21"/>
      <c r="G254" s="21"/>
    </row>
    <row r="255" spans="3:7">
      <c r="C255" s="16">
        <v>10</v>
      </c>
      <c r="D255" s="16" t="s">
        <v>243</v>
      </c>
      <c r="E255" s="17">
        <v>116</v>
      </c>
      <c r="F255" s="21">
        <v>200</v>
      </c>
      <c r="G255" s="21"/>
    </row>
    <row r="256" spans="3:7">
      <c r="C256" s="16"/>
      <c r="D256" s="16" t="s">
        <v>238</v>
      </c>
      <c r="E256" s="17">
        <v>403</v>
      </c>
      <c r="F256" s="21"/>
      <c r="G256" s="21">
        <v>200</v>
      </c>
    </row>
    <row r="257" spans="3:7">
      <c r="C257" s="16"/>
      <c r="D257" s="16"/>
      <c r="E257" s="17"/>
      <c r="F257" s="21"/>
      <c r="G257" s="21"/>
    </row>
    <row r="258" spans="3:7">
      <c r="C258" s="16">
        <v>15</v>
      </c>
      <c r="D258" s="16" t="s">
        <v>229</v>
      </c>
      <c r="E258" s="17">
        <v>101</v>
      </c>
      <c r="F258" s="21">
        <v>6000</v>
      </c>
      <c r="G258" s="21"/>
    </row>
    <row r="259" spans="3:7">
      <c r="C259" s="16"/>
      <c r="D259" s="16" t="s">
        <v>237</v>
      </c>
      <c r="E259" s="17">
        <v>112</v>
      </c>
      <c r="F259" s="21"/>
      <c r="G259" s="21">
        <v>6000</v>
      </c>
    </row>
    <row r="260" spans="3:7">
      <c r="C260" s="16"/>
      <c r="D260" s="16"/>
      <c r="E260" s="17"/>
      <c r="F260" s="21"/>
      <c r="G260" s="21"/>
    </row>
    <row r="261" spans="3:7">
      <c r="C261" s="16">
        <v>18</v>
      </c>
      <c r="D261" s="16" t="s">
        <v>244</v>
      </c>
      <c r="E261" s="17">
        <v>502</v>
      </c>
      <c r="F261" s="21">
        <v>3000</v>
      </c>
      <c r="G261" s="21"/>
    </row>
    <row r="262" spans="3:7">
      <c r="C262" s="16"/>
      <c r="D262" s="16" t="s">
        <v>229</v>
      </c>
      <c r="E262" s="17">
        <v>101</v>
      </c>
      <c r="F262" s="21"/>
      <c r="G262" s="21">
        <v>3000</v>
      </c>
    </row>
    <row r="263" spans="3:7">
      <c r="C263" s="16"/>
      <c r="D263" s="16"/>
      <c r="E263" s="17"/>
      <c r="F263" s="21"/>
      <c r="G263" s="21"/>
    </row>
    <row r="264" spans="3:7">
      <c r="C264" s="16">
        <v>20</v>
      </c>
      <c r="D264" s="16" t="s">
        <v>245</v>
      </c>
      <c r="E264" s="17">
        <v>161</v>
      </c>
      <c r="F264" s="21">
        <v>3500</v>
      </c>
      <c r="G264" s="21"/>
    </row>
    <row r="265" spans="3:7">
      <c r="C265" s="16"/>
      <c r="D265" s="16" t="s">
        <v>229</v>
      </c>
      <c r="E265" s="17">
        <v>101</v>
      </c>
      <c r="F265" s="21"/>
      <c r="G265" s="21">
        <v>2000</v>
      </c>
    </row>
    <row r="266" spans="3:7">
      <c r="C266" s="16"/>
      <c r="D266" s="16" t="s">
        <v>246</v>
      </c>
      <c r="E266" s="17">
        <v>201</v>
      </c>
      <c r="F266" s="21"/>
      <c r="G266" s="21">
        <v>1500</v>
      </c>
    </row>
    <row r="267" spans="3:7">
      <c r="C267" s="16"/>
      <c r="D267" s="16"/>
      <c r="E267" s="17"/>
      <c r="F267" s="21"/>
      <c r="G267" s="21"/>
    </row>
    <row r="268" spans="3:7">
      <c r="C268" s="16">
        <v>25</v>
      </c>
      <c r="D268" s="16" t="s">
        <v>234</v>
      </c>
      <c r="E268" s="17">
        <v>201</v>
      </c>
      <c r="F268" s="21">
        <v>1000</v>
      </c>
      <c r="G268" s="21"/>
    </row>
    <row r="269" spans="3:7">
      <c r="C269" s="16"/>
      <c r="D269" s="16" t="s">
        <v>229</v>
      </c>
      <c r="E269" s="17">
        <v>101</v>
      </c>
      <c r="F269" s="21"/>
      <c r="G269" s="21">
        <v>1000</v>
      </c>
    </row>
    <row r="270" spans="3:7">
      <c r="C270" s="16"/>
      <c r="D270" s="16"/>
      <c r="E270" s="17"/>
      <c r="F270" s="21"/>
      <c r="G270" s="21"/>
    </row>
    <row r="271" spans="3:7">
      <c r="C271" s="16">
        <v>27</v>
      </c>
      <c r="D271" s="16" t="s">
        <v>234</v>
      </c>
      <c r="E271" s="17">
        <v>201</v>
      </c>
      <c r="F271" s="21">
        <v>300</v>
      </c>
      <c r="G271" s="21"/>
    </row>
    <row r="272" spans="3:7">
      <c r="C272" s="16"/>
      <c r="D272" s="16" t="s">
        <v>247</v>
      </c>
      <c r="E272" s="17">
        <v>115</v>
      </c>
      <c r="F272" s="21"/>
      <c r="G272" s="21">
        <v>300</v>
      </c>
    </row>
    <row r="273" spans="3:7">
      <c r="C273" s="16"/>
      <c r="D273" s="16"/>
      <c r="E273" s="17"/>
      <c r="F273" s="21"/>
      <c r="G273" s="21"/>
    </row>
    <row r="274" spans="3:7">
      <c r="C274" s="16">
        <v>30</v>
      </c>
      <c r="D274" s="16" t="s">
        <v>248</v>
      </c>
      <c r="E274" s="17">
        <v>306</v>
      </c>
      <c r="F274" s="21">
        <v>1200</v>
      </c>
      <c r="G274" s="21"/>
    </row>
    <row r="275" spans="3:7">
      <c r="C275" s="16"/>
      <c r="D275" s="16" t="s">
        <v>229</v>
      </c>
      <c r="E275" s="17">
        <v>101</v>
      </c>
      <c r="F275" s="21"/>
      <c r="G275" s="21">
        <v>1200</v>
      </c>
    </row>
    <row r="276" spans="3:7">
      <c r="C276" s="16"/>
      <c r="D276" s="16"/>
      <c r="E276" s="17"/>
      <c r="F276" s="21"/>
      <c r="G276" s="21"/>
    </row>
    <row r="277" spans="3:7">
      <c r="C277" s="18" t="str">
        <f>CONCATENATE("Aug.","              ","2")</f>
        <v>Aug.              2</v>
      </c>
      <c r="D277" s="16" t="s">
        <v>237</v>
      </c>
      <c r="E277" s="17">
        <v>112</v>
      </c>
      <c r="F277" s="21">
        <v>12000</v>
      </c>
      <c r="G277" s="21"/>
    </row>
    <row r="278" spans="3:7">
      <c r="C278" s="16"/>
      <c r="D278" s="16" t="s">
        <v>230</v>
      </c>
      <c r="E278" s="17">
        <v>400</v>
      </c>
      <c r="F278" s="21"/>
      <c r="G278" s="21">
        <v>12000</v>
      </c>
    </row>
    <row r="279" spans="3:7">
      <c r="C279" s="16"/>
      <c r="D279" s="16"/>
      <c r="E279" s="17"/>
      <c r="F279" s="21"/>
      <c r="G279" s="21"/>
    </row>
    <row r="280" spans="3:7">
      <c r="C280" s="16">
        <v>2</v>
      </c>
      <c r="D280" s="16" t="s">
        <v>231</v>
      </c>
      <c r="E280" s="17">
        <v>403</v>
      </c>
      <c r="F280" s="21">
        <v>11050</v>
      </c>
      <c r="G280" s="21"/>
    </row>
    <row r="281" spans="3:7">
      <c r="C281" s="16"/>
      <c r="D281" s="16" t="s">
        <v>247</v>
      </c>
      <c r="E281" s="17">
        <v>115</v>
      </c>
      <c r="F281" s="21"/>
      <c r="G281" s="21">
        <v>11050</v>
      </c>
    </row>
    <row r="282" spans="3:7">
      <c r="C282" s="16"/>
      <c r="D282" s="16"/>
      <c r="E282" s="17"/>
      <c r="F282" s="21"/>
      <c r="G282" s="21"/>
    </row>
    <row r="283" spans="3:7">
      <c r="C283" s="16">
        <v>5</v>
      </c>
      <c r="D283" s="16" t="s">
        <v>249</v>
      </c>
      <c r="E283" s="17">
        <v>404</v>
      </c>
      <c r="F283" s="21">
        <v>2000</v>
      </c>
      <c r="G283" s="21"/>
    </row>
    <row r="284" spans="3:7">
      <c r="C284" s="16"/>
      <c r="D284" s="16" t="s">
        <v>229</v>
      </c>
      <c r="E284" s="17">
        <v>101</v>
      </c>
      <c r="F284" s="21"/>
      <c r="G284" s="21">
        <v>2000</v>
      </c>
    </row>
    <row r="285" spans="3:7">
      <c r="C285" s="16"/>
      <c r="D285" s="16"/>
      <c r="E285" s="17"/>
      <c r="F285" s="21"/>
      <c r="G285" s="21"/>
    </row>
    <row r="286" spans="3:7">
      <c r="C286" s="16">
        <v>8</v>
      </c>
      <c r="D286" s="16" t="s">
        <v>229</v>
      </c>
      <c r="E286" s="17">
        <v>101</v>
      </c>
      <c r="F286" s="21">
        <v>11760</v>
      </c>
      <c r="G286" s="21"/>
    </row>
    <row r="287" spans="3:7">
      <c r="C287" s="16"/>
      <c r="D287" s="16" t="s">
        <v>250</v>
      </c>
      <c r="E287" s="17">
        <v>402</v>
      </c>
      <c r="F287" s="21">
        <v>240</v>
      </c>
      <c r="G287" s="21"/>
    </row>
    <row r="288" spans="3:7">
      <c r="C288" s="16"/>
      <c r="D288" s="16" t="s">
        <v>237</v>
      </c>
      <c r="E288" s="17">
        <v>112</v>
      </c>
      <c r="F288" s="21"/>
      <c r="G288" s="21">
        <v>12000</v>
      </c>
    </row>
    <row r="289" spans="3:7">
      <c r="C289" s="16"/>
      <c r="D289" s="16"/>
      <c r="E289" s="17"/>
      <c r="F289" s="21"/>
      <c r="G289" s="21"/>
    </row>
    <row r="290" spans="3:7">
      <c r="C290" s="16">
        <v>10</v>
      </c>
      <c r="D290" s="16" t="s">
        <v>251</v>
      </c>
      <c r="E290" s="17">
        <v>500</v>
      </c>
      <c r="F290" s="21">
        <v>1800</v>
      </c>
      <c r="G290" s="21"/>
    </row>
    <row r="291" spans="3:7">
      <c r="C291" s="16"/>
      <c r="D291" s="16" t="s">
        <v>229</v>
      </c>
      <c r="E291" s="17">
        <v>101</v>
      </c>
      <c r="F291" s="21"/>
      <c r="G291" s="21">
        <v>1800</v>
      </c>
    </row>
    <row r="292" spans="3:7">
      <c r="C292" s="16"/>
      <c r="D292" s="16"/>
      <c r="E292" s="17"/>
      <c r="F292" s="21"/>
      <c r="G292" s="21"/>
    </row>
    <row r="293" spans="3:7">
      <c r="C293" s="16">
        <v>12</v>
      </c>
      <c r="D293" s="16" t="s">
        <v>252</v>
      </c>
      <c r="E293" s="17">
        <v>122</v>
      </c>
      <c r="F293" s="21">
        <v>3200</v>
      </c>
      <c r="G293" s="21"/>
    </row>
    <row r="294" spans="3:7">
      <c r="C294" s="16"/>
      <c r="D294" s="16" t="s">
        <v>234</v>
      </c>
      <c r="E294" s="17">
        <v>201</v>
      </c>
      <c r="F294" s="21"/>
      <c r="G294" s="21">
        <v>3200</v>
      </c>
    </row>
    <row r="295" spans="3:7">
      <c r="C295" s="16"/>
      <c r="D295" s="16"/>
      <c r="E295" s="17"/>
      <c r="F295" s="21"/>
      <c r="G295" s="21"/>
    </row>
    <row r="296" spans="3:7">
      <c r="C296" s="16">
        <v>15</v>
      </c>
      <c r="D296" s="16" t="s">
        <v>241</v>
      </c>
      <c r="E296" s="17">
        <v>501</v>
      </c>
      <c r="F296" s="21">
        <v>1200</v>
      </c>
      <c r="G296" s="21"/>
    </row>
    <row r="297" spans="3:7">
      <c r="C297" s="16"/>
      <c r="D297" s="16" t="s">
        <v>229</v>
      </c>
      <c r="E297" s="17"/>
      <c r="F297" s="21"/>
      <c r="G297" s="21">
        <v>1200</v>
      </c>
    </row>
    <row r="298" spans="3:7">
      <c r="C298" s="16"/>
      <c r="D298" s="16"/>
      <c r="E298" s="17">
        <v>101</v>
      </c>
      <c r="F298" s="21"/>
      <c r="G298" s="21"/>
    </row>
    <row r="299" spans="3:7">
      <c r="C299" s="16">
        <v>20</v>
      </c>
      <c r="D299" s="16" t="s">
        <v>244</v>
      </c>
      <c r="E299" s="17">
        <v>502</v>
      </c>
      <c r="F299" s="21">
        <v>3500</v>
      </c>
      <c r="G299" s="21"/>
    </row>
    <row r="300" spans="3:7">
      <c r="C300" s="16"/>
      <c r="D300" s="16" t="s">
        <v>229</v>
      </c>
      <c r="E300" s="17">
        <v>101</v>
      </c>
      <c r="F300" s="21"/>
      <c r="G300" s="21">
        <v>3500</v>
      </c>
    </row>
    <row r="301" spans="3:7">
      <c r="C301" s="16"/>
      <c r="D301" s="16"/>
      <c r="E301" s="17"/>
      <c r="F301" s="21"/>
      <c r="G301" s="21"/>
    </row>
    <row r="302" spans="3:7">
      <c r="C302" s="16">
        <v>27</v>
      </c>
      <c r="D302" s="16" t="s">
        <v>246</v>
      </c>
      <c r="E302" s="17">
        <v>201</v>
      </c>
      <c r="F302" s="21">
        <v>1500</v>
      </c>
      <c r="G302" s="21"/>
    </row>
    <row r="303" spans="3:7">
      <c r="C303" s="16"/>
      <c r="D303" s="16" t="s">
        <v>229</v>
      </c>
      <c r="E303" s="17">
        <v>101</v>
      </c>
      <c r="F303" s="21"/>
      <c r="G303" s="21">
        <v>1500</v>
      </c>
    </row>
    <row r="304" spans="3:7">
      <c r="C304" s="16"/>
      <c r="D304" s="16"/>
      <c r="E304" s="17"/>
      <c r="F304" s="21"/>
      <c r="G304" s="21"/>
    </row>
    <row r="305" spans="3:7">
      <c r="C305" s="16">
        <v>30</v>
      </c>
      <c r="D305" s="16" t="s">
        <v>248</v>
      </c>
      <c r="E305" s="17">
        <v>306</v>
      </c>
      <c r="F305" s="21">
        <v>1500</v>
      </c>
      <c r="G305" s="21"/>
    </row>
    <row r="306" spans="3:7">
      <c r="C306" s="16"/>
      <c r="D306" s="16" t="s">
        <v>229</v>
      </c>
      <c r="E306" s="17">
        <v>101</v>
      </c>
      <c r="F306" s="21"/>
      <c r="G306" s="21">
        <v>1500</v>
      </c>
    </row>
    <row r="307" spans="3:7">
      <c r="C307" s="16"/>
      <c r="D307" s="16"/>
      <c r="E307" s="17"/>
      <c r="F307" s="21"/>
      <c r="G307" s="21"/>
    </row>
    <row r="308" spans="3:7">
      <c r="C308" s="18" t="str">
        <f>CONCATENATE("Sep.","              ","3")</f>
        <v>Sep.              3</v>
      </c>
      <c r="D308" s="16" t="s">
        <v>253</v>
      </c>
      <c r="E308" s="17">
        <v>114</v>
      </c>
      <c r="F308" s="21">
        <v>6000</v>
      </c>
      <c r="G308" s="21"/>
    </row>
    <row r="309" spans="3:7">
      <c r="C309" s="16"/>
      <c r="D309" s="16" t="s">
        <v>246</v>
      </c>
      <c r="E309" s="17">
        <v>201</v>
      </c>
      <c r="F309" s="21"/>
      <c r="G309" s="21">
        <v>6000</v>
      </c>
    </row>
    <row r="310" spans="3:7">
      <c r="C310" s="16"/>
      <c r="D310" s="16"/>
      <c r="E310" s="17"/>
      <c r="F310" s="21"/>
      <c r="G310" s="21"/>
    </row>
    <row r="311" spans="3:7">
      <c r="C311" s="16">
        <v>5</v>
      </c>
      <c r="D311" s="16" t="s">
        <v>229</v>
      </c>
      <c r="E311" s="17">
        <v>101</v>
      </c>
      <c r="F311" s="21">
        <v>10000</v>
      </c>
      <c r="G311" s="21"/>
    </row>
    <row r="312" spans="3:7">
      <c r="C312" s="16"/>
      <c r="D312" s="16" t="s">
        <v>230</v>
      </c>
      <c r="E312" s="17">
        <v>400</v>
      </c>
      <c r="F312" s="21"/>
      <c r="G312" s="21">
        <v>10000</v>
      </c>
    </row>
    <row r="313" spans="3:7">
      <c r="C313" s="16"/>
      <c r="D313" s="16"/>
      <c r="E313" s="17"/>
      <c r="F313" s="21"/>
      <c r="G313" s="21"/>
    </row>
    <row r="314" spans="3:7">
      <c r="C314" s="16">
        <v>5</v>
      </c>
      <c r="D314" s="16" t="s">
        <v>231</v>
      </c>
      <c r="E314" s="17">
        <v>403</v>
      </c>
      <c r="F314" s="21">
        <v>6000</v>
      </c>
      <c r="G314" s="21"/>
    </row>
    <row r="315" spans="3:7">
      <c r="C315" s="16"/>
      <c r="D315" s="16" t="s">
        <v>254</v>
      </c>
      <c r="E315" s="17">
        <v>116</v>
      </c>
      <c r="F315" s="21"/>
      <c r="G315" s="21">
        <v>6000</v>
      </c>
    </row>
    <row r="316" spans="3:7">
      <c r="C316" s="16"/>
      <c r="D316" s="16"/>
      <c r="E316" s="17"/>
      <c r="F316" s="21"/>
      <c r="G316" s="21"/>
    </row>
    <row r="317" spans="3:7">
      <c r="C317" s="16">
        <v>10</v>
      </c>
      <c r="D317" s="16" t="s">
        <v>255</v>
      </c>
      <c r="E317" s="17">
        <v>500</v>
      </c>
      <c r="F317" s="21">
        <v>1800</v>
      </c>
      <c r="G317" s="21"/>
    </row>
    <row r="318" spans="3:7">
      <c r="C318" s="16"/>
      <c r="D318" s="16" t="s">
        <v>229</v>
      </c>
      <c r="E318" s="17">
        <v>101</v>
      </c>
      <c r="F318" s="21"/>
      <c r="G318" s="21">
        <v>1800</v>
      </c>
    </row>
    <row r="319" spans="3:7">
      <c r="C319" s="16"/>
      <c r="D319" s="16"/>
      <c r="E319" s="17"/>
      <c r="F319" s="21"/>
      <c r="G319" s="21"/>
    </row>
    <row r="320" spans="3:7">
      <c r="C320" s="16">
        <v>12</v>
      </c>
      <c r="D320" s="16" t="s">
        <v>233</v>
      </c>
      <c r="E320" s="17">
        <v>404</v>
      </c>
      <c r="F320" s="21">
        <v>900</v>
      </c>
      <c r="G320" s="21"/>
    </row>
    <row r="321" spans="3:7">
      <c r="C321" s="16"/>
      <c r="D321" s="16" t="s">
        <v>229</v>
      </c>
      <c r="E321" s="17">
        <v>101</v>
      </c>
      <c r="F321" s="21"/>
      <c r="G321" s="21">
        <v>900</v>
      </c>
    </row>
    <row r="322" spans="3:7">
      <c r="C322" s="16"/>
      <c r="D322" s="16"/>
      <c r="E322" s="17"/>
      <c r="F322" s="21"/>
      <c r="G322" s="21"/>
    </row>
    <row r="323" spans="3:7">
      <c r="C323" s="16">
        <v>15</v>
      </c>
      <c r="D323" s="16" t="s">
        <v>256</v>
      </c>
      <c r="E323" s="17">
        <v>502</v>
      </c>
      <c r="F323" s="21">
        <v>3000</v>
      </c>
      <c r="G323" s="21"/>
    </row>
    <row r="324" spans="3:7">
      <c r="C324" s="16"/>
      <c r="D324" s="16" t="s">
        <v>229</v>
      </c>
      <c r="E324" s="17">
        <v>101</v>
      </c>
      <c r="F324" s="21"/>
      <c r="G324" s="21">
        <v>3000</v>
      </c>
    </row>
    <row r="325" spans="3:7">
      <c r="C325" s="16"/>
      <c r="D325" s="16"/>
      <c r="E325" s="17"/>
      <c r="F325" s="21"/>
      <c r="G325" s="21"/>
    </row>
    <row r="326" spans="3:7">
      <c r="C326" s="16">
        <v>18</v>
      </c>
      <c r="D326" s="16" t="s">
        <v>234</v>
      </c>
      <c r="E326" s="17">
        <v>201</v>
      </c>
      <c r="F326" s="21">
        <v>1000</v>
      </c>
      <c r="G326" s="21"/>
    </row>
    <row r="327" spans="3:7">
      <c r="C327" s="16"/>
      <c r="D327" s="16" t="s">
        <v>257</v>
      </c>
      <c r="E327" s="17">
        <v>114</v>
      </c>
      <c r="F327" s="21"/>
      <c r="G327" s="21">
        <v>1000</v>
      </c>
    </row>
    <row r="328" spans="3:7">
      <c r="C328" s="16"/>
      <c r="D328" s="16"/>
      <c r="E328" s="17"/>
      <c r="F328" s="21"/>
      <c r="G328" s="21"/>
    </row>
    <row r="329" spans="3:7">
      <c r="C329" s="16">
        <v>22</v>
      </c>
      <c r="D329" s="16" t="s">
        <v>258</v>
      </c>
      <c r="E329" s="17">
        <v>201</v>
      </c>
      <c r="F329" s="21">
        <v>5000</v>
      </c>
      <c r="G329" s="21"/>
    </row>
    <row r="330" spans="3:7">
      <c r="C330" s="16"/>
      <c r="D330" s="16" t="s">
        <v>229</v>
      </c>
      <c r="E330" s="17">
        <v>101</v>
      </c>
      <c r="F330" s="21"/>
      <c r="G330" s="21">
        <v>5000</v>
      </c>
    </row>
    <row r="331" spans="3:7">
      <c r="C331" s="16"/>
      <c r="D331" s="16"/>
      <c r="E331" s="17"/>
      <c r="F331" s="21"/>
      <c r="G331" s="21"/>
    </row>
    <row r="332" spans="3:7">
      <c r="C332" s="16">
        <v>25</v>
      </c>
      <c r="D332" s="16" t="s">
        <v>259</v>
      </c>
      <c r="E332" s="17">
        <v>162</v>
      </c>
      <c r="F332" s="21">
        <v>2500</v>
      </c>
      <c r="G332" s="21"/>
    </row>
    <row r="333" spans="3:7">
      <c r="C333" s="16"/>
      <c r="D333" s="16" t="s">
        <v>229</v>
      </c>
      <c r="E333" s="17">
        <v>101</v>
      </c>
      <c r="F333" s="21"/>
      <c r="G333" s="21">
        <v>2500</v>
      </c>
    </row>
    <row r="334" spans="3:7">
      <c r="C334" s="16"/>
      <c r="D334" s="16"/>
      <c r="E334" s="17"/>
      <c r="F334" s="21"/>
      <c r="G334" s="21"/>
    </row>
    <row r="335" spans="3:7">
      <c r="C335" s="16">
        <v>30</v>
      </c>
      <c r="D335" s="16" t="s">
        <v>237</v>
      </c>
      <c r="E335" s="17">
        <v>112</v>
      </c>
      <c r="F335" s="21">
        <v>7000</v>
      </c>
      <c r="G335" s="21"/>
    </row>
    <row r="336" spans="3:7">
      <c r="C336" s="16"/>
      <c r="D336" s="16" t="s">
        <v>230</v>
      </c>
      <c r="E336" s="17">
        <v>400</v>
      </c>
      <c r="F336" s="21"/>
      <c r="G336" s="21">
        <v>7000</v>
      </c>
    </row>
    <row r="337" spans="3:7">
      <c r="C337" s="16"/>
      <c r="D337" s="16"/>
      <c r="E337" s="17"/>
      <c r="F337" s="21"/>
      <c r="G337" s="21"/>
    </row>
    <row r="338" spans="3:7">
      <c r="C338" s="16">
        <v>30</v>
      </c>
      <c r="D338" s="16" t="s">
        <v>260</v>
      </c>
      <c r="E338" s="17">
        <v>403</v>
      </c>
      <c r="F338" s="21">
        <v>5500</v>
      </c>
      <c r="G338" s="21"/>
    </row>
    <row r="339" spans="3:7">
      <c r="C339" s="16"/>
      <c r="D339" s="16" t="s">
        <v>239</v>
      </c>
      <c r="E339" s="17">
        <v>116</v>
      </c>
      <c r="F339" s="21"/>
      <c r="G339" s="21">
        <v>5500</v>
      </c>
    </row>
    <row r="340" spans="3:7">
      <c r="C340" s="16"/>
      <c r="D340" s="16"/>
      <c r="E340" s="17"/>
      <c r="F340" s="21"/>
      <c r="G340" s="21"/>
    </row>
    <row r="341" spans="3:7">
      <c r="C341" s="18" t="str">
        <f>CONCATENATE("Oct.","              ","1")</f>
        <v>Oct.              1</v>
      </c>
      <c r="D341" s="16" t="s">
        <v>261</v>
      </c>
      <c r="E341" s="17">
        <v>504</v>
      </c>
      <c r="F341" s="21">
        <v>2000</v>
      </c>
      <c r="G341" s="21"/>
    </row>
    <row r="342" spans="3:7">
      <c r="C342" s="16"/>
      <c r="D342" s="16" t="s">
        <v>229</v>
      </c>
      <c r="E342" s="17">
        <v>101</v>
      </c>
      <c r="F342" s="21"/>
      <c r="G342" s="21">
        <v>2000</v>
      </c>
    </row>
    <row r="343" spans="3:7">
      <c r="C343" s="16"/>
      <c r="D343" s="16"/>
      <c r="E343" s="17"/>
      <c r="F343" s="21"/>
      <c r="G343" s="21"/>
    </row>
    <row r="344" spans="3:7">
      <c r="C344" s="16">
        <v>5</v>
      </c>
      <c r="D344" s="16" t="s">
        <v>262</v>
      </c>
      <c r="E344" s="17">
        <v>114</v>
      </c>
      <c r="F344" s="21">
        <v>4000</v>
      </c>
      <c r="G344" s="21"/>
    </row>
    <row r="345" spans="3:7">
      <c r="C345" s="16"/>
      <c r="D345" s="16" t="s">
        <v>234</v>
      </c>
      <c r="E345" s="17">
        <v>201</v>
      </c>
      <c r="F345" s="21"/>
      <c r="G345" s="21">
        <v>4000</v>
      </c>
    </row>
    <row r="346" spans="3:7">
      <c r="C346" s="16"/>
      <c r="D346" s="16"/>
      <c r="E346" s="17"/>
      <c r="F346" s="21"/>
      <c r="G346" s="21"/>
    </row>
    <row r="347" spans="3:7">
      <c r="C347" s="16">
        <v>10</v>
      </c>
      <c r="D347" s="16" t="s">
        <v>256</v>
      </c>
      <c r="E347" s="17">
        <v>502</v>
      </c>
      <c r="F347" s="21">
        <v>1500</v>
      </c>
      <c r="G347" s="21"/>
    </row>
    <row r="348" spans="3:7">
      <c r="C348" s="16"/>
      <c r="D348" s="16" t="s">
        <v>229</v>
      </c>
      <c r="E348" s="17">
        <v>101</v>
      </c>
      <c r="F348" s="21"/>
      <c r="G348" s="21">
        <v>1500</v>
      </c>
    </row>
    <row r="349" spans="3:7">
      <c r="C349" s="16"/>
      <c r="D349" s="16"/>
      <c r="E349" s="17"/>
      <c r="F349" s="21"/>
      <c r="G349" s="21"/>
    </row>
    <row r="350" spans="3:7">
      <c r="C350" s="16">
        <v>12</v>
      </c>
      <c r="D350" s="16" t="s">
        <v>229</v>
      </c>
      <c r="E350" s="17">
        <v>101</v>
      </c>
      <c r="F350" s="21">
        <v>7000</v>
      </c>
      <c r="G350" s="21"/>
    </row>
    <row r="351" spans="3:7">
      <c r="C351" s="16"/>
      <c r="D351" s="16" t="s">
        <v>237</v>
      </c>
      <c r="E351" s="17">
        <v>112</v>
      </c>
      <c r="F351" s="21"/>
      <c r="G351" s="21">
        <v>7000</v>
      </c>
    </row>
    <row r="352" spans="3:7">
      <c r="C352" s="16"/>
      <c r="D352" s="16"/>
      <c r="E352" s="17"/>
      <c r="F352" s="21"/>
      <c r="G352" s="21"/>
    </row>
    <row r="353" spans="3:7">
      <c r="C353" s="16">
        <v>15</v>
      </c>
      <c r="D353" s="16" t="s">
        <v>241</v>
      </c>
      <c r="E353" s="17">
        <v>501</v>
      </c>
      <c r="F353" s="21">
        <v>1000</v>
      </c>
      <c r="G353" s="21"/>
    </row>
    <row r="354" spans="3:7">
      <c r="C354" s="16"/>
      <c r="D354" s="16" t="s">
        <v>229</v>
      </c>
      <c r="E354" s="17">
        <v>101</v>
      </c>
      <c r="F354" s="21"/>
      <c r="G354" s="21">
        <v>1000</v>
      </c>
    </row>
    <row r="355" spans="3:7">
      <c r="C355" s="16"/>
      <c r="D355" s="16"/>
      <c r="E355" s="17"/>
      <c r="F355" s="21"/>
      <c r="G355" s="21"/>
    </row>
    <row r="356" spans="3:7">
      <c r="C356" s="16">
        <v>20</v>
      </c>
      <c r="D356" s="16" t="s">
        <v>246</v>
      </c>
      <c r="E356" s="17">
        <v>201</v>
      </c>
      <c r="F356" s="21">
        <v>500</v>
      </c>
      <c r="G356" s="21"/>
    </row>
    <row r="357" spans="3:7">
      <c r="C357" s="16"/>
      <c r="D357" s="16" t="s">
        <v>263</v>
      </c>
      <c r="E357" s="17">
        <v>114</v>
      </c>
      <c r="F357" s="21"/>
      <c r="G357" s="21">
        <v>500</v>
      </c>
    </row>
    <row r="358" spans="3:7">
      <c r="C358" s="16"/>
      <c r="D358" s="16"/>
      <c r="E358" s="17"/>
      <c r="F358" s="21"/>
      <c r="G358" s="21"/>
    </row>
    <row r="359" spans="3:7">
      <c r="C359" s="16">
        <v>25</v>
      </c>
      <c r="D359" s="16" t="s">
        <v>237</v>
      </c>
      <c r="E359" s="17">
        <v>112</v>
      </c>
      <c r="F359" s="21">
        <v>5500</v>
      </c>
      <c r="G359" s="21"/>
    </row>
    <row r="360" spans="3:7">
      <c r="C360" s="16"/>
      <c r="D360" s="16" t="s">
        <v>230</v>
      </c>
      <c r="E360" s="17">
        <v>400</v>
      </c>
      <c r="F360" s="21"/>
      <c r="G360" s="21">
        <v>5500</v>
      </c>
    </row>
    <row r="361" spans="3:7">
      <c r="C361" s="16"/>
      <c r="D361" s="16"/>
      <c r="E361" s="17"/>
      <c r="F361" s="21"/>
      <c r="G361" s="21"/>
    </row>
    <row r="362" spans="3:7">
      <c r="C362" s="16">
        <v>25</v>
      </c>
      <c r="D362" s="16" t="s">
        <v>260</v>
      </c>
      <c r="E362" s="17">
        <v>403</v>
      </c>
      <c r="F362" s="21">
        <v>4500</v>
      </c>
      <c r="G362" s="21"/>
    </row>
    <row r="363" spans="3:7">
      <c r="C363" s="16"/>
      <c r="D363" s="16" t="s">
        <v>239</v>
      </c>
      <c r="E363" s="17">
        <v>116</v>
      </c>
      <c r="F363" s="21"/>
      <c r="G363" s="21">
        <v>4500</v>
      </c>
    </row>
    <row r="364" spans="3:7">
      <c r="C364" s="16"/>
      <c r="D364" s="16"/>
      <c r="E364" s="17"/>
      <c r="F364" s="21"/>
      <c r="G364" s="21"/>
    </row>
    <row r="365" spans="3:7">
      <c r="C365" s="16">
        <v>28</v>
      </c>
      <c r="D365" s="16" t="s">
        <v>233</v>
      </c>
      <c r="E365" s="17">
        <v>404</v>
      </c>
      <c r="F365" s="21">
        <v>2500</v>
      </c>
      <c r="G365" s="21"/>
    </row>
    <row r="366" spans="3:7">
      <c r="C366" s="16"/>
      <c r="D366" s="16" t="s">
        <v>229</v>
      </c>
      <c r="E366" s="17">
        <v>101</v>
      </c>
      <c r="F366" s="21"/>
      <c r="G366" s="21">
        <v>2500</v>
      </c>
    </row>
    <row r="367" spans="3:7">
      <c r="C367" s="16"/>
      <c r="D367" s="16"/>
      <c r="E367" s="17"/>
      <c r="F367" s="21"/>
      <c r="G367" s="21"/>
    </row>
    <row r="368" spans="3:7">
      <c r="C368" s="16">
        <v>28</v>
      </c>
      <c r="D368" s="16" t="s">
        <v>264</v>
      </c>
      <c r="E368" s="17">
        <v>401</v>
      </c>
      <c r="F368" s="21">
        <v>300</v>
      </c>
      <c r="G368" s="21"/>
    </row>
    <row r="369" spans="3:7">
      <c r="C369" s="16"/>
      <c r="D369" s="16" t="s">
        <v>237</v>
      </c>
      <c r="E369" s="17">
        <v>112</v>
      </c>
      <c r="F369" s="21"/>
      <c r="G369" s="21">
        <v>300</v>
      </c>
    </row>
    <row r="370" spans="3:7">
      <c r="C370" s="16"/>
      <c r="D370" s="16"/>
      <c r="E370" s="17"/>
      <c r="F370" s="21"/>
      <c r="G370" s="21"/>
    </row>
    <row r="371" spans="3:7">
      <c r="C371" s="16">
        <v>28</v>
      </c>
      <c r="D371" s="16" t="s">
        <v>239</v>
      </c>
      <c r="E371" s="17">
        <v>116</v>
      </c>
      <c r="F371" s="21">
        <v>150</v>
      </c>
      <c r="G371" s="21"/>
    </row>
    <row r="372" spans="3:7">
      <c r="C372" s="16"/>
      <c r="D372" s="16" t="s">
        <v>231</v>
      </c>
      <c r="E372" s="17">
        <v>403</v>
      </c>
      <c r="F372" s="21"/>
      <c r="G372" s="21">
        <v>150</v>
      </c>
    </row>
    <row r="373" spans="3:7">
      <c r="C373" s="16"/>
      <c r="D373" s="16"/>
      <c r="E373" s="3"/>
      <c r="F373" s="21"/>
      <c r="G373" s="21"/>
    </row>
    <row r="374" spans="3:7">
      <c r="C374" s="16">
        <v>30</v>
      </c>
      <c r="D374" s="16" t="s">
        <v>248</v>
      </c>
      <c r="E374" s="17">
        <v>306</v>
      </c>
      <c r="F374" s="21">
        <v>1200</v>
      </c>
      <c r="G374" s="21"/>
    </row>
    <row r="375" spans="3:7">
      <c r="C375" s="16"/>
      <c r="D375" s="16" t="s">
        <v>229</v>
      </c>
      <c r="E375" s="17">
        <v>101</v>
      </c>
      <c r="F375" s="21"/>
      <c r="G375" s="21">
        <v>1200</v>
      </c>
    </row>
    <row r="376" spans="3:7">
      <c r="C376" s="16"/>
      <c r="D376" s="16"/>
      <c r="E376" s="17"/>
      <c r="F376" s="21"/>
      <c r="G376" s="21"/>
    </row>
    <row r="377" spans="3:7">
      <c r="C377" s="16">
        <v>31</v>
      </c>
      <c r="D377" s="16" t="s">
        <v>234</v>
      </c>
      <c r="E377" s="17">
        <v>201</v>
      </c>
      <c r="F377" s="21">
        <v>3500</v>
      </c>
      <c r="G377" s="21"/>
    </row>
    <row r="378" spans="3:7">
      <c r="C378" s="16"/>
      <c r="D378" s="16" t="s">
        <v>229</v>
      </c>
      <c r="E378" s="17">
        <v>101</v>
      </c>
      <c r="F378" s="21"/>
      <c r="G378" s="21">
        <v>3500</v>
      </c>
    </row>
    <row r="379" spans="3:7">
      <c r="C379" s="16"/>
      <c r="D379" s="16"/>
      <c r="E379" s="17"/>
      <c r="F379" s="21"/>
      <c r="G379" s="21"/>
    </row>
    <row r="380" spans="3:7">
      <c r="C380" s="18" t="str">
        <f>CONCATENATE("Nov.","              ","2")</f>
        <v>Nov.              2</v>
      </c>
      <c r="D380" s="16" t="s">
        <v>255</v>
      </c>
      <c r="E380" s="17">
        <v>500</v>
      </c>
      <c r="F380" s="21">
        <v>2000</v>
      </c>
      <c r="G380" s="21"/>
    </row>
    <row r="381" spans="3:7">
      <c r="C381" s="16"/>
      <c r="D381" s="16" t="s">
        <v>229</v>
      </c>
      <c r="E381" s="17">
        <v>101</v>
      </c>
      <c r="F381" s="21"/>
      <c r="G381" s="21">
        <v>2000</v>
      </c>
    </row>
    <row r="382" spans="3:7">
      <c r="C382" s="16"/>
      <c r="D382" s="16"/>
      <c r="E382" s="17"/>
      <c r="F382" s="21"/>
      <c r="G382" s="21"/>
    </row>
    <row r="383" spans="3:7">
      <c r="C383" s="16">
        <v>5</v>
      </c>
      <c r="D383" s="16" t="s">
        <v>239</v>
      </c>
      <c r="E383" s="17">
        <v>116</v>
      </c>
      <c r="F383" s="21">
        <v>3500</v>
      </c>
      <c r="G383" s="21"/>
    </row>
    <row r="384" spans="3:7">
      <c r="C384" s="16"/>
      <c r="D384" s="16" t="s">
        <v>246</v>
      </c>
      <c r="E384" s="17">
        <v>201</v>
      </c>
      <c r="F384" s="21"/>
      <c r="G384" s="21">
        <v>3500</v>
      </c>
    </row>
    <row r="385" spans="3:7">
      <c r="C385" s="16"/>
      <c r="D385" s="16"/>
      <c r="E385" s="17"/>
      <c r="F385" s="21"/>
      <c r="G385" s="21"/>
    </row>
    <row r="386" spans="3:7">
      <c r="C386" s="16">
        <v>8</v>
      </c>
      <c r="D386" s="16" t="s">
        <v>237</v>
      </c>
      <c r="E386" s="17">
        <v>112</v>
      </c>
      <c r="F386" s="21">
        <v>8000</v>
      </c>
      <c r="G386" s="21"/>
    </row>
    <row r="387" spans="3:7">
      <c r="C387" s="16"/>
      <c r="D387" s="16" t="s">
        <v>230</v>
      </c>
      <c r="E387" s="17">
        <v>400</v>
      </c>
      <c r="F387" s="21"/>
      <c r="G387" s="21">
        <v>8000</v>
      </c>
    </row>
    <row r="388" spans="3:7">
      <c r="C388" s="16"/>
      <c r="D388" s="16"/>
      <c r="E388" s="17"/>
      <c r="F388" s="21"/>
      <c r="G388" s="21"/>
    </row>
    <row r="389" spans="3:7">
      <c r="C389" s="16">
        <v>8</v>
      </c>
      <c r="D389" s="16" t="s">
        <v>260</v>
      </c>
      <c r="E389" s="17">
        <v>403</v>
      </c>
      <c r="F389" s="21">
        <v>7000</v>
      </c>
      <c r="G389" s="21"/>
    </row>
    <row r="390" spans="3:7">
      <c r="C390" s="16"/>
      <c r="D390" s="16" t="s">
        <v>265</v>
      </c>
      <c r="E390" s="17">
        <v>115</v>
      </c>
      <c r="F390" s="21"/>
      <c r="G390" s="21">
        <v>7000</v>
      </c>
    </row>
    <row r="391" spans="3:7">
      <c r="C391" s="16"/>
      <c r="D391" s="16"/>
      <c r="E391" s="17"/>
      <c r="F391" s="21"/>
      <c r="G391" s="21"/>
    </row>
    <row r="392" spans="3:7">
      <c r="C392" s="16">
        <v>10</v>
      </c>
      <c r="D392" s="16" t="s">
        <v>229</v>
      </c>
      <c r="E392" s="17">
        <v>101</v>
      </c>
      <c r="F392" s="21">
        <v>7760</v>
      </c>
      <c r="G392" s="21"/>
    </row>
    <row r="393" spans="3:7">
      <c r="C393" s="16"/>
      <c r="D393" s="16" t="s">
        <v>250</v>
      </c>
      <c r="E393" s="17">
        <v>402</v>
      </c>
      <c r="F393" s="21">
        <v>240</v>
      </c>
      <c r="G393" s="21"/>
    </row>
    <row r="394" spans="3:7">
      <c r="C394" s="16"/>
      <c r="D394" s="16" t="s">
        <v>237</v>
      </c>
      <c r="E394" s="17">
        <v>112</v>
      </c>
      <c r="F394" s="21"/>
      <c r="G394" s="21">
        <v>8000</v>
      </c>
    </row>
    <row r="395" spans="3:7">
      <c r="C395" s="16"/>
      <c r="D395" s="16"/>
      <c r="E395" s="17"/>
      <c r="F395" s="21"/>
      <c r="G395" s="21"/>
    </row>
    <row r="396" spans="3:7">
      <c r="C396" s="16">
        <v>12</v>
      </c>
      <c r="D396" s="16" t="s">
        <v>244</v>
      </c>
      <c r="E396" s="17">
        <v>502</v>
      </c>
      <c r="F396" s="21">
        <v>2000</v>
      </c>
      <c r="G396" s="21"/>
    </row>
    <row r="397" spans="3:7">
      <c r="C397" s="16"/>
      <c r="D397" s="16" t="s">
        <v>229</v>
      </c>
      <c r="E397" s="17">
        <v>101</v>
      </c>
      <c r="F397" s="21"/>
      <c r="G397" s="21">
        <v>2000</v>
      </c>
    </row>
    <row r="398" spans="3:7">
      <c r="C398" s="16"/>
      <c r="D398" s="16"/>
      <c r="E398" s="17"/>
      <c r="F398" s="21"/>
      <c r="G398" s="21"/>
    </row>
    <row r="399" spans="3:7">
      <c r="C399" s="16">
        <v>15</v>
      </c>
      <c r="D399" s="16" t="s">
        <v>266</v>
      </c>
      <c r="E399" s="17">
        <v>501</v>
      </c>
      <c r="F399" s="21">
        <v>800</v>
      </c>
      <c r="G399" s="21"/>
    </row>
    <row r="400" spans="3:7">
      <c r="C400" s="16"/>
      <c r="D400" s="16" t="s">
        <v>229</v>
      </c>
      <c r="E400" s="17">
        <v>101</v>
      </c>
      <c r="F400" s="21"/>
      <c r="G400" s="21">
        <v>800</v>
      </c>
    </row>
    <row r="401" spans="3:7">
      <c r="C401" s="16"/>
      <c r="D401" s="16"/>
      <c r="E401" s="17"/>
      <c r="F401" s="21"/>
      <c r="G401" s="21"/>
    </row>
    <row r="402" spans="3:7">
      <c r="C402" s="16">
        <v>18</v>
      </c>
      <c r="D402" s="16" t="s">
        <v>234</v>
      </c>
      <c r="E402" s="17">
        <v>201</v>
      </c>
      <c r="F402" s="21">
        <v>500</v>
      </c>
      <c r="G402" s="21"/>
    </row>
    <row r="403" spans="3:7">
      <c r="C403" s="16"/>
      <c r="D403" s="16" t="s">
        <v>239</v>
      </c>
      <c r="E403" s="17">
        <v>116</v>
      </c>
      <c r="F403" s="21"/>
      <c r="G403" s="21">
        <v>500</v>
      </c>
    </row>
    <row r="404" spans="3:7">
      <c r="C404" s="16"/>
      <c r="D404" s="16"/>
      <c r="E404" s="17"/>
      <c r="F404" s="21"/>
      <c r="G404" s="21"/>
    </row>
    <row r="405" spans="3:7">
      <c r="C405" s="16">
        <v>22</v>
      </c>
      <c r="D405" s="16" t="s">
        <v>234</v>
      </c>
      <c r="E405" s="17">
        <v>201</v>
      </c>
      <c r="F405" s="21">
        <v>1500</v>
      </c>
      <c r="G405" s="21"/>
    </row>
    <row r="406" spans="3:7">
      <c r="C406" s="16"/>
      <c r="D406" s="16" t="s">
        <v>229</v>
      </c>
      <c r="E406" s="17">
        <v>101</v>
      </c>
      <c r="F406" s="21"/>
      <c r="G406" s="21">
        <v>1500</v>
      </c>
    </row>
    <row r="407" spans="3:7">
      <c r="C407" s="16"/>
      <c r="D407" s="16"/>
      <c r="E407" s="17"/>
      <c r="F407" s="21"/>
      <c r="G407" s="21"/>
    </row>
    <row r="408" spans="3:7">
      <c r="C408" s="16">
        <v>25</v>
      </c>
      <c r="D408" s="16" t="s">
        <v>229</v>
      </c>
      <c r="E408" s="17">
        <v>101</v>
      </c>
      <c r="F408" s="21">
        <v>7000</v>
      </c>
      <c r="G408" s="21"/>
    </row>
    <row r="409" spans="3:7">
      <c r="C409" s="16"/>
      <c r="D409" s="16" t="s">
        <v>230</v>
      </c>
      <c r="E409" s="17">
        <v>400</v>
      </c>
      <c r="F409" s="21"/>
      <c r="G409" s="21">
        <v>7000</v>
      </c>
    </row>
    <row r="410" spans="3:7">
      <c r="C410" s="16"/>
      <c r="D410" s="16"/>
      <c r="E410" s="17"/>
      <c r="F410" s="21"/>
      <c r="G410" s="21"/>
    </row>
    <row r="411" spans="3:7">
      <c r="C411" s="16">
        <v>25</v>
      </c>
      <c r="D411" s="16" t="s">
        <v>260</v>
      </c>
      <c r="E411" s="17">
        <v>403</v>
      </c>
      <c r="F411" s="21">
        <v>5700</v>
      </c>
      <c r="G411" s="21"/>
    </row>
    <row r="412" spans="3:7">
      <c r="C412" s="16"/>
      <c r="D412" s="16" t="s">
        <v>239</v>
      </c>
      <c r="E412" s="17">
        <v>116</v>
      </c>
      <c r="F412" s="21"/>
      <c r="G412" s="21">
        <v>5700</v>
      </c>
    </row>
    <row r="413" spans="3:7">
      <c r="C413" s="16"/>
      <c r="D413" s="16"/>
      <c r="E413" s="17"/>
      <c r="F413" s="21"/>
      <c r="G413" s="21"/>
    </row>
    <row r="414" spans="3:7">
      <c r="C414" s="16">
        <v>30</v>
      </c>
      <c r="D414" s="16" t="s">
        <v>234</v>
      </c>
      <c r="E414" s="17">
        <v>201</v>
      </c>
      <c r="F414" s="21">
        <v>2500</v>
      </c>
      <c r="G414" s="21"/>
    </row>
    <row r="415" spans="3:7">
      <c r="C415" s="16"/>
      <c r="D415" s="16" t="s">
        <v>229</v>
      </c>
      <c r="E415" s="17">
        <v>101</v>
      </c>
      <c r="F415" s="21"/>
      <c r="G415" s="21">
        <v>2500</v>
      </c>
    </row>
    <row r="416" spans="3:7">
      <c r="C416" s="16"/>
      <c r="D416" s="16"/>
      <c r="E416" s="17"/>
      <c r="F416" s="21"/>
      <c r="G416" s="21"/>
    </row>
    <row r="417" spans="3:7">
      <c r="C417" s="18" t="str">
        <f>CONCATENATE("Dec.","              ","1")</f>
        <v>Dec.              1</v>
      </c>
      <c r="D417" s="16" t="s">
        <v>255</v>
      </c>
      <c r="E417" s="17">
        <v>500</v>
      </c>
      <c r="F417" s="21">
        <v>2000</v>
      </c>
      <c r="G417" s="21"/>
    </row>
    <row r="418" spans="3:7">
      <c r="C418" s="16"/>
      <c r="D418" s="16" t="s">
        <v>229</v>
      </c>
      <c r="E418" s="17">
        <v>101</v>
      </c>
      <c r="F418" s="21"/>
      <c r="G418" s="21">
        <v>2000</v>
      </c>
    </row>
    <row r="419" spans="3:7">
      <c r="C419" s="16"/>
      <c r="D419" s="16"/>
      <c r="E419" s="17"/>
      <c r="F419" s="21"/>
      <c r="G419" s="21"/>
    </row>
    <row r="420" spans="3:7">
      <c r="C420" s="16">
        <v>4</v>
      </c>
      <c r="D420" s="16" t="s">
        <v>267</v>
      </c>
      <c r="E420" s="17">
        <v>163</v>
      </c>
      <c r="F420" s="21">
        <v>4000</v>
      </c>
      <c r="G420" s="21"/>
    </row>
    <row r="421" spans="3:7">
      <c r="C421" s="16"/>
      <c r="D421" s="16" t="s">
        <v>234</v>
      </c>
      <c r="E421" s="17">
        <v>201</v>
      </c>
      <c r="F421" s="21"/>
      <c r="G421" s="21">
        <v>4000</v>
      </c>
    </row>
    <row r="422" spans="3:7">
      <c r="C422" s="16"/>
      <c r="D422" s="16"/>
      <c r="E422" s="17"/>
      <c r="F422" s="21"/>
      <c r="G422" s="21"/>
    </row>
    <row r="423" spans="3:7">
      <c r="C423" s="16">
        <v>6</v>
      </c>
      <c r="D423" s="16" t="s">
        <v>237</v>
      </c>
      <c r="E423" s="17">
        <v>112</v>
      </c>
      <c r="F423" s="21">
        <v>10000</v>
      </c>
      <c r="G423" s="21"/>
    </row>
    <row r="424" spans="3:7">
      <c r="C424" s="16"/>
      <c r="D424" s="16" t="s">
        <v>230</v>
      </c>
      <c r="E424" s="17">
        <v>400</v>
      </c>
      <c r="F424" s="21"/>
      <c r="G424" s="21">
        <v>10000</v>
      </c>
    </row>
    <row r="425" spans="3:7">
      <c r="C425" s="16"/>
      <c r="D425" s="16"/>
      <c r="E425" s="17"/>
      <c r="F425" s="21"/>
      <c r="G425" s="21"/>
    </row>
    <row r="426" spans="3:7">
      <c r="C426" s="16">
        <v>6</v>
      </c>
      <c r="D426" s="16" t="s">
        <v>260</v>
      </c>
      <c r="E426" s="17">
        <v>403</v>
      </c>
      <c r="F426" s="21">
        <v>8800</v>
      </c>
      <c r="G426" s="21"/>
    </row>
    <row r="427" spans="3:7">
      <c r="C427" s="16"/>
      <c r="D427" s="16" t="s">
        <v>247</v>
      </c>
      <c r="E427" s="17">
        <v>115</v>
      </c>
      <c r="F427" s="21"/>
      <c r="G427" s="21">
        <v>8800</v>
      </c>
    </row>
    <row r="428" spans="3:7">
      <c r="C428" s="16"/>
      <c r="D428" s="16"/>
      <c r="E428" s="17"/>
      <c r="F428" s="21"/>
      <c r="G428" s="21"/>
    </row>
    <row r="429" spans="3:7">
      <c r="C429" s="16">
        <v>10</v>
      </c>
      <c r="D429" s="16" t="s">
        <v>256</v>
      </c>
      <c r="E429" s="17">
        <v>502</v>
      </c>
      <c r="F429" s="21">
        <v>3000</v>
      </c>
      <c r="G429" s="21"/>
    </row>
    <row r="430" spans="3:7">
      <c r="C430" s="16"/>
      <c r="D430" s="16" t="s">
        <v>229</v>
      </c>
      <c r="E430" s="17">
        <v>101</v>
      </c>
      <c r="F430" s="21"/>
      <c r="G430" s="21">
        <v>3000</v>
      </c>
    </row>
    <row r="431" spans="3:7">
      <c r="C431" s="16"/>
      <c r="D431" s="16"/>
      <c r="E431" s="17"/>
      <c r="F431" s="21"/>
      <c r="G431" s="21"/>
    </row>
    <row r="432" spans="3:7">
      <c r="C432" s="16">
        <v>12</v>
      </c>
      <c r="D432" s="16" t="s">
        <v>268</v>
      </c>
      <c r="E432" s="17">
        <v>404</v>
      </c>
      <c r="F432" s="21">
        <v>1200</v>
      </c>
      <c r="G432" s="21"/>
    </row>
    <row r="433" spans="3:7">
      <c r="C433" s="16"/>
      <c r="D433" s="16" t="s">
        <v>229</v>
      </c>
      <c r="E433" s="17">
        <v>101</v>
      </c>
      <c r="F433" s="21"/>
      <c r="G433" s="21">
        <v>1200</v>
      </c>
    </row>
    <row r="434" spans="3:7">
      <c r="C434" s="16"/>
      <c r="D434" s="16"/>
      <c r="E434" s="17"/>
      <c r="F434" s="21"/>
      <c r="G434" s="21"/>
    </row>
    <row r="435" spans="3:7">
      <c r="C435" s="16">
        <v>15</v>
      </c>
      <c r="D435" s="16" t="s">
        <v>269</v>
      </c>
      <c r="E435" s="17">
        <v>401</v>
      </c>
      <c r="F435" s="21">
        <v>600</v>
      </c>
      <c r="G435" s="21"/>
    </row>
    <row r="436" spans="3:7">
      <c r="C436" s="16"/>
      <c r="D436" s="16" t="s">
        <v>237</v>
      </c>
      <c r="E436" s="17">
        <v>112</v>
      </c>
      <c r="F436" s="21"/>
      <c r="G436" s="21">
        <v>600</v>
      </c>
    </row>
    <row r="437" spans="3:7">
      <c r="C437" s="16"/>
      <c r="D437" s="16"/>
      <c r="E437" s="17"/>
      <c r="F437" s="21"/>
      <c r="G437" s="21"/>
    </row>
    <row r="438" spans="3:7">
      <c r="C438" s="16">
        <v>15</v>
      </c>
      <c r="D438" s="16" t="s">
        <v>247</v>
      </c>
      <c r="E438" s="17">
        <v>115</v>
      </c>
      <c r="F438" s="21">
        <v>400</v>
      </c>
      <c r="G438" s="21"/>
    </row>
    <row r="439" spans="3:7">
      <c r="C439" s="16"/>
      <c r="D439" s="16" t="s">
        <v>260</v>
      </c>
      <c r="E439" s="17">
        <v>403</v>
      </c>
      <c r="F439" s="21"/>
      <c r="G439" s="21">
        <v>400</v>
      </c>
    </row>
    <row r="440" spans="3:7">
      <c r="C440" s="16"/>
      <c r="D440" s="16"/>
      <c r="E440" s="17"/>
      <c r="F440" s="21"/>
      <c r="G440" s="21"/>
    </row>
    <row r="441" spans="3:7">
      <c r="C441" s="16">
        <v>15</v>
      </c>
      <c r="D441" s="16" t="s">
        <v>229</v>
      </c>
      <c r="E441" s="17">
        <v>101</v>
      </c>
      <c r="F441" s="21">
        <v>9212</v>
      </c>
      <c r="G441" s="21"/>
    </row>
    <row r="442" spans="3:7">
      <c r="C442" s="16"/>
      <c r="D442" s="16" t="s">
        <v>250</v>
      </c>
      <c r="E442" s="17">
        <v>402</v>
      </c>
      <c r="F442" s="21">
        <v>188</v>
      </c>
      <c r="G442" s="21"/>
    </row>
    <row r="443" spans="3:7">
      <c r="C443" s="16"/>
      <c r="D443" s="16" t="s">
        <v>237</v>
      </c>
      <c r="E443" s="17">
        <v>112</v>
      </c>
      <c r="F443" s="21"/>
      <c r="G443" s="21">
        <v>9400</v>
      </c>
    </row>
    <row r="444" spans="3:7">
      <c r="C444" s="16"/>
      <c r="D444" s="16"/>
      <c r="E444" s="17"/>
      <c r="F444" s="21"/>
      <c r="G444" s="21"/>
    </row>
    <row r="445" spans="3:7">
      <c r="C445" s="16">
        <v>18</v>
      </c>
      <c r="D445" s="16" t="s">
        <v>241</v>
      </c>
      <c r="E445" s="17">
        <v>501</v>
      </c>
      <c r="F445" s="21">
        <v>1000</v>
      </c>
      <c r="G445" s="21"/>
    </row>
    <row r="446" spans="3:7">
      <c r="C446" s="16"/>
      <c r="D446" s="16" t="s">
        <v>229</v>
      </c>
      <c r="E446" s="17">
        <v>101</v>
      </c>
      <c r="F446" s="21"/>
      <c r="G446" s="21">
        <v>1000</v>
      </c>
    </row>
    <row r="447" spans="3:7">
      <c r="C447" s="16"/>
      <c r="D447" s="16"/>
      <c r="E447" s="17"/>
      <c r="F447" s="21"/>
      <c r="G447" s="21"/>
    </row>
    <row r="448" spans="3:7">
      <c r="C448" s="16">
        <v>22</v>
      </c>
      <c r="D448" s="16" t="s">
        <v>246</v>
      </c>
      <c r="E448" s="17">
        <v>201</v>
      </c>
      <c r="F448" s="21">
        <v>400</v>
      </c>
      <c r="G448" s="21"/>
    </row>
    <row r="449" spans="3:7">
      <c r="C449" s="16"/>
      <c r="D449" s="16" t="s">
        <v>267</v>
      </c>
      <c r="E449" s="17">
        <v>163</v>
      </c>
      <c r="F449" s="21"/>
      <c r="G449" s="21">
        <v>400</v>
      </c>
    </row>
    <row r="450" spans="3:7">
      <c r="C450" s="16"/>
      <c r="D450" s="16"/>
      <c r="E450" s="17"/>
      <c r="F450" s="21"/>
      <c r="G450" s="21"/>
    </row>
    <row r="451" spans="3:7">
      <c r="C451" s="16">
        <v>25</v>
      </c>
      <c r="D451" s="16" t="s">
        <v>229</v>
      </c>
      <c r="E451" s="17">
        <v>101</v>
      </c>
      <c r="F451" s="21">
        <v>6500</v>
      </c>
      <c r="G451" s="21"/>
    </row>
    <row r="452" spans="3:7">
      <c r="C452" s="16"/>
      <c r="D452" s="16" t="s">
        <v>270</v>
      </c>
      <c r="E452" s="17">
        <v>400</v>
      </c>
      <c r="F452" s="21"/>
      <c r="G452" s="21">
        <v>6500</v>
      </c>
    </row>
    <row r="453" spans="3:7">
      <c r="C453" s="16"/>
      <c r="D453" s="16"/>
      <c r="E453" s="17"/>
      <c r="F453" s="21"/>
      <c r="G453" s="21"/>
    </row>
    <row r="454" spans="3:7">
      <c r="C454" s="16">
        <v>25</v>
      </c>
      <c r="D454" s="16" t="s">
        <v>260</v>
      </c>
      <c r="E454" s="17">
        <v>403</v>
      </c>
      <c r="F454" s="21">
        <v>5400</v>
      </c>
      <c r="G454" s="21"/>
    </row>
    <row r="455" spans="3:7">
      <c r="C455" s="16"/>
      <c r="D455" s="16" t="s">
        <v>239</v>
      </c>
      <c r="E455" s="17">
        <v>116</v>
      </c>
      <c r="F455" s="21"/>
      <c r="G455" s="21">
        <v>5400</v>
      </c>
    </row>
    <row r="456" spans="3:7">
      <c r="C456" s="16"/>
      <c r="D456" s="16"/>
      <c r="E456" s="17"/>
      <c r="F456" s="21"/>
      <c r="G456" s="21"/>
    </row>
    <row r="457" spans="3:7">
      <c r="C457" s="16">
        <v>30</v>
      </c>
      <c r="D457" s="16" t="s">
        <v>271</v>
      </c>
      <c r="E457" s="17">
        <v>306</v>
      </c>
      <c r="F457" s="21">
        <v>2000</v>
      </c>
      <c r="G457" s="21"/>
    </row>
    <row r="458" spans="3:7">
      <c r="C458" s="16"/>
      <c r="D458" s="16" t="s">
        <v>229</v>
      </c>
      <c r="E458" s="17">
        <v>101</v>
      </c>
      <c r="F458" s="21"/>
      <c r="G458" s="21">
        <v>2000</v>
      </c>
    </row>
    <row r="459" spans="3:7">
      <c r="C459" s="26"/>
      <c r="D459" s="27"/>
      <c r="E459" s="28"/>
      <c r="F459" s="26"/>
      <c r="G459" s="26"/>
    </row>
  </sheetData>
  <mergeCells count="1">
    <mergeCell ref="C2:G2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1AF9-B9BC-4DAD-AB5F-E0D0ED848C52}">
  <dimension ref="B3:D41"/>
  <sheetViews>
    <sheetView topLeftCell="A23" workbookViewId="0">
      <selection activeCell="D37" sqref="D37"/>
    </sheetView>
  </sheetViews>
  <sheetFormatPr defaultRowHeight="14.25"/>
  <cols>
    <col min="2" max="2" width="41" bestFit="1" customWidth="1"/>
    <col min="4" max="4" width="41.75" customWidth="1"/>
  </cols>
  <sheetData>
    <row r="3" spans="2:4">
      <c r="B3" s="241" t="s">
        <v>272</v>
      </c>
      <c r="C3" s="242"/>
      <c r="D3" s="243"/>
    </row>
    <row r="4" spans="2:4">
      <c r="B4" s="244"/>
      <c r="C4" s="245"/>
      <c r="D4" s="246"/>
    </row>
    <row r="5" spans="2:4">
      <c r="B5" s="244"/>
      <c r="C5" s="245"/>
      <c r="D5" s="246"/>
    </row>
    <row r="6" spans="2:4">
      <c r="B6" s="244"/>
      <c r="C6" s="245"/>
      <c r="D6" s="246"/>
    </row>
    <row r="7" spans="2:4">
      <c r="B7" s="223"/>
      <c r="C7" s="224"/>
      <c r="D7" s="225"/>
    </row>
    <row r="8" spans="2:4" ht="15">
      <c r="B8" s="231" t="s">
        <v>273</v>
      </c>
      <c r="D8" s="232" t="s">
        <v>274</v>
      </c>
    </row>
    <row r="9" spans="2:4">
      <c r="B9" s="220" t="s">
        <v>275</v>
      </c>
      <c r="D9" s="221" t="s">
        <v>276</v>
      </c>
    </row>
    <row r="10" spans="2:4">
      <c r="B10" s="220" t="s">
        <v>277</v>
      </c>
      <c r="D10" s="221" t="s">
        <v>278</v>
      </c>
    </row>
    <row r="11" spans="2:4">
      <c r="B11" s="220" t="s">
        <v>279</v>
      </c>
      <c r="D11" s="221" t="s">
        <v>280</v>
      </c>
    </row>
    <row r="12" spans="2:4">
      <c r="B12" s="230" t="s">
        <v>281</v>
      </c>
      <c r="D12" s="221"/>
    </row>
    <row r="13" spans="2:4" ht="15">
      <c r="B13" s="220" t="s">
        <v>282</v>
      </c>
      <c r="D13" s="232" t="s">
        <v>230</v>
      </c>
    </row>
    <row r="14" spans="2:4">
      <c r="B14" s="220" t="s">
        <v>283</v>
      </c>
      <c r="D14" s="221" t="s">
        <v>284</v>
      </c>
    </row>
    <row r="15" spans="2:4">
      <c r="B15" s="220" t="s">
        <v>285</v>
      </c>
      <c r="D15" s="221"/>
    </row>
    <row r="16" spans="2:4" ht="15">
      <c r="B16" s="220" t="s">
        <v>286</v>
      </c>
      <c r="D16" s="232" t="s">
        <v>287</v>
      </c>
    </row>
    <row r="17" spans="2:4">
      <c r="B17" s="220" t="s">
        <v>288</v>
      </c>
      <c r="D17" s="221" t="s">
        <v>289</v>
      </c>
    </row>
    <row r="18" spans="2:4">
      <c r="B18" s="220" t="s">
        <v>290</v>
      </c>
      <c r="D18" s="221" t="s">
        <v>291</v>
      </c>
    </row>
    <row r="19" spans="2:4">
      <c r="B19" s="220" t="s">
        <v>292</v>
      </c>
      <c r="D19" s="221"/>
    </row>
    <row r="20" spans="2:4" ht="15">
      <c r="B20" s="220" t="s">
        <v>293</v>
      </c>
      <c r="D20" s="232" t="s">
        <v>238</v>
      </c>
    </row>
    <row r="21" spans="2:4">
      <c r="B21" s="220" t="s">
        <v>294</v>
      </c>
      <c r="D21" s="221" t="s">
        <v>295</v>
      </c>
    </row>
    <row r="22" spans="2:4">
      <c r="B22" s="220" t="s">
        <v>296</v>
      </c>
      <c r="D22" s="221"/>
    </row>
    <row r="23" spans="2:4" ht="15">
      <c r="B23" s="220" t="s">
        <v>297</v>
      </c>
      <c r="D23" s="232" t="s">
        <v>298</v>
      </c>
    </row>
    <row r="24" spans="2:4">
      <c r="B24" s="220" t="s">
        <v>299</v>
      </c>
      <c r="D24" s="221" t="s">
        <v>300</v>
      </c>
    </row>
    <row r="25" spans="2:4">
      <c r="B25" s="220" t="s">
        <v>301</v>
      </c>
      <c r="D25" s="221" t="s">
        <v>302</v>
      </c>
    </row>
    <row r="26" spans="2:4">
      <c r="B26" s="220" t="s">
        <v>303</v>
      </c>
      <c r="D26" s="221" t="s">
        <v>304</v>
      </c>
    </row>
    <row r="27" spans="2:4">
      <c r="B27" s="220" t="s">
        <v>305</v>
      </c>
      <c r="D27" s="221" t="s">
        <v>306</v>
      </c>
    </row>
    <row r="28" spans="2:4">
      <c r="B28" s="220" t="s">
        <v>307</v>
      </c>
      <c r="D28" s="221" t="s">
        <v>308</v>
      </c>
    </row>
    <row r="29" spans="2:4">
      <c r="B29" s="220" t="s">
        <v>309</v>
      </c>
      <c r="D29" s="221" t="s">
        <v>310</v>
      </c>
    </row>
    <row r="30" spans="2:4">
      <c r="B30" s="220" t="s">
        <v>311</v>
      </c>
      <c r="D30" s="221" t="s">
        <v>312</v>
      </c>
    </row>
    <row r="31" spans="2:4">
      <c r="B31" s="220"/>
      <c r="D31" s="221" t="s">
        <v>313</v>
      </c>
    </row>
    <row r="32" spans="2:4" ht="15">
      <c r="B32" s="229" t="s">
        <v>314</v>
      </c>
      <c r="D32" s="221" t="s">
        <v>315</v>
      </c>
    </row>
    <row r="33" spans="2:4">
      <c r="B33" s="220" t="s">
        <v>316</v>
      </c>
      <c r="D33" s="221" t="s">
        <v>317</v>
      </c>
    </row>
    <row r="34" spans="2:4">
      <c r="B34" s="220" t="s">
        <v>318</v>
      </c>
      <c r="D34" s="221" t="s">
        <v>319</v>
      </c>
    </row>
    <row r="35" spans="2:4">
      <c r="B35" s="220" t="s">
        <v>320</v>
      </c>
      <c r="D35" s="221" t="s">
        <v>321</v>
      </c>
    </row>
    <row r="36" spans="2:4">
      <c r="B36" s="220" t="s">
        <v>322</v>
      </c>
      <c r="D36" s="221" t="s">
        <v>323</v>
      </c>
    </row>
    <row r="37" spans="2:4">
      <c r="B37" s="220" t="s">
        <v>324</v>
      </c>
      <c r="D37" s="221"/>
    </row>
    <row r="38" spans="2:4">
      <c r="B38" s="220" t="s">
        <v>325</v>
      </c>
      <c r="D38" s="221"/>
    </row>
    <row r="39" spans="2:4">
      <c r="B39" s="220" t="s">
        <v>326</v>
      </c>
      <c r="D39" s="221"/>
    </row>
    <row r="40" spans="2:4">
      <c r="B40" s="220" t="s">
        <v>327</v>
      </c>
      <c r="D40" s="221"/>
    </row>
    <row r="41" spans="2:4">
      <c r="B41" s="226"/>
      <c r="C41" s="227"/>
      <c r="D41" s="228"/>
    </row>
  </sheetData>
  <mergeCells count="1">
    <mergeCell ref="B3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C2:G76"/>
  <sheetViews>
    <sheetView workbookViewId="0"/>
  </sheetViews>
  <sheetFormatPr defaultColWidth="12.625" defaultRowHeight="15" customHeight="1"/>
  <cols>
    <col min="3" max="3" width="10.125" customWidth="1"/>
    <col min="4" max="4" width="36.75" customWidth="1"/>
    <col min="5" max="5" width="13.875" customWidth="1"/>
    <col min="6" max="6" width="13.125" customWidth="1"/>
    <col min="10" max="10" width="39" customWidth="1"/>
    <col min="12" max="12" width="37.625" customWidth="1"/>
  </cols>
  <sheetData>
    <row r="2" spans="3:7" ht="14.25">
      <c r="C2" s="247" t="s">
        <v>328</v>
      </c>
      <c r="D2" s="248"/>
      <c r="E2" s="248"/>
      <c r="F2" s="248"/>
      <c r="G2" s="249"/>
    </row>
    <row r="3" spans="3:7" ht="14.25">
      <c r="C3" s="250"/>
      <c r="D3" s="251"/>
      <c r="E3" s="251"/>
      <c r="F3" s="251"/>
      <c r="G3" s="252"/>
    </row>
    <row r="4" spans="3:7" ht="30" customHeight="1">
      <c r="C4" s="253"/>
      <c r="D4" s="254"/>
      <c r="E4" s="254"/>
      <c r="F4" s="254"/>
      <c r="G4" s="255"/>
    </row>
    <row r="5" spans="3:7" ht="22.5" customHeight="1">
      <c r="C5" s="54"/>
      <c r="D5" s="181" t="s">
        <v>329</v>
      </c>
      <c r="E5" s="182" t="s">
        <v>151</v>
      </c>
      <c r="F5" s="182" t="s">
        <v>152</v>
      </c>
      <c r="G5" s="56"/>
    </row>
    <row r="6" spans="3:7" ht="16.5" customHeight="1">
      <c r="C6" s="54"/>
      <c r="D6" s="70" t="s">
        <v>229</v>
      </c>
      <c r="E6" s="71">
        <v>122442</v>
      </c>
      <c r="F6" s="72"/>
      <c r="G6" s="56"/>
    </row>
    <row r="7" spans="3:7" ht="16.5" customHeight="1">
      <c r="C7" s="54"/>
      <c r="D7" s="70" t="s">
        <v>237</v>
      </c>
      <c r="E7" s="72">
        <v>14700</v>
      </c>
      <c r="F7" s="72"/>
      <c r="G7" s="56"/>
    </row>
    <row r="8" spans="3:7" ht="16.5" customHeight="1">
      <c r="C8" s="54"/>
      <c r="D8" s="70" t="s">
        <v>253</v>
      </c>
      <c r="E8" s="72">
        <v>13500</v>
      </c>
      <c r="F8" s="72"/>
      <c r="G8" s="56"/>
    </row>
    <row r="9" spans="3:7" ht="16.5" customHeight="1">
      <c r="C9" s="54"/>
      <c r="D9" s="70" t="s">
        <v>247</v>
      </c>
      <c r="E9" s="72">
        <v>5100</v>
      </c>
      <c r="F9" s="72"/>
      <c r="G9" s="56"/>
    </row>
    <row r="10" spans="3:7" ht="16.5" customHeight="1">
      <c r="C10" s="54"/>
      <c r="D10" s="70" t="s">
        <v>239</v>
      </c>
      <c r="E10" s="72">
        <v>17050</v>
      </c>
      <c r="F10" s="72"/>
      <c r="G10" s="56"/>
    </row>
    <row r="11" spans="3:7" ht="16.5" customHeight="1">
      <c r="C11" s="54"/>
      <c r="D11" s="70" t="s">
        <v>330</v>
      </c>
      <c r="E11" s="72">
        <v>7000</v>
      </c>
      <c r="F11" s="222"/>
      <c r="G11" s="221"/>
    </row>
    <row r="12" spans="3:7" ht="16.5" customHeight="1">
      <c r="C12" s="54"/>
      <c r="D12" s="70" t="s">
        <v>331</v>
      </c>
      <c r="E12" s="72">
        <v>1900</v>
      </c>
      <c r="F12" s="222"/>
      <c r="G12" s="221"/>
    </row>
    <row r="13" spans="3:7" ht="16.5" customHeight="1">
      <c r="C13" s="54"/>
      <c r="D13" s="70" t="s">
        <v>332</v>
      </c>
      <c r="E13" s="72">
        <v>3800</v>
      </c>
      <c r="F13" s="222"/>
      <c r="G13" s="221"/>
    </row>
    <row r="14" spans="3:7" ht="16.5" customHeight="1">
      <c r="C14" s="54"/>
      <c r="D14" s="70" t="s">
        <v>333</v>
      </c>
      <c r="E14" s="72">
        <v>3000</v>
      </c>
      <c r="F14" s="72"/>
      <c r="G14" s="56"/>
    </row>
    <row r="15" spans="3:7" ht="16.5" customHeight="1">
      <c r="C15" s="54"/>
      <c r="D15" s="70" t="s">
        <v>334</v>
      </c>
      <c r="E15" s="72">
        <v>5000</v>
      </c>
      <c r="F15" s="72"/>
      <c r="G15" s="56"/>
    </row>
    <row r="16" spans="3:7" ht="16.5" customHeight="1">
      <c r="C16" s="54"/>
      <c r="D16" s="70" t="s">
        <v>335</v>
      </c>
      <c r="E16" s="72">
        <v>5900</v>
      </c>
      <c r="F16" s="72"/>
      <c r="G16" s="56"/>
    </row>
    <row r="17" spans="3:7" ht="16.5" customHeight="1">
      <c r="C17" s="54"/>
      <c r="D17" s="70" t="s">
        <v>336</v>
      </c>
      <c r="E17" s="72">
        <v>600</v>
      </c>
      <c r="F17" s="72"/>
      <c r="G17" s="56"/>
    </row>
    <row r="18" spans="3:7" ht="16.5" customHeight="1">
      <c r="C18" s="54"/>
      <c r="D18" s="70" t="s">
        <v>337</v>
      </c>
      <c r="E18" s="72">
        <v>12000</v>
      </c>
      <c r="F18" s="72"/>
      <c r="G18" s="56"/>
    </row>
    <row r="19" spans="3:7" ht="16.5" customHeight="1">
      <c r="C19" s="54"/>
      <c r="D19" s="70" t="s">
        <v>338</v>
      </c>
      <c r="E19" s="72">
        <v>4500</v>
      </c>
      <c r="F19" s="72"/>
      <c r="G19" s="56"/>
    </row>
    <row r="20" spans="3:7" ht="16.5" customHeight="1">
      <c r="C20" s="54"/>
      <c r="D20" s="70" t="s">
        <v>339</v>
      </c>
      <c r="E20" s="72">
        <v>1200</v>
      </c>
      <c r="F20" s="72"/>
      <c r="G20" s="56"/>
    </row>
    <row r="21" spans="3:7" ht="16.5" customHeight="1">
      <c r="C21" s="54"/>
      <c r="D21" s="70" t="s">
        <v>340</v>
      </c>
      <c r="E21" s="72">
        <v>1000</v>
      </c>
      <c r="F21" s="72"/>
      <c r="G21" s="56"/>
    </row>
    <row r="22" spans="3:7" ht="16.5" customHeight="1">
      <c r="C22" s="54"/>
      <c r="D22" s="70" t="s">
        <v>341</v>
      </c>
      <c r="E22" s="72">
        <v>3500</v>
      </c>
      <c r="F22" s="72"/>
      <c r="G22" s="56"/>
    </row>
    <row r="23" spans="3:7" ht="16.5" customHeight="1">
      <c r="C23" s="54"/>
      <c r="D23" s="70" t="s">
        <v>342</v>
      </c>
      <c r="E23" s="72">
        <v>2500</v>
      </c>
      <c r="F23" s="72"/>
      <c r="G23" s="56"/>
    </row>
    <row r="24" spans="3:7" ht="16.5" customHeight="1">
      <c r="C24" s="54"/>
      <c r="D24" s="70" t="s">
        <v>343</v>
      </c>
      <c r="E24" s="72">
        <v>3600</v>
      </c>
      <c r="F24" s="72"/>
      <c r="G24" s="56"/>
    </row>
    <row r="25" spans="3:7" ht="16.5" customHeight="1">
      <c r="C25" s="54"/>
      <c r="D25" s="70" t="s">
        <v>344</v>
      </c>
      <c r="E25" s="72"/>
      <c r="F25" s="71">
        <v>1000</v>
      </c>
      <c r="G25" s="56"/>
    </row>
    <row r="26" spans="3:7" ht="16.5" customHeight="1">
      <c r="C26" s="54"/>
      <c r="D26" s="70" t="s">
        <v>246</v>
      </c>
      <c r="E26" s="72"/>
      <c r="F26" s="72">
        <v>135100</v>
      </c>
      <c r="G26" s="56"/>
    </row>
    <row r="27" spans="3:7" ht="16.5" customHeight="1">
      <c r="C27" s="54"/>
      <c r="D27" s="70" t="s">
        <v>345</v>
      </c>
      <c r="E27" s="72"/>
      <c r="F27" s="72">
        <v>150000</v>
      </c>
      <c r="G27" s="56"/>
    </row>
    <row r="28" spans="3:7" ht="16.5" customHeight="1">
      <c r="C28" s="54"/>
      <c r="D28" s="70" t="s">
        <v>346</v>
      </c>
      <c r="E28" s="72">
        <v>9100</v>
      </c>
      <c r="F28" s="72"/>
      <c r="G28" s="56"/>
    </row>
    <row r="29" spans="3:7" ht="16.5" customHeight="1">
      <c r="C29" s="54"/>
      <c r="D29" s="70" t="s">
        <v>230</v>
      </c>
      <c r="E29" s="72"/>
      <c r="F29" s="72">
        <v>122200</v>
      </c>
      <c r="G29" s="56"/>
    </row>
    <row r="30" spans="3:7" ht="16.5" customHeight="1">
      <c r="C30" s="54"/>
      <c r="D30" s="70" t="s">
        <v>264</v>
      </c>
      <c r="E30" s="72">
        <v>2600</v>
      </c>
      <c r="F30" s="72"/>
      <c r="G30" s="56"/>
    </row>
    <row r="31" spans="3:7" ht="16.5" customHeight="1">
      <c r="C31" s="54"/>
      <c r="D31" s="70" t="s">
        <v>250</v>
      </c>
      <c r="E31" s="72">
        <v>1258</v>
      </c>
      <c r="F31" s="72"/>
      <c r="G31" s="56"/>
    </row>
    <row r="32" spans="3:7" ht="16.5" customHeight="1">
      <c r="C32" s="54"/>
      <c r="D32" s="70" t="s">
        <v>260</v>
      </c>
      <c r="E32" s="72">
        <v>99150</v>
      </c>
      <c r="F32" s="72"/>
      <c r="G32" s="56"/>
    </row>
    <row r="33" spans="3:7" ht="16.5" customHeight="1">
      <c r="C33" s="54"/>
      <c r="D33" s="70" t="s">
        <v>347</v>
      </c>
      <c r="E33" s="72">
        <v>9200</v>
      </c>
      <c r="F33" s="72"/>
      <c r="G33" s="56"/>
    </row>
    <row r="34" spans="3:7" ht="16.5" customHeight="1">
      <c r="C34" s="54"/>
      <c r="D34" s="70" t="s">
        <v>251</v>
      </c>
      <c r="E34" s="72">
        <v>10600</v>
      </c>
      <c r="F34" s="72"/>
      <c r="G34" s="56"/>
    </row>
    <row r="35" spans="3:7" ht="16.5" customHeight="1">
      <c r="C35" s="54"/>
      <c r="D35" s="70" t="s">
        <v>241</v>
      </c>
      <c r="E35" s="72">
        <v>8900</v>
      </c>
      <c r="F35" s="72"/>
      <c r="G35" s="56"/>
    </row>
    <row r="36" spans="3:7" ht="16.5" customHeight="1">
      <c r="C36" s="54"/>
      <c r="D36" s="70" t="s">
        <v>244</v>
      </c>
      <c r="E36" s="72">
        <v>23800</v>
      </c>
      <c r="F36" s="72"/>
      <c r="G36" s="56"/>
    </row>
    <row r="37" spans="3:7" ht="16.5" customHeight="1">
      <c r="C37" s="54"/>
      <c r="D37" s="70" t="s">
        <v>348</v>
      </c>
      <c r="E37" s="72">
        <v>2500</v>
      </c>
      <c r="F37" s="72"/>
      <c r="G37" s="56"/>
    </row>
    <row r="38" spans="3:7" ht="16.5" customHeight="1">
      <c r="C38" s="54"/>
      <c r="D38" s="70" t="s">
        <v>261</v>
      </c>
      <c r="E38" s="72">
        <v>5000</v>
      </c>
      <c r="F38" s="72"/>
      <c r="G38" s="56"/>
    </row>
    <row r="39" spans="3:7" ht="16.5" customHeight="1">
      <c r="C39" s="54"/>
      <c r="D39" s="70" t="s">
        <v>349</v>
      </c>
      <c r="E39" s="72">
        <v>1200</v>
      </c>
      <c r="F39" s="72"/>
      <c r="G39" s="56"/>
    </row>
    <row r="40" spans="3:7" ht="16.5" customHeight="1">
      <c r="C40" s="54"/>
      <c r="D40" s="70" t="s">
        <v>350</v>
      </c>
      <c r="E40" s="72">
        <v>3000</v>
      </c>
      <c r="F40" s="72"/>
      <c r="G40" s="56"/>
    </row>
    <row r="41" spans="3:7" ht="16.5" customHeight="1">
      <c r="C41" s="54"/>
      <c r="D41" s="70" t="s">
        <v>235</v>
      </c>
      <c r="E41" s="72">
        <v>1200</v>
      </c>
      <c r="F41" s="72"/>
      <c r="G41" s="56"/>
    </row>
    <row r="42" spans="3:7" ht="19.5" customHeight="1">
      <c r="C42" s="54"/>
      <c r="D42" s="70" t="s">
        <v>351</v>
      </c>
      <c r="E42" s="72">
        <v>2500</v>
      </c>
      <c r="F42" s="72"/>
      <c r="G42" s="56"/>
    </row>
    <row r="43" spans="3:7" ht="16.5" customHeight="1">
      <c r="C43" s="54"/>
      <c r="D43" s="70"/>
      <c r="E43" s="73">
        <f>SUM(E6,E7,E8,E9,E10,E11,E12,E13,E14,E15,E16,E17,E18,E19,E20,E21,E22,E23,E24,E28,E30,E31,E32,E33,E34,E35,E36,E37,E38,E39,E40,E41,E42,)</f>
        <v>408300</v>
      </c>
      <c r="F43" s="73">
        <f>SUM(F25,F26,F27,F29)</f>
        <v>408300</v>
      </c>
      <c r="G43" s="56"/>
    </row>
    <row r="44" spans="3:7" ht="14.25">
      <c r="C44" s="74"/>
      <c r="D44" s="75"/>
      <c r="E44" s="75"/>
      <c r="F44" s="75"/>
      <c r="G44" s="76"/>
    </row>
    <row r="76" ht="14.25"/>
  </sheetData>
  <mergeCells count="1">
    <mergeCell ref="C2:G4"/>
  </mergeCell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T234"/>
  <sheetViews>
    <sheetView workbookViewId="0">
      <selection activeCell="J22" sqref="J22"/>
    </sheetView>
  </sheetViews>
  <sheetFormatPr defaultColWidth="12.625" defaultRowHeight="15" customHeight="1"/>
  <cols>
    <col min="12" max="12" width="11.375" customWidth="1"/>
  </cols>
  <sheetData>
    <row r="1" spans="1:20" ht="15.75" customHeight="1"/>
    <row r="2" spans="1:20">
      <c r="A2" s="259" t="s">
        <v>352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9"/>
    </row>
    <row r="3" spans="1:20">
      <c r="A3" s="253"/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5"/>
    </row>
    <row r="5" spans="1:20" ht="15" customHeight="1">
      <c r="A5" s="256" t="s">
        <v>353</v>
      </c>
      <c r="B5" s="251"/>
      <c r="C5" s="251"/>
      <c r="D5" s="251"/>
      <c r="E5" s="251"/>
      <c r="F5" s="251"/>
      <c r="H5" s="257" t="s">
        <v>354</v>
      </c>
      <c r="I5" s="257"/>
      <c r="J5" s="257"/>
      <c r="K5" s="257"/>
      <c r="L5" s="257"/>
      <c r="M5" s="257"/>
    </row>
    <row r="6" spans="1:20" ht="15" customHeight="1">
      <c r="A6" s="173" t="s">
        <v>355</v>
      </c>
      <c r="B6" s="174" t="s">
        <v>356</v>
      </c>
      <c r="C6" s="175" t="s">
        <v>357</v>
      </c>
      <c r="D6" s="174" t="s">
        <v>151</v>
      </c>
      <c r="E6" s="174" t="s">
        <v>152</v>
      </c>
      <c r="F6" s="176" t="s">
        <v>358</v>
      </c>
      <c r="H6" s="173" t="s">
        <v>148</v>
      </c>
      <c r="I6" s="174" t="s">
        <v>356</v>
      </c>
      <c r="J6" s="175" t="s">
        <v>359</v>
      </c>
      <c r="K6" s="174" t="s">
        <v>151</v>
      </c>
      <c r="L6" s="174" t="s">
        <v>152</v>
      </c>
      <c r="M6" s="176" t="s">
        <v>358</v>
      </c>
    </row>
    <row r="7" spans="1:20" ht="14.25">
      <c r="A7" s="29">
        <v>2023</v>
      </c>
      <c r="B7" s="14"/>
      <c r="C7" s="14"/>
      <c r="D7" s="30"/>
      <c r="E7" s="14"/>
      <c r="F7" s="31"/>
      <c r="H7" s="29">
        <v>2023</v>
      </c>
      <c r="I7" s="13"/>
      <c r="J7" s="13"/>
      <c r="K7" s="13"/>
      <c r="L7" s="13"/>
      <c r="M7" s="32"/>
    </row>
    <row r="8" spans="1:20">
      <c r="A8" s="33" t="str">
        <f>CONCATENATE("Jan.","              ","1")</f>
        <v>Jan.              1</v>
      </c>
      <c r="B8" s="14"/>
      <c r="C8" s="14" t="s">
        <v>360</v>
      </c>
      <c r="D8" s="30">
        <v>150000</v>
      </c>
      <c r="E8" s="14"/>
      <c r="F8" s="31">
        <v>150000</v>
      </c>
      <c r="H8" s="34" t="str">
        <f>CONCATENATE("June.","          ","13")</f>
        <v>June.          13</v>
      </c>
      <c r="I8" s="13"/>
      <c r="J8" s="14" t="s">
        <v>360</v>
      </c>
      <c r="K8" s="30">
        <v>1000</v>
      </c>
      <c r="L8" s="14"/>
      <c r="M8" s="35">
        <v>1000</v>
      </c>
    </row>
    <row r="9" spans="1:20">
      <c r="A9" s="36">
        <v>5</v>
      </c>
      <c r="B9" s="14"/>
      <c r="C9" s="14" t="s">
        <v>360</v>
      </c>
      <c r="D9" s="30"/>
      <c r="E9" s="14">
        <v>1000</v>
      </c>
      <c r="F9" s="31">
        <v>149000</v>
      </c>
    </row>
    <row r="10" spans="1:20">
      <c r="A10" s="36">
        <v>12</v>
      </c>
      <c r="B10" s="14"/>
      <c r="C10" s="14" t="s">
        <v>360</v>
      </c>
      <c r="D10" s="30"/>
      <c r="E10" s="14">
        <v>5000</v>
      </c>
      <c r="F10" s="31">
        <v>144000</v>
      </c>
      <c r="H10" s="256" t="s">
        <v>361</v>
      </c>
      <c r="I10" s="251"/>
      <c r="J10" s="251"/>
      <c r="K10" s="251"/>
      <c r="L10" s="251"/>
      <c r="M10" s="251"/>
    </row>
    <row r="11" spans="1:20">
      <c r="A11" s="36">
        <v>15</v>
      </c>
      <c r="B11" s="14"/>
      <c r="C11" s="14" t="s">
        <v>360</v>
      </c>
      <c r="D11" s="30"/>
      <c r="E11" s="14">
        <v>2000</v>
      </c>
      <c r="F11" s="31">
        <v>142000</v>
      </c>
      <c r="H11" s="177" t="s">
        <v>148</v>
      </c>
      <c r="I11" s="178" t="s">
        <v>356</v>
      </c>
      <c r="J11" s="179" t="s">
        <v>359</v>
      </c>
      <c r="K11" s="178" t="s">
        <v>151</v>
      </c>
      <c r="L11" s="178" t="s">
        <v>152</v>
      </c>
      <c r="M11" s="180" t="s">
        <v>358</v>
      </c>
      <c r="O11" s="260"/>
      <c r="P11" s="261"/>
      <c r="Q11" s="261"/>
      <c r="R11" s="261"/>
      <c r="S11" s="261"/>
      <c r="T11" s="261"/>
    </row>
    <row r="12" spans="1:20">
      <c r="A12" s="36">
        <v>20</v>
      </c>
      <c r="B12" s="14"/>
      <c r="C12" s="14" t="s">
        <v>360</v>
      </c>
      <c r="D12" s="30"/>
      <c r="E12" s="14">
        <v>800</v>
      </c>
      <c r="F12" s="31">
        <v>141200</v>
      </c>
      <c r="H12" s="29">
        <v>2023</v>
      </c>
      <c r="I12" s="13"/>
      <c r="J12" s="13"/>
      <c r="K12" s="13"/>
      <c r="L12" s="13"/>
      <c r="M12" s="32"/>
    </row>
    <row r="13" spans="1:20">
      <c r="A13" s="36">
        <v>22</v>
      </c>
      <c r="B13" s="14"/>
      <c r="C13" s="14" t="s">
        <v>360</v>
      </c>
      <c r="D13" s="30"/>
      <c r="E13" s="14">
        <v>500</v>
      </c>
      <c r="F13" s="31">
        <v>140700</v>
      </c>
      <c r="H13" s="34" t="str">
        <f>CONCATENATE("July.","            ","20")</f>
        <v>July.            20</v>
      </c>
      <c r="I13" s="13"/>
      <c r="J13" s="14" t="s">
        <v>360</v>
      </c>
      <c r="K13" s="30">
        <v>3500</v>
      </c>
      <c r="L13" s="14"/>
      <c r="M13" s="35">
        <v>3500</v>
      </c>
    </row>
    <row r="14" spans="1:20" ht="14.25">
      <c r="A14" s="36">
        <v>28</v>
      </c>
      <c r="B14" s="14"/>
      <c r="C14" s="14" t="s">
        <v>360</v>
      </c>
      <c r="D14" s="30">
        <v>2850</v>
      </c>
      <c r="E14" s="14"/>
      <c r="F14" s="31">
        <v>143550</v>
      </c>
    </row>
    <row r="15" spans="1:20" ht="20.25">
      <c r="A15" s="36">
        <v>30</v>
      </c>
      <c r="B15" s="14"/>
      <c r="C15" s="14" t="s">
        <v>360</v>
      </c>
      <c r="D15" s="30"/>
      <c r="E15" s="14">
        <v>1000</v>
      </c>
      <c r="F15" s="31">
        <v>142550</v>
      </c>
      <c r="H15" s="257" t="s">
        <v>362</v>
      </c>
      <c r="I15" s="257"/>
      <c r="J15" s="257"/>
      <c r="K15" s="257"/>
      <c r="L15" s="257"/>
      <c r="M15" s="257"/>
    </row>
    <row r="16" spans="1:20" ht="14.25">
      <c r="A16" s="33" t="str">
        <f>CONCATENATE("Feb.","              ","1")</f>
        <v>Feb.              1</v>
      </c>
      <c r="B16" s="14"/>
      <c r="C16" s="14" t="s">
        <v>360</v>
      </c>
      <c r="D16" s="30"/>
      <c r="E16" s="14">
        <v>600</v>
      </c>
      <c r="F16" s="31">
        <v>141950</v>
      </c>
      <c r="H16" s="173" t="s">
        <v>148</v>
      </c>
      <c r="I16" s="174" t="s">
        <v>356</v>
      </c>
      <c r="J16" s="175" t="s">
        <v>359</v>
      </c>
      <c r="K16" s="174" t="s">
        <v>151</v>
      </c>
      <c r="L16" s="174" t="s">
        <v>152</v>
      </c>
      <c r="M16" s="176" t="s">
        <v>358</v>
      </c>
    </row>
    <row r="17" spans="1:13" ht="14.25">
      <c r="A17" s="36">
        <v>3</v>
      </c>
      <c r="B17" s="14"/>
      <c r="C17" s="14" t="s">
        <v>360</v>
      </c>
      <c r="D17" s="30"/>
      <c r="E17" s="14">
        <v>2000</v>
      </c>
      <c r="F17" s="31">
        <v>139950</v>
      </c>
      <c r="H17" s="29">
        <v>2023</v>
      </c>
      <c r="I17" s="13"/>
      <c r="J17" s="13"/>
      <c r="K17" s="13"/>
      <c r="L17" s="13"/>
      <c r="M17" s="32"/>
    </row>
    <row r="18" spans="1:13">
      <c r="A18" s="36">
        <v>10</v>
      </c>
      <c r="B18" s="14"/>
      <c r="C18" s="14" t="s">
        <v>360</v>
      </c>
      <c r="D18" s="30">
        <v>3000</v>
      </c>
      <c r="E18" s="14"/>
      <c r="F18" s="31">
        <v>142950</v>
      </c>
      <c r="H18" s="34" t="str">
        <f>CONCATENATE("Sep.","           ","25")</f>
        <v>Sep.           25</v>
      </c>
      <c r="I18" s="13"/>
      <c r="J18" s="14" t="s">
        <v>360</v>
      </c>
      <c r="K18" s="30">
        <v>2500</v>
      </c>
      <c r="L18" s="14"/>
      <c r="M18" s="35">
        <v>2500</v>
      </c>
    </row>
    <row r="19" spans="1:13">
      <c r="A19" s="36">
        <v>12</v>
      </c>
      <c r="B19" s="14"/>
      <c r="C19" s="14" t="s">
        <v>360</v>
      </c>
      <c r="D19" s="30"/>
      <c r="E19" s="14">
        <v>2500</v>
      </c>
      <c r="F19" s="31">
        <v>140450</v>
      </c>
    </row>
    <row r="20" spans="1:13">
      <c r="A20" s="36">
        <v>20</v>
      </c>
      <c r="B20" s="14"/>
      <c r="C20" s="14" t="s">
        <v>360</v>
      </c>
      <c r="D20" s="30"/>
      <c r="E20" s="14">
        <v>600</v>
      </c>
      <c r="F20" s="31">
        <v>139850</v>
      </c>
      <c r="H20" s="256" t="s">
        <v>363</v>
      </c>
      <c r="I20" s="251"/>
      <c r="J20" s="251"/>
      <c r="K20" s="251"/>
      <c r="L20" s="251"/>
      <c r="M20" s="251"/>
    </row>
    <row r="21" spans="1:13">
      <c r="A21" s="36">
        <v>26</v>
      </c>
      <c r="B21" s="14"/>
      <c r="C21" s="14" t="s">
        <v>360</v>
      </c>
      <c r="D21" s="30"/>
      <c r="E21" s="14">
        <v>1000</v>
      </c>
      <c r="F21" s="31">
        <v>138850</v>
      </c>
      <c r="H21" s="177" t="s">
        <v>148</v>
      </c>
      <c r="I21" s="178" t="s">
        <v>356</v>
      </c>
      <c r="J21" s="179" t="s">
        <v>359</v>
      </c>
      <c r="K21" s="178" t="s">
        <v>151</v>
      </c>
      <c r="L21" s="178" t="s">
        <v>152</v>
      </c>
      <c r="M21" s="180" t="s">
        <v>358</v>
      </c>
    </row>
    <row r="22" spans="1:13">
      <c r="A22" s="36">
        <v>28</v>
      </c>
      <c r="B22" s="14"/>
      <c r="C22" s="14" t="s">
        <v>360</v>
      </c>
      <c r="D22" s="30"/>
      <c r="E22" s="14">
        <v>2500</v>
      </c>
      <c r="F22" s="31">
        <v>136350</v>
      </c>
      <c r="H22" s="29">
        <v>2023</v>
      </c>
      <c r="I22" s="13"/>
      <c r="J22" s="13"/>
      <c r="K22" s="13"/>
      <c r="L22" s="13"/>
      <c r="M22" s="45"/>
    </row>
    <row r="23" spans="1:13">
      <c r="A23" s="33" t="str">
        <f>CONCATENATE("Mar.","              ","7")</f>
        <v>Mar.              7</v>
      </c>
      <c r="B23" s="14"/>
      <c r="C23" s="14" t="s">
        <v>360</v>
      </c>
      <c r="D23" s="30"/>
      <c r="E23" s="14">
        <v>1000</v>
      </c>
      <c r="F23" s="31">
        <v>135350</v>
      </c>
      <c r="H23" s="34" t="str">
        <f>CONCATENATE("Dec.","             ","4")</f>
        <v>Dec.             4</v>
      </c>
      <c r="I23" s="13"/>
      <c r="J23" s="14" t="s">
        <v>360</v>
      </c>
      <c r="K23" s="30">
        <v>4000</v>
      </c>
      <c r="L23" s="30"/>
      <c r="M23" s="46">
        <v>4000</v>
      </c>
    </row>
    <row r="24" spans="1:13">
      <c r="A24" s="36">
        <v>10</v>
      </c>
      <c r="B24" s="14"/>
      <c r="C24" s="14" t="s">
        <v>360</v>
      </c>
      <c r="D24" s="30"/>
      <c r="E24" s="14">
        <v>3000</v>
      </c>
      <c r="F24" s="31">
        <v>132350</v>
      </c>
      <c r="H24" s="36">
        <v>22</v>
      </c>
      <c r="I24" s="13"/>
      <c r="J24" s="14" t="s">
        <v>360</v>
      </c>
      <c r="K24" s="30"/>
      <c r="L24" s="30">
        <v>400</v>
      </c>
      <c r="M24" s="35">
        <v>3600</v>
      </c>
    </row>
    <row r="25" spans="1:13">
      <c r="A25" s="36">
        <v>12</v>
      </c>
      <c r="B25" s="14"/>
      <c r="C25" s="14" t="s">
        <v>360</v>
      </c>
      <c r="D25" s="30"/>
      <c r="E25" s="14">
        <v>6000</v>
      </c>
      <c r="F25" s="31">
        <v>126350</v>
      </c>
    </row>
    <row r="26" spans="1:13">
      <c r="A26" s="36">
        <v>15</v>
      </c>
      <c r="B26" s="14"/>
      <c r="C26" s="14" t="s">
        <v>360</v>
      </c>
      <c r="D26" s="30">
        <v>9800</v>
      </c>
      <c r="E26" s="14"/>
      <c r="F26" s="31">
        <v>136150</v>
      </c>
      <c r="H26" s="256" t="s">
        <v>364</v>
      </c>
      <c r="I26" s="251"/>
      <c r="J26" s="251"/>
      <c r="K26" s="251"/>
      <c r="L26" s="251"/>
      <c r="M26" s="251"/>
    </row>
    <row r="27" spans="1:13">
      <c r="A27" s="36">
        <v>20</v>
      </c>
      <c r="B27" s="14"/>
      <c r="C27" s="14" t="s">
        <v>360</v>
      </c>
      <c r="D27" s="30"/>
      <c r="E27" s="14">
        <v>500</v>
      </c>
      <c r="F27" s="31">
        <v>135650</v>
      </c>
      <c r="H27" s="177" t="s">
        <v>148</v>
      </c>
      <c r="I27" s="178" t="s">
        <v>356</v>
      </c>
      <c r="J27" s="179" t="s">
        <v>359</v>
      </c>
      <c r="K27" s="178" t="s">
        <v>151</v>
      </c>
      <c r="L27" s="178" t="s">
        <v>152</v>
      </c>
      <c r="M27" s="180" t="s">
        <v>358</v>
      </c>
    </row>
    <row r="28" spans="1:13">
      <c r="A28" s="36">
        <v>24</v>
      </c>
      <c r="B28" s="14"/>
      <c r="C28" s="14" t="s">
        <v>360</v>
      </c>
      <c r="D28" s="30"/>
      <c r="E28" s="14">
        <v>6000</v>
      </c>
      <c r="F28" s="31">
        <v>129650</v>
      </c>
      <c r="H28" s="29">
        <v>2023</v>
      </c>
      <c r="I28" s="13"/>
      <c r="J28" s="13"/>
      <c r="K28" s="14"/>
      <c r="L28" s="14"/>
      <c r="M28" s="47"/>
    </row>
    <row r="29" spans="1:13">
      <c r="A29" s="36">
        <v>31</v>
      </c>
      <c r="B29" s="14"/>
      <c r="C29" s="14" t="s">
        <v>360</v>
      </c>
      <c r="D29" s="30"/>
      <c r="E29" s="14">
        <v>3000</v>
      </c>
      <c r="F29" s="31">
        <v>126650</v>
      </c>
      <c r="H29" s="34" t="str">
        <f>CONCATENATE("Jan.","            ","12")</f>
        <v>Jan.            12</v>
      </c>
      <c r="I29" s="13"/>
      <c r="J29" s="14" t="s">
        <v>360</v>
      </c>
      <c r="K29" s="30"/>
      <c r="L29" s="30">
        <v>7000</v>
      </c>
      <c r="M29" s="46">
        <v>7000</v>
      </c>
    </row>
    <row r="30" spans="1:13">
      <c r="A30" s="33" t="str">
        <f>CONCATENATE("Apr.","              ","3")</f>
        <v>Apr.              3</v>
      </c>
      <c r="B30" s="14"/>
      <c r="C30" s="14" t="s">
        <v>360</v>
      </c>
      <c r="D30" s="30"/>
      <c r="E30" s="14">
        <v>1000</v>
      </c>
      <c r="F30" s="31">
        <v>125650</v>
      </c>
      <c r="H30" s="34" t="str">
        <f>CONCATENATE("Mar.","            ","24")</f>
        <v>Mar.            24</v>
      </c>
      <c r="I30" s="13"/>
      <c r="J30" s="14" t="s">
        <v>360</v>
      </c>
      <c r="K30" s="30">
        <v>60000</v>
      </c>
      <c r="L30" s="30"/>
      <c r="M30" s="35">
        <v>1000</v>
      </c>
    </row>
    <row r="31" spans="1:13">
      <c r="A31" s="36">
        <v>6</v>
      </c>
      <c r="B31" s="14"/>
      <c r="C31" s="14" t="s">
        <v>360</v>
      </c>
      <c r="D31" s="30">
        <v>3000</v>
      </c>
      <c r="E31" s="14"/>
      <c r="F31" s="31">
        <v>128650</v>
      </c>
    </row>
    <row r="32" spans="1:13">
      <c r="A32" s="36">
        <v>10</v>
      </c>
      <c r="B32" s="14"/>
      <c r="C32" s="14" t="s">
        <v>360</v>
      </c>
      <c r="D32" s="30">
        <v>1500</v>
      </c>
      <c r="E32" s="14"/>
      <c r="F32" s="31">
        <v>130150</v>
      </c>
      <c r="H32" s="256" t="s">
        <v>365</v>
      </c>
      <c r="I32" s="251"/>
      <c r="J32" s="251"/>
      <c r="K32" s="251"/>
      <c r="L32" s="251"/>
      <c r="M32" s="251"/>
    </row>
    <row r="33" spans="1:13">
      <c r="A33" s="36">
        <v>20</v>
      </c>
      <c r="B33" s="14"/>
      <c r="C33" s="14" t="s">
        <v>360</v>
      </c>
      <c r="D33" s="30"/>
      <c r="E33" s="14">
        <v>800</v>
      </c>
      <c r="F33" s="31">
        <v>129350</v>
      </c>
      <c r="H33" s="177" t="s">
        <v>148</v>
      </c>
      <c r="I33" s="178" t="s">
        <v>356</v>
      </c>
      <c r="J33" s="179" t="s">
        <v>359</v>
      </c>
      <c r="K33" s="178" t="s">
        <v>151</v>
      </c>
      <c r="L33" s="178" t="s">
        <v>152</v>
      </c>
      <c r="M33" s="180" t="s">
        <v>358</v>
      </c>
    </row>
    <row r="34" spans="1:13">
      <c r="A34" s="36">
        <v>23</v>
      </c>
      <c r="B34" s="14"/>
      <c r="C34" s="14" t="s">
        <v>360</v>
      </c>
      <c r="D34" s="30"/>
      <c r="E34" s="14">
        <v>1200</v>
      </c>
      <c r="F34" s="31">
        <v>128150</v>
      </c>
      <c r="H34" s="29">
        <v>2023</v>
      </c>
      <c r="I34" s="13"/>
      <c r="J34" s="13"/>
      <c r="K34" s="13"/>
      <c r="L34" s="13"/>
      <c r="M34" s="45"/>
    </row>
    <row r="35" spans="1:13">
      <c r="A35" s="36">
        <v>25</v>
      </c>
      <c r="B35" s="14"/>
      <c r="C35" s="14" t="s">
        <v>360</v>
      </c>
      <c r="D35" s="30"/>
      <c r="E35" s="14">
        <v>2800</v>
      </c>
      <c r="F35" s="31">
        <v>125350</v>
      </c>
      <c r="H35" s="34" t="str">
        <f>CONCATENATE("Jan.","              ","3")</f>
        <v>Jan.              3</v>
      </c>
      <c r="I35" s="13"/>
      <c r="J35" s="14" t="s">
        <v>360</v>
      </c>
      <c r="K35" s="30"/>
      <c r="L35" s="30">
        <v>5000</v>
      </c>
      <c r="M35" s="46">
        <v>5000</v>
      </c>
    </row>
    <row r="36" spans="1:13">
      <c r="A36" s="36">
        <v>27</v>
      </c>
      <c r="B36" s="14"/>
      <c r="C36" s="14" t="s">
        <v>360</v>
      </c>
      <c r="D36" s="30">
        <v>3500</v>
      </c>
      <c r="E36" s="14"/>
      <c r="F36" s="31">
        <v>128850</v>
      </c>
      <c r="H36" s="36">
        <v>8</v>
      </c>
      <c r="I36" s="13"/>
      <c r="J36" s="14" t="s">
        <v>360</v>
      </c>
      <c r="K36" s="30"/>
      <c r="L36" s="30">
        <v>50000</v>
      </c>
      <c r="M36" s="46">
        <v>55000</v>
      </c>
    </row>
    <row r="37" spans="1:13">
      <c r="A37" s="36">
        <v>30</v>
      </c>
      <c r="B37" s="14"/>
      <c r="C37" s="14" t="s">
        <v>360</v>
      </c>
      <c r="D37" s="30"/>
      <c r="E37" s="14">
        <v>2000</v>
      </c>
      <c r="F37" s="31">
        <v>126850</v>
      </c>
      <c r="H37" s="36">
        <v>15</v>
      </c>
      <c r="I37" s="13"/>
      <c r="J37" s="14" t="s">
        <v>360</v>
      </c>
      <c r="K37" s="30">
        <v>2000</v>
      </c>
      <c r="L37" s="30"/>
      <c r="M37" s="46">
        <v>53000</v>
      </c>
    </row>
    <row r="38" spans="1:13">
      <c r="A38" s="33" t="str">
        <f>CONCATENATE("May.","             ","2")</f>
        <v>May.             2</v>
      </c>
      <c r="B38" s="14"/>
      <c r="C38" s="14" t="s">
        <v>360</v>
      </c>
      <c r="D38" s="30"/>
      <c r="E38" s="14">
        <v>1000</v>
      </c>
      <c r="F38" s="31">
        <v>125850</v>
      </c>
      <c r="H38" s="48">
        <v>25</v>
      </c>
      <c r="I38" s="49"/>
      <c r="J38" s="14" t="s">
        <v>360</v>
      </c>
      <c r="K38" s="50"/>
      <c r="L38" s="50">
        <v>60000</v>
      </c>
      <c r="M38" s="46">
        <v>113000</v>
      </c>
    </row>
    <row r="39" spans="1:13">
      <c r="A39" s="36">
        <v>7</v>
      </c>
      <c r="B39" s="14"/>
      <c r="C39" s="14" t="s">
        <v>360</v>
      </c>
      <c r="D39" s="30"/>
      <c r="E39" s="14">
        <v>1500</v>
      </c>
      <c r="F39" s="31">
        <v>124350</v>
      </c>
      <c r="H39" s="51" t="str">
        <f>CONCATENATE("Feb.","           ","12")</f>
        <v>Feb.           12</v>
      </c>
      <c r="I39" s="49"/>
      <c r="J39" s="14" t="s">
        <v>360</v>
      </c>
      <c r="K39" s="50"/>
      <c r="L39" s="50">
        <v>2000</v>
      </c>
      <c r="M39" s="46">
        <v>115000</v>
      </c>
    </row>
    <row r="40" spans="1:13">
      <c r="A40" s="36">
        <v>9</v>
      </c>
      <c r="B40" s="14"/>
      <c r="C40" s="14" t="s">
        <v>360</v>
      </c>
      <c r="D40" s="30">
        <v>4000</v>
      </c>
      <c r="E40" s="14"/>
      <c r="F40" s="31">
        <v>128350</v>
      </c>
      <c r="H40" s="52">
        <v>20</v>
      </c>
      <c r="I40" s="49"/>
      <c r="J40" s="14" t="s">
        <v>360</v>
      </c>
      <c r="K40" s="50"/>
      <c r="L40" s="50">
        <v>600</v>
      </c>
      <c r="M40" s="46">
        <v>115600</v>
      </c>
    </row>
    <row r="41" spans="1:13">
      <c r="A41" s="36">
        <v>12</v>
      </c>
      <c r="B41" s="14"/>
      <c r="C41" s="14" t="s">
        <v>360</v>
      </c>
      <c r="D41" s="30"/>
      <c r="E41" s="14">
        <v>3000</v>
      </c>
      <c r="F41" s="31">
        <v>125350</v>
      </c>
      <c r="H41" s="52">
        <v>23</v>
      </c>
      <c r="I41" s="49"/>
      <c r="J41" s="14" t="s">
        <v>360</v>
      </c>
      <c r="K41" s="50">
        <v>500</v>
      </c>
      <c r="L41" s="50"/>
      <c r="M41" s="46">
        <v>115100</v>
      </c>
    </row>
    <row r="42" spans="1:13">
      <c r="A42" s="36">
        <v>15</v>
      </c>
      <c r="B42" s="14"/>
      <c r="C42" s="14" t="s">
        <v>360</v>
      </c>
      <c r="D42" s="30">
        <v>1800</v>
      </c>
      <c r="E42" s="14"/>
      <c r="F42" s="31">
        <v>127150</v>
      </c>
      <c r="H42" s="52">
        <v>26</v>
      </c>
      <c r="I42" s="49"/>
      <c r="J42" s="14" t="s">
        <v>360</v>
      </c>
      <c r="K42" s="50">
        <v>1000</v>
      </c>
      <c r="L42" s="50"/>
      <c r="M42" s="46">
        <v>114100</v>
      </c>
    </row>
    <row r="43" spans="1:13">
      <c r="A43" s="36">
        <v>18</v>
      </c>
      <c r="B43" s="14"/>
      <c r="C43" s="14" t="s">
        <v>360</v>
      </c>
      <c r="D43" s="30"/>
      <c r="E43" s="14">
        <v>800</v>
      </c>
      <c r="F43" s="31">
        <v>126350</v>
      </c>
      <c r="H43" s="51" t="str">
        <f>CONCATENATE("Mar.","             ","5")</f>
        <v>Mar.             5</v>
      </c>
      <c r="I43" s="49"/>
      <c r="J43" s="14" t="s">
        <v>360</v>
      </c>
      <c r="K43" s="50"/>
      <c r="L43" s="50">
        <v>7000</v>
      </c>
      <c r="M43" s="46">
        <v>121100</v>
      </c>
    </row>
    <row r="44" spans="1:13">
      <c r="A44" s="36">
        <v>21</v>
      </c>
      <c r="B44" s="14"/>
      <c r="C44" s="14" t="s">
        <v>360</v>
      </c>
      <c r="D44" s="30"/>
      <c r="E44" s="14">
        <v>2500</v>
      </c>
      <c r="F44" s="31">
        <v>123850</v>
      </c>
      <c r="H44" s="52">
        <v>31</v>
      </c>
      <c r="I44" s="49"/>
      <c r="J44" s="14" t="s">
        <v>360</v>
      </c>
      <c r="K44" s="50">
        <v>3000</v>
      </c>
      <c r="L44" s="50"/>
      <c r="M44" s="46">
        <v>118100</v>
      </c>
    </row>
    <row r="45" spans="1:13">
      <c r="A45" s="36">
        <v>28</v>
      </c>
      <c r="B45" s="14"/>
      <c r="C45" s="14" t="s">
        <v>360</v>
      </c>
      <c r="D45" s="30"/>
      <c r="E45" s="14">
        <v>1000</v>
      </c>
      <c r="F45" s="31">
        <v>122850</v>
      </c>
      <c r="H45" s="51" t="str">
        <f>CONCATENATE("Apr.","            ","12")</f>
        <v>Apr.            12</v>
      </c>
      <c r="I45" s="49"/>
      <c r="J45" s="14" t="s">
        <v>360</v>
      </c>
      <c r="K45" s="50"/>
      <c r="L45" s="50">
        <v>4500</v>
      </c>
      <c r="M45" s="46">
        <v>122600</v>
      </c>
    </row>
    <row r="46" spans="1:13">
      <c r="A46" s="33" t="str">
        <f>CONCATENATE("June.","            ","7")</f>
        <v>June.            7</v>
      </c>
      <c r="B46" s="14"/>
      <c r="C46" s="14" t="s">
        <v>360</v>
      </c>
      <c r="D46" s="30"/>
      <c r="E46" s="14">
        <v>1200</v>
      </c>
      <c r="F46" s="31">
        <v>121650</v>
      </c>
      <c r="H46" s="52">
        <v>16</v>
      </c>
      <c r="I46" s="49"/>
      <c r="J46" s="14" t="s">
        <v>360</v>
      </c>
      <c r="K46" s="50">
        <v>700</v>
      </c>
      <c r="L46" s="50"/>
      <c r="M46" s="46">
        <v>121900</v>
      </c>
    </row>
    <row r="47" spans="1:13">
      <c r="A47" s="36">
        <v>10</v>
      </c>
      <c r="B47" s="14"/>
      <c r="C47" s="14" t="s">
        <v>360</v>
      </c>
      <c r="D47" s="30">
        <v>7760</v>
      </c>
      <c r="E47" s="14"/>
      <c r="F47" s="31">
        <v>129410</v>
      </c>
      <c r="H47" s="52">
        <v>30</v>
      </c>
      <c r="I47" s="49"/>
      <c r="J47" s="14" t="s">
        <v>360</v>
      </c>
      <c r="K47" s="50">
        <v>2000</v>
      </c>
      <c r="L47" s="50"/>
      <c r="M47" s="46">
        <v>119900</v>
      </c>
    </row>
    <row r="48" spans="1:13">
      <c r="A48" s="36">
        <v>13</v>
      </c>
      <c r="B48" s="14"/>
      <c r="C48" s="14" t="s">
        <v>360</v>
      </c>
      <c r="D48" s="30"/>
      <c r="E48" s="14">
        <v>1000</v>
      </c>
      <c r="F48" s="31">
        <v>128410</v>
      </c>
      <c r="H48" s="51" t="str">
        <f>CONCATENATE("May.","             ","4")</f>
        <v>May.             4</v>
      </c>
      <c r="I48" s="49"/>
      <c r="J48" s="14" t="s">
        <v>360</v>
      </c>
      <c r="K48" s="50"/>
      <c r="L48" s="50">
        <v>3200</v>
      </c>
      <c r="M48" s="46">
        <v>123100</v>
      </c>
    </row>
    <row r="49" spans="1:13">
      <c r="A49" s="36">
        <v>15</v>
      </c>
      <c r="B49" s="14"/>
      <c r="C49" s="14" t="s">
        <v>360</v>
      </c>
      <c r="D49" s="30"/>
      <c r="E49" s="14">
        <v>3000</v>
      </c>
      <c r="F49" s="31">
        <v>125410</v>
      </c>
      <c r="H49" s="48">
        <v>21</v>
      </c>
      <c r="I49" s="49"/>
      <c r="J49" s="14" t="s">
        <v>360</v>
      </c>
      <c r="K49" s="50"/>
      <c r="L49" s="50">
        <v>2500</v>
      </c>
      <c r="M49" s="46">
        <v>125600</v>
      </c>
    </row>
    <row r="50" spans="1:13">
      <c r="A50" s="36">
        <v>18</v>
      </c>
      <c r="B50" s="14"/>
      <c r="C50" s="14" t="s">
        <v>360</v>
      </c>
      <c r="D50" s="30">
        <v>1200</v>
      </c>
      <c r="E50" s="14"/>
      <c r="F50" s="31">
        <v>126210</v>
      </c>
      <c r="H50" s="48">
        <v>25</v>
      </c>
      <c r="I50" s="49"/>
      <c r="J50" s="14" t="s">
        <v>360</v>
      </c>
      <c r="K50" s="50">
        <v>200</v>
      </c>
      <c r="L50" s="50"/>
      <c r="M50" s="46">
        <v>125400</v>
      </c>
    </row>
    <row r="51" spans="1:13">
      <c r="A51" s="36">
        <v>22</v>
      </c>
      <c r="B51" s="14"/>
      <c r="C51" s="14" t="s">
        <v>360</v>
      </c>
      <c r="D51" s="30"/>
      <c r="E51" s="14">
        <v>800</v>
      </c>
      <c r="F51" s="31">
        <v>125810</v>
      </c>
      <c r="H51" s="51" t="str">
        <f>CONCATENATE("June.","            ","4")</f>
        <v>June.            4</v>
      </c>
      <c r="I51" s="49"/>
      <c r="J51" s="14" t="s">
        <v>360</v>
      </c>
      <c r="K51" s="50"/>
      <c r="L51" s="50">
        <v>2700</v>
      </c>
      <c r="M51" s="46">
        <v>128100</v>
      </c>
    </row>
    <row r="52" spans="1:13">
      <c r="A52" s="36">
        <v>25</v>
      </c>
      <c r="B52" s="14"/>
      <c r="C52" s="14" t="s">
        <v>360</v>
      </c>
      <c r="D52" s="30"/>
      <c r="E52" s="14">
        <v>2500</v>
      </c>
      <c r="F52" s="31">
        <v>123310</v>
      </c>
      <c r="H52" s="48">
        <v>25</v>
      </c>
      <c r="I52" s="49"/>
      <c r="J52" s="14" t="s">
        <v>360</v>
      </c>
      <c r="K52" s="50">
        <v>2500</v>
      </c>
      <c r="L52" s="50"/>
      <c r="M52" s="46">
        <v>125600</v>
      </c>
    </row>
    <row r="53" spans="1:13">
      <c r="A53" s="36">
        <v>30</v>
      </c>
      <c r="B53" s="14"/>
      <c r="C53" s="14" t="s">
        <v>360</v>
      </c>
      <c r="D53" s="30"/>
      <c r="E53" s="14">
        <v>1200</v>
      </c>
      <c r="F53" s="31">
        <v>122110</v>
      </c>
      <c r="H53" s="51" t="str">
        <f>CONCATENATE("July.","              ","2")</f>
        <v>July.              2</v>
      </c>
      <c r="I53" s="49"/>
      <c r="J53" s="14" t="s">
        <v>360</v>
      </c>
      <c r="K53" s="50"/>
      <c r="L53" s="50">
        <v>5000</v>
      </c>
      <c r="M53" s="46">
        <v>130600</v>
      </c>
    </row>
    <row r="54" spans="1:13">
      <c r="A54" s="33" t="str">
        <f>CONCATENATE("July.","             ","8")</f>
        <v>July.             8</v>
      </c>
      <c r="B54" s="14"/>
      <c r="C54" s="14" t="s">
        <v>360</v>
      </c>
      <c r="D54" s="30"/>
      <c r="E54" s="14">
        <v>2500</v>
      </c>
      <c r="F54" s="31">
        <v>119610</v>
      </c>
      <c r="H54" s="48">
        <v>20</v>
      </c>
      <c r="I54" s="49"/>
      <c r="J54" s="14" t="s">
        <v>360</v>
      </c>
      <c r="K54" s="50"/>
      <c r="L54" s="50">
        <v>1500</v>
      </c>
      <c r="M54" s="46">
        <v>132100</v>
      </c>
    </row>
    <row r="55" spans="1:13">
      <c r="A55" s="36">
        <v>10</v>
      </c>
      <c r="B55" s="14"/>
      <c r="C55" s="14" t="s">
        <v>360</v>
      </c>
      <c r="D55" s="30"/>
      <c r="E55" s="14">
        <v>800</v>
      </c>
      <c r="F55" s="31">
        <v>118810</v>
      </c>
      <c r="H55" s="48">
        <v>25</v>
      </c>
      <c r="I55" s="49"/>
      <c r="J55" s="14" t="s">
        <v>360</v>
      </c>
      <c r="K55" s="50">
        <v>1000</v>
      </c>
      <c r="L55" s="50"/>
      <c r="M55" s="46">
        <v>131100</v>
      </c>
    </row>
    <row r="56" spans="1:13">
      <c r="A56" s="36">
        <v>15</v>
      </c>
      <c r="B56" s="14"/>
      <c r="C56" s="14" t="s">
        <v>360</v>
      </c>
      <c r="D56" s="30">
        <v>6000</v>
      </c>
      <c r="E56" s="14"/>
      <c r="F56" s="31">
        <v>124810</v>
      </c>
      <c r="H56" s="48">
        <v>27</v>
      </c>
      <c r="I56" s="49"/>
      <c r="J56" s="14" t="s">
        <v>360</v>
      </c>
      <c r="K56" s="50">
        <v>300</v>
      </c>
      <c r="L56" s="50"/>
      <c r="M56" s="46">
        <v>130800</v>
      </c>
    </row>
    <row r="57" spans="1:13">
      <c r="A57" s="36">
        <v>18</v>
      </c>
      <c r="B57" s="14"/>
      <c r="C57" s="14" t="s">
        <v>360</v>
      </c>
      <c r="D57" s="30"/>
      <c r="E57" s="14">
        <v>3000</v>
      </c>
      <c r="F57" s="31">
        <v>121810</v>
      </c>
      <c r="H57" s="51" t="str">
        <f>CONCATENATE("Aug.","            ","12")</f>
        <v>Aug.            12</v>
      </c>
      <c r="I57" s="49"/>
      <c r="J57" s="14" t="s">
        <v>360</v>
      </c>
      <c r="K57" s="50"/>
      <c r="L57" s="50">
        <v>3200</v>
      </c>
      <c r="M57" s="46">
        <v>134000</v>
      </c>
    </row>
    <row r="58" spans="1:13">
      <c r="A58" s="36">
        <v>20</v>
      </c>
      <c r="B58" s="14"/>
      <c r="C58" s="14" t="s">
        <v>360</v>
      </c>
      <c r="D58" s="30"/>
      <c r="E58" s="14">
        <v>2000</v>
      </c>
      <c r="F58" s="31">
        <v>119810</v>
      </c>
      <c r="H58" s="52">
        <v>27</v>
      </c>
      <c r="I58" s="49"/>
      <c r="J58" s="14" t="s">
        <v>360</v>
      </c>
      <c r="K58" s="50">
        <v>1500</v>
      </c>
      <c r="L58" s="50"/>
      <c r="M58" s="46">
        <v>132500</v>
      </c>
    </row>
    <row r="59" spans="1:13">
      <c r="A59" s="36">
        <v>25</v>
      </c>
      <c r="B59" s="14"/>
      <c r="C59" s="14" t="s">
        <v>360</v>
      </c>
      <c r="D59" s="30"/>
      <c r="E59" s="14">
        <v>1000</v>
      </c>
      <c r="F59" s="31">
        <v>118810</v>
      </c>
      <c r="H59" s="51" t="str">
        <f>CONCATENATE("Sep.","             ","3")</f>
        <v>Sep.             3</v>
      </c>
      <c r="I59" s="49"/>
      <c r="J59" s="14" t="s">
        <v>360</v>
      </c>
      <c r="K59" s="50"/>
      <c r="L59" s="50">
        <v>6000</v>
      </c>
      <c r="M59" s="46">
        <v>138500</v>
      </c>
    </row>
    <row r="60" spans="1:13">
      <c r="A60" s="36">
        <v>30</v>
      </c>
      <c r="B60" s="14"/>
      <c r="C60" s="14" t="s">
        <v>360</v>
      </c>
      <c r="D60" s="30"/>
      <c r="E60" s="14">
        <v>1200</v>
      </c>
      <c r="F60" s="31">
        <v>117610</v>
      </c>
      <c r="H60" s="52">
        <v>18</v>
      </c>
      <c r="I60" s="49"/>
      <c r="J60" s="14" t="s">
        <v>360</v>
      </c>
      <c r="K60" s="50">
        <v>1000</v>
      </c>
      <c r="L60" s="50"/>
      <c r="M60" s="46">
        <v>137500</v>
      </c>
    </row>
    <row r="61" spans="1:13">
      <c r="A61" s="33" t="str">
        <f>CONCATENATE("Aug.","              ","5")</f>
        <v>Aug.              5</v>
      </c>
      <c r="B61" s="14"/>
      <c r="C61" s="14" t="s">
        <v>360</v>
      </c>
      <c r="D61" s="30"/>
      <c r="E61" s="14">
        <v>2000</v>
      </c>
      <c r="F61" s="31">
        <v>115610</v>
      </c>
      <c r="H61" s="52">
        <v>22</v>
      </c>
      <c r="I61" s="49"/>
      <c r="J61" s="14" t="s">
        <v>360</v>
      </c>
      <c r="K61" s="50">
        <v>5000</v>
      </c>
      <c r="L61" s="50"/>
      <c r="M61" s="46">
        <v>132500</v>
      </c>
    </row>
    <row r="62" spans="1:13">
      <c r="A62" s="36">
        <v>8</v>
      </c>
      <c r="B62" s="14"/>
      <c r="C62" s="14" t="s">
        <v>360</v>
      </c>
      <c r="D62" s="30">
        <v>11760</v>
      </c>
      <c r="E62" s="14"/>
      <c r="F62" s="31">
        <v>127370</v>
      </c>
      <c r="H62" s="51" t="str">
        <f>CONCATENATE("Oct.","              ","5")</f>
        <v>Oct.              5</v>
      </c>
      <c r="I62" s="49"/>
      <c r="J62" s="14" t="s">
        <v>360</v>
      </c>
      <c r="K62" s="50"/>
      <c r="L62" s="50">
        <v>4000</v>
      </c>
      <c r="M62" s="46">
        <v>136500</v>
      </c>
    </row>
    <row r="63" spans="1:13">
      <c r="A63" s="36">
        <v>10</v>
      </c>
      <c r="B63" s="14"/>
      <c r="C63" s="14" t="s">
        <v>360</v>
      </c>
      <c r="D63" s="30"/>
      <c r="E63" s="14">
        <v>1800</v>
      </c>
      <c r="F63" s="31">
        <v>125570</v>
      </c>
      <c r="H63" s="52">
        <v>20</v>
      </c>
      <c r="I63" s="49"/>
      <c r="J63" s="14" t="s">
        <v>360</v>
      </c>
      <c r="K63" s="50">
        <v>500</v>
      </c>
      <c r="L63" s="50"/>
      <c r="M63" s="46">
        <v>136000</v>
      </c>
    </row>
    <row r="64" spans="1:13">
      <c r="A64" s="36">
        <v>15</v>
      </c>
      <c r="B64" s="14"/>
      <c r="C64" s="14" t="s">
        <v>360</v>
      </c>
      <c r="D64" s="30"/>
      <c r="E64" s="14">
        <v>1200</v>
      </c>
      <c r="F64" s="31">
        <v>124370</v>
      </c>
      <c r="H64" s="52">
        <v>31</v>
      </c>
      <c r="I64" s="49"/>
      <c r="J64" s="14" t="s">
        <v>360</v>
      </c>
      <c r="K64" s="50">
        <v>3500</v>
      </c>
      <c r="L64" s="50"/>
      <c r="M64" s="46">
        <v>132500</v>
      </c>
    </row>
    <row r="65" spans="1:13">
      <c r="A65" s="36">
        <v>20</v>
      </c>
      <c r="B65" s="14"/>
      <c r="C65" s="14" t="s">
        <v>360</v>
      </c>
      <c r="D65" s="30"/>
      <c r="E65" s="14">
        <v>3500</v>
      </c>
      <c r="F65" s="31">
        <v>120870</v>
      </c>
      <c r="H65" s="51" t="str">
        <f>CONCATENATE("Nov.","              ","5")</f>
        <v>Nov.              5</v>
      </c>
      <c r="I65" s="49"/>
      <c r="J65" s="14" t="s">
        <v>360</v>
      </c>
      <c r="K65" s="50"/>
      <c r="L65" s="50">
        <v>3500</v>
      </c>
      <c r="M65" s="46">
        <v>136000</v>
      </c>
    </row>
    <row r="66" spans="1:13">
      <c r="A66" s="36">
        <v>27</v>
      </c>
      <c r="B66" s="14"/>
      <c r="C66" s="14" t="s">
        <v>360</v>
      </c>
      <c r="D66" s="30"/>
      <c r="E66" s="14">
        <v>1500</v>
      </c>
      <c r="F66" s="31">
        <v>119370</v>
      </c>
      <c r="H66" s="52">
        <v>18</v>
      </c>
      <c r="I66" s="49"/>
      <c r="J66" s="14" t="s">
        <v>360</v>
      </c>
      <c r="K66" s="50">
        <v>500</v>
      </c>
      <c r="L66" s="50"/>
      <c r="M66" s="46">
        <v>135500</v>
      </c>
    </row>
    <row r="67" spans="1:13">
      <c r="A67" s="36">
        <v>30</v>
      </c>
      <c r="B67" s="14"/>
      <c r="C67" s="14" t="s">
        <v>360</v>
      </c>
      <c r="D67" s="30"/>
      <c r="E67" s="14">
        <v>1500</v>
      </c>
      <c r="F67" s="31">
        <v>117870</v>
      </c>
      <c r="H67" s="52">
        <v>22</v>
      </c>
      <c r="I67" s="49"/>
      <c r="J67" s="14" t="s">
        <v>360</v>
      </c>
      <c r="K67" s="50">
        <v>1500</v>
      </c>
      <c r="L67" s="50"/>
      <c r="M67" s="46">
        <v>134000</v>
      </c>
    </row>
    <row r="68" spans="1:13">
      <c r="A68" s="33" t="str">
        <f>CONCATENATE("Sep.","             ","5")</f>
        <v>Sep.             5</v>
      </c>
      <c r="B68" s="14"/>
      <c r="C68" s="14" t="s">
        <v>360</v>
      </c>
      <c r="D68" s="30">
        <v>10000</v>
      </c>
      <c r="E68" s="14"/>
      <c r="F68" s="31">
        <v>127870</v>
      </c>
      <c r="H68" s="52">
        <v>30</v>
      </c>
      <c r="I68" s="49"/>
      <c r="J68" s="14" t="s">
        <v>360</v>
      </c>
      <c r="K68" s="50">
        <v>2500</v>
      </c>
      <c r="L68" s="50"/>
      <c r="M68" s="46">
        <v>131500</v>
      </c>
    </row>
    <row r="69" spans="1:13">
      <c r="A69" s="36">
        <v>10</v>
      </c>
      <c r="B69" s="14"/>
      <c r="C69" s="14" t="s">
        <v>360</v>
      </c>
      <c r="D69" s="30"/>
      <c r="E69" s="14">
        <v>1800</v>
      </c>
      <c r="F69" s="31">
        <v>126070</v>
      </c>
      <c r="H69" s="51" t="str">
        <f>CONCATENATE("Dec.","              ","4")</f>
        <v>Dec.              4</v>
      </c>
      <c r="I69" s="49"/>
      <c r="J69" s="14" t="s">
        <v>360</v>
      </c>
      <c r="K69" s="50"/>
      <c r="L69" s="50">
        <v>4000</v>
      </c>
      <c r="M69" s="46">
        <v>135500</v>
      </c>
    </row>
    <row r="70" spans="1:13">
      <c r="A70" s="36">
        <v>11</v>
      </c>
      <c r="B70" s="14"/>
      <c r="C70" s="14" t="s">
        <v>360</v>
      </c>
      <c r="D70" s="30"/>
      <c r="E70" s="14">
        <v>900</v>
      </c>
      <c r="F70" s="31">
        <v>125170</v>
      </c>
      <c r="H70" s="52">
        <v>22</v>
      </c>
      <c r="I70" s="49"/>
      <c r="J70" s="14" t="s">
        <v>360</v>
      </c>
      <c r="K70" s="50">
        <v>400</v>
      </c>
      <c r="L70" s="50"/>
      <c r="M70" s="35">
        <v>135100</v>
      </c>
    </row>
    <row r="71" spans="1:13" ht="14.25">
      <c r="A71" s="36">
        <v>15</v>
      </c>
      <c r="B71" s="14"/>
      <c r="C71" s="14" t="s">
        <v>360</v>
      </c>
      <c r="D71" s="30"/>
      <c r="E71" s="14">
        <v>3000</v>
      </c>
      <c r="F71" s="31">
        <v>122170</v>
      </c>
    </row>
    <row r="72" spans="1:13" ht="20.25">
      <c r="A72" s="36">
        <v>22</v>
      </c>
      <c r="B72" s="14"/>
      <c r="C72" s="14" t="s">
        <v>360</v>
      </c>
      <c r="D72" s="30"/>
      <c r="E72" s="14">
        <v>5000</v>
      </c>
      <c r="F72" s="31">
        <v>117170</v>
      </c>
      <c r="H72" s="257" t="s">
        <v>366</v>
      </c>
      <c r="I72" s="258"/>
      <c r="J72" s="258"/>
      <c r="K72" s="258"/>
      <c r="L72" s="258"/>
      <c r="M72" s="258"/>
    </row>
    <row r="73" spans="1:13" ht="14.25">
      <c r="A73" s="36">
        <v>25</v>
      </c>
      <c r="B73" s="14"/>
      <c r="C73" s="14" t="s">
        <v>360</v>
      </c>
      <c r="D73" s="30"/>
      <c r="E73" s="14">
        <v>2500</v>
      </c>
      <c r="F73" s="31">
        <v>114670</v>
      </c>
      <c r="H73" s="41" t="s">
        <v>148</v>
      </c>
      <c r="I73" s="42" t="s">
        <v>356</v>
      </c>
      <c r="J73" s="43" t="s">
        <v>359</v>
      </c>
      <c r="K73" s="42" t="s">
        <v>151</v>
      </c>
      <c r="L73" s="42" t="s">
        <v>152</v>
      </c>
      <c r="M73" s="53" t="s">
        <v>358</v>
      </c>
    </row>
    <row r="74" spans="1:13" ht="14.25">
      <c r="A74" s="33" t="str">
        <f>CONCATENATE("Oct.","             ","1")</f>
        <v>Oct.             1</v>
      </c>
      <c r="B74" s="14"/>
      <c r="C74" s="14" t="s">
        <v>360</v>
      </c>
      <c r="D74" s="30"/>
      <c r="E74" s="14">
        <v>2000</v>
      </c>
      <c r="F74" s="31">
        <v>112670</v>
      </c>
      <c r="H74" s="29">
        <v>2023</v>
      </c>
      <c r="I74" s="13"/>
      <c r="J74" s="13"/>
      <c r="K74" s="13"/>
      <c r="L74" s="54"/>
      <c r="M74" s="55"/>
    </row>
    <row r="75" spans="1:13">
      <c r="A75" s="36">
        <v>10</v>
      </c>
      <c r="B75" s="14"/>
      <c r="C75" s="14" t="s">
        <v>360</v>
      </c>
      <c r="D75" s="30"/>
      <c r="E75" s="14">
        <v>1500</v>
      </c>
      <c r="F75" s="31">
        <v>111170</v>
      </c>
      <c r="H75" s="34" t="str">
        <f>CONCATENATE("Jan.","             ","1")</f>
        <v>Jan.             1</v>
      </c>
      <c r="I75" s="13"/>
      <c r="J75" s="14" t="s">
        <v>360</v>
      </c>
      <c r="K75" s="13"/>
      <c r="L75" s="31">
        <v>150000</v>
      </c>
      <c r="M75" s="35">
        <v>150000</v>
      </c>
    </row>
    <row r="76" spans="1:13">
      <c r="A76" s="36">
        <v>12</v>
      </c>
      <c r="B76" s="14"/>
      <c r="C76" s="14" t="s">
        <v>360</v>
      </c>
      <c r="D76" s="30">
        <v>7000</v>
      </c>
      <c r="E76" s="14"/>
      <c r="F76" s="31">
        <v>118170</v>
      </c>
    </row>
    <row r="77" spans="1:13">
      <c r="A77" s="36">
        <v>15</v>
      </c>
      <c r="B77" s="14"/>
      <c r="C77" s="14" t="s">
        <v>360</v>
      </c>
      <c r="D77" s="30"/>
      <c r="E77" s="14">
        <v>1000</v>
      </c>
      <c r="F77" s="31">
        <v>117170</v>
      </c>
      <c r="H77" s="256" t="s">
        <v>367</v>
      </c>
      <c r="I77" s="251"/>
      <c r="J77" s="251"/>
      <c r="K77" s="251"/>
      <c r="L77" s="251"/>
      <c r="M77" s="251"/>
    </row>
    <row r="78" spans="1:13">
      <c r="A78" s="36">
        <v>28</v>
      </c>
      <c r="B78" s="14"/>
      <c r="C78" s="14" t="s">
        <v>360</v>
      </c>
      <c r="D78" s="30"/>
      <c r="E78" s="14">
        <v>2500</v>
      </c>
      <c r="F78" s="31">
        <v>114670</v>
      </c>
      <c r="H78" s="42" t="s">
        <v>148</v>
      </c>
      <c r="I78" s="42" t="s">
        <v>356</v>
      </c>
      <c r="J78" s="43" t="s">
        <v>359</v>
      </c>
      <c r="K78" s="42" t="s">
        <v>151</v>
      </c>
      <c r="L78" s="42" t="s">
        <v>152</v>
      </c>
      <c r="M78" s="42" t="s">
        <v>358</v>
      </c>
    </row>
    <row r="79" spans="1:13">
      <c r="A79" s="36">
        <v>30</v>
      </c>
      <c r="B79" s="14"/>
      <c r="C79" s="14" t="s">
        <v>360</v>
      </c>
      <c r="D79" s="30"/>
      <c r="E79" s="14">
        <v>1200</v>
      </c>
      <c r="F79" s="31">
        <v>113470</v>
      </c>
      <c r="H79" s="29">
        <v>2023</v>
      </c>
      <c r="I79" s="13"/>
      <c r="J79" s="13"/>
      <c r="K79" s="13"/>
      <c r="L79" s="54"/>
      <c r="M79" s="45"/>
    </row>
    <row r="80" spans="1:13">
      <c r="A80" s="36">
        <v>31</v>
      </c>
      <c r="B80" s="14"/>
      <c r="C80" s="14" t="s">
        <v>360</v>
      </c>
      <c r="D80" s="30"/>
      <c r="E80" s="14">
        <v>3500</v>
      </c>
      <c r="F80" s="31">
        <v>109970</v>
      </c>
      <c r="H80" s="34" t="str">
        <f>CONCATENATE("Jan.","            ","30")</f>
        <v>Jan.            30</v>
      </c>
      <c r="I80" s="13"/>
      <c r="J80" s="14" t="s">
        <v>360</v>
      </c>
      <c r="K80" s="30">
        <v>1000</v>
      </c>
      <c r="L80" s="31"/>
      <c r="M80" s="46">
        <v>1000</v>
      </c>
    </row>
    <row r="81" spans="1:13">
      <c r="A81" s="33" t="str">
        <f>CONCATENATE("Nov.","             ","2")</f>
        <v>Nov.             2</v>
      </c>
      <c r="B81" s="14"/>
      <c r="C81" s="14" t="s">
        <v>360</v>
      </c>
      <c r="D81" s="30"/>
      <c r="E81" s="14">
        <v>2000</v>
      </c>
      <c r="F81" s="31">
        <v>107970</v>
      </c>
      <c r="H81" s="34" t="str">
        <f>CONCATENATE("Apr.","             ","23")</f>
        <v>Apr.             23</v>
      </c>
      <c r="I81" s="13"/>
      <c r="J81" s="14" t="s">
        <v>360</v>
      </c>
      <c r="K81" s="30">
        <v>1200</v>
      </c>
      <c r="L81" s="31"/>
      <c r="M81" s="31">
        <v>2200</v>
      </c>
    </row>
    <row r="82" spans="1:13">
      <c r="A82" s="36">
        <v>10</v>
      </c>
      <c r="B82" s="14"/>
      <c r="C82" s="14" t="s">
        <v>360</v>
      </c>
      <c r="D82" s="30">
        <v>7760</v>
      </c>
      <c r="E82" s="14"/>
      <c r="F82" s="31">
        <v>115730</v>
      </c>
      <c r="H82" s="34" t="str">
        <f>CONCATENATE("May.","            ","28")</f>
        <v>May.            28</v>
      </c>
      <c r="I82" s="13"/>
      <c r="J82" s="14" t="s">
        <v>360</v>
      </c>
      <c r="K82" s="30">
        <v>1000</v>
      </c>
      <c r="L82" s="31"/>
      <c r="M82" s="31">
        <v>3200</v>
      </c>
    </row>
    <row r="83" spans="1:13">
      <c r="A83" s="36">
        <v>12</v>
      </c>
      <c r="B83" s="14"/>
      <c r="C83" s="14" t="s">
        <v>360</v>
      </c>
      <c r="D83" s="30"/>
      <c r="E83" s="14">
        <v>2000</v>
      </c>
      <c r="F83" s="31">
        <v>113730</v>
      </c>
      <c r="H83" s="34" t="str">
        <f>CONCATENATE("July.","            ","30")</f>
        <v>July.            30</v>
      </c>
      <c r="I83" s="13"/>
      <c r="J83" s="14" t="s">
        <v>360</v>
      </c>
      <c r="K83" s="30">
        <v>1200</v>
      </c>
      <c r="L83" s="30"/>
      <c r="M83" s="31">
        <v>4400</v>
      </c>
    </row>
    <row r="84" spans="1:13">
      <c r="A84" s="36">
        <v>15</v>
      </c>
      <c r="B84" s="14"/>
      <c r="C84" s="14" t="s">
        <v>360</v>
      </c>
      <c r="D84" s="30"/>
      <c r="E84" s="14">
        <v>800</v>
      </c>
      <c r="F84" s="31">
        <v>112930</v>
      </c>
      <c r="H84" s="34" t="str">
        <f>CONCATENATE("Aug.","            ","30")</f>
        <v>Aug.            30</v>
      </c>
      <c r="I84" s="13"/>
      <c r="J84" s="14" t="s">
        <v>360</v>
      </c>
      <c r="K84" s="30">
        <v>1500</v>
      </c>
      <c r="L84" s="30"/>
      <c r="M84" s="31">
        <v>5900</v>
      </c>
    </row>
    <row r="85" spans="1:13">
      <c r="A85" s="36">
        <v>22</v>
      </c>
      <c r="B85" s="14"/>
      <c r="C85" s="14" t="s">
        <v>360</v>
      </c>
      <c r="D85" s="30"/>
      <c r="E85" s="14">
        <v>1500</v>
      </c>
      <c r="F85" s="31">
        <v>111430</v>
      </c>
      <c r="H85" s="34" t="str">
        <f>CONCATENATE("Oct.","             ","30")</f>
        <v>Oct.             30</v>
      </c>
      <c r="I85" s="13"/>
      <c r="J85" s="14" t="s">
        <v>360</v>
      </c>
      <c r="K85" s="30">
        <v>1200</v>
      </c>
      <c r="L85" s="30"/>
      <c r="M85" s="31">
        <v>7100</v>
      </c>
    </row>
    <row r="86" spans="1:13">
      <c r="A86" s="36">
        <v>25</v>
      </c>
      <c r="B86" s="14"/>
      <c r="C86" s="14" t="s">
        <v>360</v>
      </c>
      <c r="D86" s="30">
        <v>7000</v>
      </c>
      <c r="E86" s="14"/>
      <c r="F86" s="31">
        <v>118430</v>
      </c>
      <c r="H86" s="34" t="str">
        <f>CONCATENATE("Dec.","            ","30")</f>
        <v>Dec.            30</v>
      </c>
      <c r="I86" s="13"/>
      <c r="J86" s="14" t="s">
        <v>360</v>
      </c>
      <c r="K86" s="30">
        <v>2000</v>
      </c>
      <c r="L86" s="30"/>
      <c r="M86" s="35">
        <v>9100</v>
      </c>
    </row>
    <row r="87" spans="1:13">
      <c r="A87" s="36">
        <v>30</v>
      </c>
      <c r="B87" s="14"/>
      <c r="C87" s="14" t="s">
        <v>360</v>
      </c>
      <c r="D87" s="30"/>
      <c r="E87" s="14">
        <v>2500</v>
      </c>
      <c r="F87" s="31">
        <v>115930</v>
      </c>
    </row>
    <row r="88" spans="1:13">
      <c r="A88" s="33" t="str">
        <f>CONCATENATE("Dec.","             ","1")</f>
        <v>Dec.             1</v>
      </c>
      <c r="B88" s="14"/>
      <c r="C88" s="14" t="s">
        <v>360</v>
      </c>
      <c r="D88" s="30"/>
      <c r="E88" s="14">
        <v>2000</v>
      </c>
      <c r="F88" s="31">
        <v>113930</v>
      </c>
      <c r="H88" s="256" t="s">
        <v>368</v>
      </c>
      <c r="I88" s="251"/>
      <c r="J88" s="251"/>
      <c r="K88" s="251"/>
      <c r="L88" s="251"/>
      <c r="M88" s="251"/>
    </row>
    <row r="89" spans="1:13">
      <c r="A89" s="36">
        <v>10</v>
      </c>
      <c r="B89" s="14"/>
      <c r="C89" s="14" t="s">
        <v>360</v>
      </c>
      <c r="D89" s="30"/>
      <c r="E89" s="14">
        <v>3000</v>
      </c>
      <c r="F89" s="31">
        <v>110930</v>
      </c>
      <c r="H89" s="41" t="s">
        <v>148</v>
      </c>
      <c r="I89" s="42" t="s">
        <v>356</v>
      </c>
      <c r="J89" s="43" t="s">
        <v>359</v>
      </c>
      <c r="K89" s="42" t="s">
        <v>151</v>
      </c>
      <c r="L89" s="44" t="s">
        <v>152</v>
      </c>
      <c r="M89" s="42" t="s">
        <v>358</v>
      </c>
    </row>
    <row r="90" spans="1:13">
      <c r="A90" s="36">
        <v>12</v>
      </c>
      <c r="B90" s="14"/>
      <c r="C90" s="14" t="s">
        <v>360</v>
      </c>
      <c r="D90" s="30"/>
      <c r="E90" s="14">
        <v>1200</v>
      </c>
      <c r="F90" s="31">
        <v>109730</v>
      </c>
      <c r="H90" s="29">
        <v>2023</v>
      </c>
      <c r="I90" s="13"/>
      <c r="J90" s="13"/>
      <c r="K90" s="13"/>
      <c r="L90" s="54"/>
      <c r="M90" s="45"/>
    </row>
    <row r="91" spans="1:13">
      <c r="A91" s="36">
        <v>15</v>
      </c>
      <c r="B91" s="14"/>
      <c r="C91" s="14" t="s">
        <v>360</v>
      </c>
      <c r="D91" s="30">
        <v>9212</v>
      </c>
      <c r="E91" s="14"/>
      <c r="F91" s="31">
        <v>118942</v>
      </c>
      <c r="H91" s="34" t="str">
        <f>CONCATENATE("Jan.","            ","10")</f>
        <v>Jan.            10</v>
      </c>
      <c r="I91" s="13"/>
      <c r="J91" s="14" t="s">
        <v>360</v>
      </c>
      <c r="K91" s="13"/>
      <c r="L91" s="31">
        <v>6000</v>
      </c>
      <c r="M91" s="46">
        <v>6000</v>
      </c>
    </row>
    <row r="92" spans="1:13">
      <c r="A92" s="36">
        <v>18</v>
      </c>
      <c r="B92" s="14"/>
      <c r="C92" s="14" t="s">
        <v>360</v>
      </c>
      <c r="D92" s="30"/>
      <c r="E92" s="14">
        <v>1000</v>
      </c>
      <c r="F92" s="31">
        <v>117942</v>
      </c>
      <c r="H92" s="34" t="str">
        <f>CONCATENATE("Feb.","             ","6")</f>
        <v>Feb.             6</v>
      </c>
      <c r="I92" s="13"/>
      <c r="J92" s="14" t="s">
        <v>360</v>
      </c>
      <c r="K92" s="13"/>
      <c r="L92" s="31">
        <v>8000</v>
      </c>
      <c r="M92" s="31">
        <v>14000</v>
      </c>
    </row>
    <row r="93" spans="1:13">
      <c r="A93" s="36">
        <v>25</v>
      </c>
      <c r="B93" s="14"/>
      <c r="C93" s="14" t="s">
        <v>360</v>
      </c>
      <c r="D93" s="30">
        <v>6500</v>
      </c>
      <c r="E93" s="14"/>
      <c r="F93" s="31">
        <v>124442</v>
      </c>
      <c r="H93" s="34" t="str">
        <f>CONCATENATE("Mar.","             ","2")</f>
        <v>Mar.             2</v>
      </c>
      <c r="I93" s="13"/>
      <c r="J93" s="14" t="s">
        <v>360</v>
      </c>
      <c r="K93" s="13"/>
      <c r="L93" s="31">
        <v>10000</v>
      </c>
      <c r="M93" s="31">
        <v>24000</v>
      </c>
    </row>
    <row r="94" spans="1:13">
      <c r="A94" s="36">
        <v>30</v>
      </c>
      <c r="B94" s="14"/>
      <c r="C94" s="14" t="s">
        <v>360</v>
      </c>
      <c r="D94" s="30"/>
      <c r="E94" s="14">
        <v>2000</v>
      </c>
      <c r="F94" s="35">
        <v>122442</v>
      </c>
      <c r="H94" s="36">
        <v>27</v>
      </c>
      <c r="I94" s="13"/>
      <c r="J94" s="14" t="s">
        <v>360</v>
      </c>
      <c r="K94" s="13"/>
      <c r="L94" s="31">
        <v>1500</v>
      </c>
      <c r="M94" s="31">
        <v>25500</v>
      </c>
    </row>
    <row r="95" spans="1:13">
      <c r="H95" s="34" t="str">
        <f>CONCATENATE("Apr.","              ","6")</f>
        <v>Apr.              6</v>
      </c>
      <c r="I95" s="13"/>
      <c r="J95" s="14" t="s">
        <v>360</v>
      </c>
      <c r="K95" s="13"/>
      <c r="L95" s="31">
        <v>5000</v>
      </c>
      <c r="M95" s="31">
        <v>30500</v>
      </c>
    </row>
    <row r="96" spans="1:13">
      <c r="A96" s="256" t="s">
        <v>369</v>
      </c>
      <c r="B96" s="251"/>
      <c r="C96" s="251"/>
      <c r="D96" s="251"/>
      <c r="E96" s="251"/>
      <c r="F96" s="251"/>
      <c r="H96" s="36">
        <v>27</v>
      </c>
      <c r="I96" s="13"/>
      <c r="J96" s="14" t="s">
        <v>360</v>
      </c>
      <c r="K96" s="13"/>
      <c r="L96" s="31">
        <v>3500</v>
      </c>
      <c r="M96" s="31">
        <v>34000</v>
      </c>
    </row>
    <row r="97" spans="1:13">
      <c r="A97" s="41" t="s">
        <v>148</v>
      </c>
      <c r="B97" s="42" t="s">
        <v>370</v>
      </c>
      <c r="C97" s="42" t="s">
        <v>371</v>
      </c>
      <c r="D97" s="42" t="s">
        <v>151</v>
      </c>
      <c r="E97" s="42" t="s">
        <v>152</v>
      </c>
      <c r="F97" s="44" t="s">
        <v>358</v>
      </c>
      <c r="H97" s="34" t="str">
        <f>CONCATENATE("May.","             ","9")</f>
        <v>May.             9</v>
      </c>
      <c r="I97" s="13"/>
      <c r="J97" s="14" t="s">
        <v>360</v>
      </c>
      <c r="K97" s="13"/>
      <c r="L97" s="31">
        <v>6000</v>
      </c>
      <c r="M97" s="46">
        <v>40000</v>
      </c>
    </row>
    <row r="98" spans="1:13">
      <c r="A98" s="34" t="str">
        <f>CONCATENATE("Jan.","            ","10")</f>
        <v>Jan.            10</v>
      </c>
      <c r="B98" s="13"/>
      <c r="C98" s="14" t="s">
        <v>360</v>
      </c>
      <c r="D98" s="30">
        <v>6000</v>
      </c>
      <c r="E98" s="30"/>
      <c r="F98" s="31">
        <v>6000</v>
      </c>
      <c r="H98" s="34" t="str">
        <f>CONCATENATE("June.","            ","1")</f>
        <v>June.            1</v>
      </c>
      <c r="I98" s="13"/>
      <c r="J98" s="14" t="s">
        <v>360</v>
      </c>
      <c r="K98" s="13"/>
      <c r="L98" s="30">
        <v>8000</v>
      </c>
      <c r="M98" s="31">
        <v>48000</v>
      </c>
    </row>
    <row r="99" spans="1:13">
      <c r="A99" s="56">
        <v>28</v>
      </c>
      <c r="B99" s="13"/>
      <c r="C99" s="14" t="s">
        <v>360</v>
      </c>
      <c r="D99" s="30"/>
      <c r="E99" s="30">
        <v>3000</v>
      </c>
      <c r="F99" s="31">
        <v>3000</v>
      </c>
      <c r="H99" s="34" t="str">
        <f>CONCATENATE("June.","          ","18")</f>
        <v>June.          18</v>
      </c>
      <c r="I99" s="13"/>
      <c r="J99" s="14" t="s">
        <v>360</v>
      </c>
      <c r="K99" s="13"/>
      <c r="L99" s="30">
        <v>1200</v>
      </c>
      <c r="M99" s="31">
        <v>49200</v>
      </c>
    </row>
    <row r="100" spans="1:13">
      <c r="A100" s="34" t="str">
        <f>CONCATENATE("Feb.","             ","6")</f>
        <v>Feb.             6</v>
      </c>
      <c r="B100" s="13"/>
      <c r="C100" s="14" t="s">
        <v>360</v>
      </c>
      <c r="D100" s="30">
        <v>8000</v>
      </c>
      <c r="E100" s="30"/>
      <c r="F100" s="31">
        <v>11000</v>
      </c>
      <c r="H100" s="34" t="str">
        <f>CONCATENATE("July.","              ","5")</f>
        <v>July.              5</v>
      </c>
      <c r="I100" s="13"/>
      <c r="J100" s="14" t="s">
        <v>360</v>
      </c>
      <c r="K100" s="13"/>
      <c r="L100" s="30">
        <v>7000</v>
      </c>
      <c r="M100" s="31">
        <v>56200</v>
      </c>
    </row>
    <row r="101" spans="1:13">
      <c r="A101" s="56">
        <v>10</v>
      </c>
      <c r="B101" s="13"/>
      <c r="C101" s="14" t="s">
        <v>360</v>
      </c>
      <c r="D101" s="30"/>
      <c r="E101" s="30">
        <v>3000</v>
      </c>
      <c r="F101" s="31">
        <v>8000</v>
      </c>
      <c r="H101" s="34" t="str">
        <f>CONCATENATE("Aug.","             ","2")</f>
        <v>Aug.             2</v>
      </c>
      <c r="I101" s="13"/>
      <c r="J101" s="14" t="s">
        <v>360</v>
      </c>
      <c r="K101" s="13"/>
      <c r="L101" s="30">
        <v>12000</v>
      </c>
      <c r="M101" s="31">
        <v>68200</v>
      </c>
    </row>
    <row r="102" spans="1:13">
      <c r="A102" s="34" t="str">
        <f>CONCATENATE("Mar.","              ","2")</f>
        <v>Mar.              2</v>
      </c>
      <c r="B102" s="13"/>
      <c r="C102" s="14" t="s">
        <v>360</v>
      </c>
      <c r="D102" s="30">
        <v>10000</v>
      </c>
      <c r="E102" s="30"/>
      <c r="F102" s="31">
        <v>18000</v>
      </c>
      <c r="H102" s="34" t="str">
        <f>CONCATENATE("Sep.","             ","5")</f>
        <v>Sep.             5</v>
      </c>
      <c r="I102" s="13"/>
      <c r="J102" s="14" t="s">
        <v>360</v>
      </c>
      <c r="K102" s="13"/>
      <c r="L102" s="30">
        <v>10000</v>
      </c>
      <c r="M102" s="31">
        <v>78200</v>
      </c>
    </row>
    <row r="103" spans="1:13">
      <c r="A103" s="56">
        <v>15</v>
      </c>
      <c r="B103" s="13"/>
      <c r="C103" s="14" t="s">
        <v>360</v>
      </c>
      <c r="D103" s="30"/>
      <c r="E103" s="30">
        <v>10000</v>
      </c>
      <c r="F103" s="31">
        <v>8000</v>
      </c>
      <c r="H103" s="36">
        <v>30</v>
      </c>
      <c r="I103" s="13"/>
      <c r="J103" s="14" t="s">
        <v>360</v>
      </c>
      <c r="K103" s="13"/>
      <c r="L103" s="30">
        <v>7000</v>
      </c>
      <c r="M103" s="31">
        <v>85200</v>
      </c>
    </row>
    <row r="104" spans="1:13">
      <c r="A104" s="56">
        <v>18</v>
      </c>
      <c r="B104" s="13"/>
      <c r="C104" s="14" t="s">
        <v>360</v>
      </c>
      <c r="D104" s="30"/>
      <c r="E104" s="30">
        <v>500</v>
      </c>
      <c r="F104" s="31">
        <v>7500</v>
      </c>
      <c r="H104" s="34" t="str">
        <f>CONCATENATE("Oct.","            ","25")</f>
        <v>Oct.            25</v>
      </c>
      <c r="I104" s="13"/>
      <c r="J104" s="14" t="s">
        <v>360</v>
      </c>
      <c r="K104" s="13"/>
      <c r="L104" s="30">
        <v>5500</v>
      </c>
      <c r="M104" s="31">
        <v>90700</v>
      </c>
    </row>
    <row r="105" spans="1:13">
      <c r="A105" s="56">
        <v>27</v>
      </c>
      <c r="B105" s="13"/>
      <c r="C105" s="14" t="s">
        <v>360</v>
      </c>
      <c r="D105" s="30">
        <v>1500</v>
      </c>
      <c r="E105" s="30"/>
      <c r="F105" s="31">
        <v>9000</v>
      </c>
      <c r="H105" s="34" t="str">
        <f>CONCATENATE("Nov.","             ","8")</f>
        <v>Nov.             8</v>
      </c>
      <c r="I105" s="13"/>
      <c r="J105" s="14" t="s">
        <v>360</v>
      </c>
      <c r="K105" s="13"/>
      <c r="L105" s="30">
        <v>8000</v>
      </c>
      <c r="M105" s="31">
        <v>98700</v>
      </c>
    </row>
    <row r="106" spans="1:13">
      <c r="A106" s="34" t="str">
        <f>CONCATENATE("Apr.","              ","6")</f>
        <v>Apr.              6</v>
      </c>
      <c r="B106" s="13"/>
      <c r="C106" s="14" t="s">
        <v>360</v>
      </c>
      <c r="D106" s="30">
        <v>2000</v>
      </c>
      <c r="E106" s="30"/>
      <c r="F106" s="31">
        <v>11000</v>
      </c>
      <c r="H106" s="36">
        <v>25</v>
      </c>
      <c r="I106" s="13"/>
      <c r="J106" s="14" t="s">
        <v>360</v>
      </c>
      <c r="K106" s="13"/>
      <c r="L106" s="30">
        <v>7000</v>
      </c>
      <c r="M106" s="31">
        <v>105700</v>
      </c>
    </row>
    <row r="107" spans="1:13">
      <c r="A107" s="56">
        <v>10</v>
      </c>
      <c r="B107" s="13"/>
      <c r="C107" s="14" t="s">
        <v>360</v>
      </c>
      <c r="D107" s="30"/>
      <c r="E107" s="30">
        <v>1500</v>
      </c>
      <c r="F107" s="31">
        <v>9500</v>
      </c>
      <c r="H107" s="34" t="str">
        <f>CONCATENATE("Dec.","            ","10")</f>
        <v>Dec.            10</v>
      </c>
      <c r="I107" s="13"/>
      <c r="J107" s="14" t="s">
        <v>360</v>
      </c>
      <c r="K107" s="13"/>
      <c r="L107" s="30">
        <v>10000</v>
      </c>
      <c r="M107" s="31">
        <v>115700</v>
      </c>
    </row>
    <row r="108" spans="1:13">
      <c r="A108" s="56">
        <v>20</v>
      </c>
      <c r="B108" s="13"/>
      <c r="C108" s="14" t="s">
        <v>360</v>
      </c>
      <c r="D108" s="30"/>
      <c r="E108" s="30">
        <v>200</v>
      </c>
      <c r="F108" s="31">
        <v>9300</v>
      </c>
      <c r="H108" s="56">
        <v>25</v>
      </c>
      <c r="I108" s="13"/>
      <c r="J108" s="14" t="s">
        <v>360</v>
      </c>
      <c r="K108" s="13"/>
      <c r="L108" s="30">
        <v>6500</v>
      </c>
      <c r="M108" s="35">
        <v>122200</v>
      </c>
    </row>
    <row r="109" spans="1:13">
      <c r="A109" s="34" t="str">
        <f>CONCATENATE("May.","             ","9")</f>
        <v>May.             9</v>
      </c>
      <c r="B109" s="13"/>
      <c r="C109" s="14" t="s">
        <v>360</v>
      </c>
      <c r="D109" s="30">
        <v>2000</v>
      </c>
      <c r="E109" s="30"/>
      <c r="F109" s="31">
        <v>11300</v>
      </c>
    </row>
    <row r="110" spans="1:13">
      <c r="A110" s="56">
        <v>15</v>
      </c>
      <c r="B110" s="13"/>
      <c r="C110" s="14" t="s">
        <v>360</v>
      </c>
      <c r="D110" s="30"/>
      <c r="E110" s="30">
        <v>1800</v>
      </c>
      <c r="F110" s="31">
        <v>9500</v>
      </c>
      <c r="H110" s="256" t="s">
        <v>372</v>
      </c>
      <c r="I110" s="251"/>
      <c r="J110" s="251"/>
      <c r="K110" s="251"/>
      <c r="L110" s="251"/>
      <c r="M110" s="251"/>
    </row>
    <row r="111" spans="1:13">
      <c r="A111" s="34" t="str">
        <f>CONCATENATE("June.","            ","1")</f>
        <v>June.            1</v>
      </c>
      <c r="B111" s="13"/>
      <c r="C111" s="14" t="s">
        <v>360</v>
      </c>
      <c r="D111" s="30">
        <v>8000</v>
      </c>
      <c r="E111" s="30"/>
      <c r="F111" s="31">
        <v>17500</v>
      </c>
      <c r="H111" s="41" t="s">
        <v>148</v>
      </c>
      <c r="I111" s="42" t="s">
        <v>356</v>
      </c>
      <c r="J111" s="43" t="s">
        <v>359</v>
      </c>
      <c r="K111" s="42" t="s">
        <v>151</v>
      </c>
      <c r="L111" s="42" t="s">
        <v>152</v>
      </c>
      <c r="M111" s="44" t="s">
        <v>358</v>
      </c>
    </row>
    <row r="112" spans="1:13">
      <c r="A112" s="56">
        <v>10</v>
      </c>
      <c r="B112" s="13"/>
      <c r="C112" s="14" t="s">
        <v>360</v>
      </c>
      <c r="D112" s="30"/>
      <c r="E112" s="30">
        <v>8000</v>
      </c>
      <c r="F112" s="31">
        <v>9500</v>
      </c>
      <c r="H112" s="29">
        <v>2023</v>
      </c>
      <c r="I112" s="13"/>
      <c r="J112" s="13"/>
      <c r="K112" s="13"/>
      <c r="L112" s="13"/>
      <c r="M112" s="45"/>
    </row>
    <row r="113" spans="1:13">
      <c r="A113" s="34" t="str">
        <f>CONCATENATE("July.","              ","5")</f>
        <v>July.              5</v>
      </c>
      <c r="B113" s="13"/>
      <c r="C113" s="14" t="s">
        <v>360</v>
      </c>
      <c r="D113" s="30">
        <v>7000</v>
      </c>
      <c r="E113" s="30"/>
      <c r="F113" s="31">
        <v>16500</v>
      </c>
      <c r="H113" s="34" t="str">
        <f>CONCATENATE("Mar.","            ","18")</f>
        <v>Mar.            18</v>
      </c>
      <c r="I113" s="13"/>
      <c r="J113" s="14" t="s">
        <v>360</v>
      </c>
      <c r="K113" s="30">
        <v>500</v>
      </c>
      <c r="L113" s="30"/>
      <c r="M113" s="46">
        <v>500</v>
      </c>
    </row>
    <row r="114" spans="1:13">
      <c r="A114" s="56">
        <v>10</v>
      </c>
      <c r="B114" s="13"/>
      <c r="C114" s="14" t="s">
        <v>360</v>
      </c>
      <c r="D114" s="30"/>
      <c r="E114" s="30">
        <v>1000</v>
      </c>
      <c r="F114" s="31">
        <v>15500</v>
      </c>
      <c r="H114" s="34" t="str">
        <f>CONCATENATE("Apr.","             ","20")</f>
        <v>Apr.             20</v>
      </c>
      <c r="I114" s="13"/>
      <c r="J114" s="14" t="s">
        <v>360</v>
      </c>
      <c r="K114" s="30">
        <v>200</v>
      </c>
      <c r="L114" s="30"/>
      <c r="M114" s="31">
        <v>700</v>
      </c>
    </row>
    <row r="115" spans="1:13">
      <c r="A115" s="56">
        <v>15</v>
      </c>
      <c r="B115" s="13"/>
      <c r="C115" s="14" t="s">
        <v>360</v>
      </c>
      <c r="D115" s="30"/>
      <c r="E115" s="30">
        <v>6000</v>
      </c>
      <c r="F115" s="31">
        <v>9500</v>
      </c>
      <c r="H115" s="34" t="str">
        <f>CONCATENATE("July.","            ","10")</f>
        <v>July.            10</v>
      </c>
      <c r="I115" s="13"/>
      <c r="J115" s="14" t="s">
        <v>360</v>
      </c>
      <c r="K115" s="30">
        <v>1000</v>
      </c>
      <c r="L115" s="30"/>
      <c r="M115" s="31">
        <v>1700</v>
      </c>
    </row>
    <row r="116" spans="1:13">
      <c r="A116" s="34" t="str">
        <f>CONCATENATE("Aug.","             ","2")</f>
        <v>Aug.             2</v>
      </c>
      <c r="B116" s="13"/>
      <c r="C116" s="14" t="s">
        <v>360</v>
      </c>
      <c r="D116" s="30">
        <v>12000</v>
      </c>
      <c r="E116" s="30"/>
      <c r="F116" s="31">
        <v>21500</v>
      </c>
      <c r="H116" s="34" t="str">
        <f>CONCATENATE("Oct.","            ","28")</f>
        <v>Oct.            28</v>
      </c>
      <c r="I116" s="13"/>
      <c r="J116" s="14" t="s">
        <v>360</v>
      </c>
      <c r="K116" s="30">
        <v>300</v>
      </c>
      <c r="L116" s="30"/>
      <c r="M116" s="31">
        <v>2000</v>
      </c>
    </row>
    <row r="117" spans="1:13">
      <c r="A117" s="56">
        <v>8</v>
      </c>
      <c r="B117" s="13"/>
      <c r="C117" s="14" t="s">
        <v>360</v>
      </c>
      <c r="D117" s="30"/>
      <c r="E117" s="30">
        <v>12000</v>
      </c>
      <c r="F117" s="31">
        <v>9500</v>
      </c>
      <c r="H117" s="34" t="str">
        <f>CONCATENATE("Dec.","            ","15")</f>
        <v>Dec.            15</v>
      </c>
      <c r="I117" s="13"/>
      <c r="J117" s="14" t="s">
        <v>360</v>
      </c>
      <c r="K117" s="30">
        <v>600</v>
      </c>
      <c r="L117" s="30"/>
      <c r="M117" s="35">
        <v>2600</v>
      </c>
    </row>
    <row r="118" spans="1:13">
      <c r="A118" s="34" t="str">
        <f>CONCATENATE("Sep.","           ","30")</f>
        <v>Sep.           30</v>
      </c>
      <c r="B118" s="13"/>
      <c r="C118" s="14" t="s">
        <v>360</v>
      </c>
      <c r="D118" s="30">
        <v>7000</v>
      </c>
      <c r="E118" s="30"/>
      <c r="F118" s="31">
        <v>16500</v>
      </c>
    </row>
    <row r="119" spans="1:13">
      <c r="A119" s="34" t="str">
        <f>CONCATENATE("Oct.","              ","7")</f>
        <v>Oct.              7</v>
      </c>
      <c r="B119" s="13"/>
      <c r="C119" s="14" t="s">
        <v>360</v>
      </c>
      <c r="D119" s="30"/>
      <c r="E119" s="30">
        <v>7000</v>
      </c>
      <c r="F119" s="31">
        <v>9500</v>
      </c>
      <c r="H119" s="256" t="s">
        <v>373</v>
      </c>
      <c r="I119" s="251"/>
      <c r="J119" s="251"/>
      <c r="K119" s="251"/>
      <c r="L119" s="251"/>
      <c r="M119" s="251"/>
    </row>
    <row r="120" spans="1:13">
      <c r="A120" s="56">
        <v>25</v>
      </c>
      <c r="B120" s="13"/>
      <c r="C120" s="14" t="s">
        <v>360</v>
      </c>
      <c r="D120" s="30">
        <v>5500</v>
      </c>
      <c r="E120" s="30"/>
      <c r="F120" s="31">
        <v>15000</v>
      </c>
      <c r="H120" s="41" t="s">
        <v>148</v>
      </c>
      <c r="I120" s="42" t="s">
        <v>356</v>
      </c>
      <c r="J120" s="43" t="s">
        <v>359</v>
      </c>
      <c r="K120" s="42" t="s">
        <v>151</v>
      </c>
      <c r="L120" s="42" t="s">
        <v>152</v>
      </c>
      <c r="M120" s="44" t="s">
        <v>358</v>
      </c>
    </row>
    <row r="121" spans="1:13">
      <c r="A121" s="56">
        <v>28</v>
      </c>
      <c r="B121" s="13"/>
      <c r="C121" s="14" t="s">
        <v>360</v>
      </c>
      <c r="D121" s="30"/>
      <c r="E121" s="30">
        <v>300</v>
      </c>
      <c r="F121" s="31">
        <v>14700</v>
      </c>
      <c r="H121" s="29">
        <v>2023</v>
      </c>
      <c r="I121" s="13"/>
      <c r="J121" s="13"/>
      <c r="K121" s="13"/>
      <c r="L121" s="13"/>
      <c r="M121" s="45"/>
    </row>
    <row r="122" spans="1:13">
      <c r="A122" s="34" t="str">
        <f>CONCATENATE("Nov.","             ","8")</f>
        <v>Nov.             8</v>
      </c>
      <c r="B122" s="13"/>
      <c r="C122" s="14" t="s">
        <v>360</v>
      </c>
      <c r="D122" s="30">
        <v>8000</v>
      </c>
      <c r="E122" s="30"/>
      <c r="F122" s="31">
        <v>22700</v>
      </c>
      <c r="H122" s="34" t="str">
        <f>CONCATENATE("Jan.","            ","28")</f>
        <v>Jan.            28</v>
      </c>
      <c r="I122" s="13"/>
      <c r="J122" s="14" t="s">
        <v>360</v>
      </c>
      <c r="K122" s="30">
        <v>150</v>
      </c>
      <c r="L122" s="30"/>
      <c r="M122" s="46">
        <v>150</v>
      </c>
    </row>
    <row r="123" spans="1:13">
      <c r="A123" s="56">
        <v>10</v>
      </c>
      <c r="B123" s="13"/>
      <c r="C123" s="14" t="s">
        <v>360</v>
      </c>
      <c r="D123" s="30"/>
      <c r="E123" s="30">
        <v>8000</v>
      </c>
      <c r="F123" s="31">
        <v>14700</v>
      </c>
      <c r="H123" s="34" t="str">
        <f>CONCATENATE("Mar.","            ","15")</f>
        <v>Mar.            15</v>
      </c>
      <c r="I123" s="13"/>
      <c r="J123" s="14" t="s">
        <v>360</v>
      </c>
      <c r="K123" s="30">
        <v>200</v>
      </c>
      <c r="L123" s="30"/>
      <c r="M123" s="31">
        <v>350</v>
      </c>
    </row>
    <row r="124" spans="1:13">
      <c r="A124" s="34" t="str">
        <f>CONCATENATE("Dec.","             ","6")</f>
        <v>Dec.             6</v>
      </c>
      <c r="B124" s="13"/>
      <c r="C124" s="14" t="s">
        <v>360</v>
      </c>
      <c r="D124" s="30">
        <v>10000</v>
      </c>
      <c r="E124" s="30"/>
      <c r="F124" s="31">
        <v>24700</v>
      </c>
      <c r="H124" s="34" t="str">
        <f>CONCATENATE("June.","          ","10")</f>
        <v>June.          10</v>
      </c>
      <c r="I124" s="13"/>
      <c r="J124" s="14" t="s">
        <v>360</v>
      </c>
      <c r="K124" s="30">
        <v>240</v>
      </c>
      <c r="L124" s="30"/>
      <c r="M124" s="31">
        <v>590</v>
      </c>
    </row>
    <row r="125" spans="1:13">
      <c r="A125" s="56">
        <v>15</v>
      </c>
      <c r="B125" s="13"/>
      <c r="C125" s="14" t="s">
        <v>360</v>
      </c>
      <c r="D125" s="30"/>
      <c r="E125" s="30">
        <v>600</v>
      </c>
      <c r="F125" s="31">
        <v>24100</v>
      </c>
      <c r="H125" s="34" t="str">
        <f>CONCATENATE("Aug.","             ","8")</f>
        <v>Aug.             8</v>
      </c>
      <c r="I125" s="13"/>
      <c r="J125" s="14" t="s">
        <v>360</v>
      </c>
      <c r="K125" s="30">
        <v>240</v>
      </c>
      <c r="L125" s="30"/>
      <c r="M125" s="31">
        <v>830</v>
      </c>
    </row>
    <row r="126" spans="1:13">
      <c r="A126" s="56">
        <v>15</v>
      </c>
      <c r="B126" s="13"/>
      <c r="C126" s="14" t="s">
        <v>360</v>
      </c>
      <c r="D126" s="30"/>
      <c r="E126" s="30">
        <v>9400</v>
      </c>
      <c r="F126" s="35">
        <v>14700</v>
      </c>
      <c r="H126" s="34" t="str">
        <f>CONCATENATE("Nov.","            ","10")</f>
        <v>Nov.            10</v>
      </c>
      <c r="I126" s="13"/>
      <c r="J126" s="14" t="s">
        <v>360</v>
      </c>
      <c r="K126" s="30">
        <v>240</v>
      </c>
      <c r="L126" s="30"/>
      <c r="M126" s="31">
        <v>1070</v>
      </c>
    </row>
    <row r="127" spans="1:13">
      <c r="H127" s="34" t="str">
        <f>CONCATENATE("Dec.","            ","15")</f>
        <v>Dec.            15</v>
      </c>
      <c r="I127" s="56"/>
      <c r="J127" s="14" t="s">
        <v>360</v>
      </c>
      <c r="K127" s="30">
        <v>188</v>
      </c>
      <c r="L127" s="30"/>
      <c r="M127" s="35">
        <v>1258</v>
      </c>
    </row>
    <row r="128" spans="1:13">
      <c r="A128" s="256" t="s">
        <v>374</v>
      </c>
      <c r="B128" s="251"/>
      <c r="C128" s="251"/>
      <c r="D128" s="251"/>
      <c r="E128" s="251"/>
      <c r="F128" s="251"/>
    </row>
    <row r="129" spans="1:13">
      <c r="A129" s="41" t="s">
        <v>148</v>
      </c>
      <c r="B129" s="42" t="s">
        <v>356</v>
      </c>
      <c r="C129" s="43" t="s">
        <v>359</v>
      </c>
      <c r="D129" s="42" t="s">
        <v>151</v>
      </c>
      <c r="E129" s="42" t="s">
        <v>152</v>
      </c>
      <c r="F129" s="44" t="s">
        <v>358</v>
      </c>
      <c r="H129" s="256" t="s">
        <v>375</v>
      </c>
      <c r="I129" s="251"/>
      <c r="J129" s="251"/>
      <c r="K129" s="251"/>
      <c r="L129" s="251"/>
      <c r="M129" s="251"/>
    </row>
    <row r="130" spans="1:13">
      <c r="A130" s="29">
        <v>2023</v>
      </c>
      <c r="B130" s="13"/>
      <c r="C130" s="13"/>
      <c r="D130" s="57"/>
      <c r="E130" s="57"/>
      <c r="F130" s="58"/>
      <c r="H130" s="41" t="s">
        <v>148</v>
      </c>
      <c r="I130" s="42" t="s">
        <v>356</v>
      </c>
      <c r="J130" s="43" t="s">
        <v>359</v>
      </c>
      <c r="K130" s="42" t="s">
        <v>151</v>
      </c>
      <c r="L130" s="42" t="s">
        <v>152</v>
      </c>
      <c r="M130" s="44" t="s">
        <v>358</v>
      </c>
    </row>
    <row r="131" spans="1:13">
      <c r="A131" s="34" t="str">
        <f>CONCATENATE("Feb.","              ","1")</f>
        <v>Feb.              1</v>
      </c>
      <c r="B131" s="13"/>
      <c r="C131" s="14" t="s">
        <v>360</v>
      </c>
      <c r="D131" s="30">
        <v>600</v>
      </c>
      <c r="E131" s="57"/>
      <c r="F131" s="35">
        <v>600</v>
      </c>
      <c r="H131" s="29">
        <v>2023</v>
      </c>
      <c r="I131" s="13"/>
      <c r="J131" s="13"/>
      <c r="K131" s="57"/>
      <c r="L131" s="57"/>
      <c r="M131" s="58"/>
    </row>
    <row r="132" spans="1:13">
      <c r="H132" s="34" t="str">
        <f>CONCATENATE("Jan.","            ","10")</f>
        <v>Jan.            10</v>
      </c>
      <c r="I132" s="13"/>
      <c r="J132" s="14" t="s">
        <v>360</v>
      </c>
      <c r="K132" s="30">
        <v>4400</v>
      </c>
      <c r="L132" s="30"/>
      <c r="M132" s="46">
        <v>4400</v>
      </c>
    </row>
    <row r="133" spans="1:13">
      <c r="A133" s="256" t="s">
        <v>376</v>
      </c>
      <c r="B133" s="251"/>
      <c r="C133" s="251"/>
      <c r="D133" s="251"/>
      <c r="E133" s="251"/>
      <c r="F133" s="251"/>
      <c r="H133" s="34" t="str">
        <f>CONCATENATE("Feb.","             ","6")</f>
        <v>Feb.             6</v>
      </c>
      <c r="I133" s="13"/>
      <c r="J133" s="14" t="s">
        <v>360</v>
      </c>
      <c r="K133" s="30">
        <v>7000</v>
      </c>
      <c r="L133" s="30"/>
      <c r="M133" s="31">
        <v>11400</v>
      </c>
    </row>
    <row r="134" spans="1:13">
      <c r="A134" s="41" t="s">
        <v>148</v>
      </c>
      <c r="B134" s="42" t="s">
        <v>356</v>
      </c>
      <c r="C134" s="43" t="s">
        <v>359</v>
      </c>
      <c r="D134" s="42" t="s">
        <v>151</v>
      </c>
      <c r="E134" s="42" t="s">
        <v>152</v>
      </c>
      <c r="F134" s="44" t="s">
        <v>358</v>
      </c>
      <c r="H134" s="34" t="str">
        <f>CONCATENATE("Mar.","             ","2")</f>
        <v>Mar.             2</v>
      </c>
      <c r="I134" s="13"/>
      <c r="J134" s="14" t="s">
        <v>360</v>
      </c>
      <c r="K134" s="30">
        <v>8800</v>
      </c>
      <c r="L134" s="30"/>
      <c r="M134" s="31">
        <v>20200</v>
      </c>
    </row>
    <row r="135" spans="1:13">
      <c r="A135" s="29">
        <v>2023</v>
      </c>
      <c r="B135" s="13"/>
      <c r="C135" s="13"/>
      <c r="D135" s="57"/>
      <c r="E135" s="57"/>
      <c r="F135" s="58"/>
      <c r="H135" s="36">
        <v>18</v>
      </c>
      <c r="I135" s="13"/>
      <c r="J135" s="14" t="s">
        <v>360</v>
      </c>
      <c r="K135" s="30"/>
      <c r="L135" s="30">
        <v>100</v>
      </c>
      <c r="M135" s="31">
        <v>20100</v>
      </c>
    </row>
    <row r="136" spans="1:13">
      <c r="A136" s="34" t="str">
        <f>CONCATENATE("Jan.","              ","3")</f>
        <v>Jan.              3</v>
      </c>
      <c r="B136" s="13"/>
      <c r="C136" s="14" t="s">
        <v>360</v>
      </c>
      <c r="D136" s="30">
        <v>5000</v>
      </c>
      <c r="E136" s="30"/>
      <c r="F136" s="46">
        <v>5000</v>
      </c>
      <c r="H136" s="36">
        <v>27</v>
      </c>
      <c r="I136" s="13"/>
      <c r="J136" s="14" t="s">
        <v>360</v>
      </c>
      <c r="K136" s="30">
        <v>1000</v>
      </c>
      <c r="L136" s="30"/>
      <c r="M136" s="31">
        <v>21100</v>
      </c>
    </row>
    <row r="137" spans="1:13">
      <c r="A137" s="34" t="str">
        <f>CONCATENATE("Sep.","             ","3")</f>
        <v>Sep.             3</v>
      </c>
      <c r="B137" s="13"/>
      <c r="C137" s="14" t="s">
        <v>360</v>
      </c>
      <c r="D137" s="30">
        <v>6000</v>
      </c>
      <c r="E137" s="30"/>
      <c r="F137" s="31">
        <v>11000</v>
      </c>
      <c r="H137" s="34" t="str">
        <f>CONCATENATE("Apr.","              ","6")</f>
        <v>Apr.              6</v>
      </c>
      <c r="I137" s="13"/>
      <c r="J137" s="14" t="s">
        <v>360</v>
      </c>
      <c r="K137" s="30">
        <v>3500</v>
      </c>
      <c r="L137" s="30"/>
      <c r="M137" s="46">
        <v>24600</v>
      </c>
    </row>
    <row r="138" spans="1:13">
      <c r="A138" s="36">
        <v>18</v>
      </c>
      <c r="B138" s="13"/>
      <c r="C138" s="14" t="s">
        <v>360</v>
      </c>
      <c r="D138" s="30"/>
      <c r="E138" s="30">
        <v>1000</v>
      </c>
      <c r="F138" s="46">
        <v>10000</v>
      </c>
      <c r="H138" s="56">
        <v>20</v>
      </c>
      <c r="I138" s="13"/>
      <c r="J138" s="14" t="s">
        <v>360</v>
      </c>
      <c r="K138" s="30"/>
      <c r="L138" s="30">
        <v>150</v>
      </c>
      <c r="M138" s="31">
        <v>24450</v>
      </c>
    </row>
    <row r="139" spans="1:13">
      <c r="A139" s="34" t="str">
        <f>CONCATENATE("Oct.","              ","5")</f>
        <v>Oct.              5</v>
      </c>
      <c r="B139" s="56"/>
      <c r="C139" s="14" t="s">
        <v>360</v>
      </c>
      <c r="D139" s="30">
        <v>4000</v>
      </c>
      <c r="E139" s="30"/>
      <c r="F139" s="46">
        <v>14000</v>
      </c>
      <c r="H139" s="56">
        <v>27</v>
      </c>
      <c r="I139" s="13"/>
      <c r="J139" s="14" t="s">
        <v>360</v>
      </c>
      <c r="K139" s="30">
        <v>3000</v>
      </c>
      <c r="L139" s="30"/>
      <c r="M139" s="31">
        <v>27450</v>
      </c>
    </row>
    <row r="140" spans="1:13">
      <c r="A140" s="36">
        <v>20</v>
      </c>
      <c r="B140" s="56"/>
      <c r="C140" s="14" t="s">
        <v>360</v>
      </c>
      <c r="D140" s="30"/>
      <c r="E140" s="30">
        <v>500</v>
      </c>
      <c r="F140" s="35">
        <v>13500</v>
      </c>
      <c r="H140" s="34" t="str">
        <f>CONCATENATE("May.","             ","9")</f>
        <v>May.             9</v>
      </c>
      <c r="I140" s="13"/>
      <c r="J140" s="14" t="s">
        <v>360</v>
      </c>
      <c r="K140" s="30">
        <v>4600</v>
      </c>
      <c r="L140" s="30"/>
      <c r="M140" s="31">
        <v>32050</v>
      </c>
    </row>
    <row r="141" spans="1:13">
      <c r="E141" s="59"/>
      <c r="H141" s="34" t="str">
        <f>CONCATENATE("June.","            ","1")</f>
        <v>June.            1</v>
      </c>
      <c r="I141" s="13"/>
      <c r="J141" s="14" t="s">
        <v>360</v>
      </c>
      <c r="K141" s="30">
        <v>6700</v>
      </c>
      <c r="L141" s="30"/>
      <c r="M141" s="31">
        <v>38750</v>
      </c>
    </row>
    <row r="142" spans="1:13">
      <c r="A142" s="256" t="s">
        <v>377</v>
      </c>
      <c r="B142" s="251"/>
      <c r="C142" s="251"/>
      <c r="D142" s="251"/>
      <c r="E142" s="251"/>
      <c r="F142" s="251"/>
      <c r="H142" s="34" t="str">
        <f>CONCATENATE("June.","          ","18")</f>
        <v>June.          18</v>
      </c>
      <c r="I142" s="13"/>
      <c r="J142" s="14" t="s">
        <v>360</v>
      </c>
      <c r="K142" s="30">
        <v>1100</v>
      </c>
      <c r="L142" s="30"/>
      <c r="M142" s="31">
        <v>39850</v>
      </c>
    </row>
    <row r="143" spans="1:13">
      <c r="A143" s="41" t="s">
        <v>148</v>
      </c>
      <c r="B143" s="42" t="s">
        <v>356</v>
      </c>
      <c r="C143" s="43" t="s">
        <v>359</v>
      </c>
      <c r="D143" s="42" t="s">
        <v>151</v>
      </c>
      <c r="E143" s="42" t="s">
        <v>152</v>
      </c>
      <c r="F143" s="44" t="s">
        <v>358</v>
      </c>
      <c r="H143" s="34" t="str">
        <f>CONCATENATE("July.","              ","5")</f>
        <v>July.              5</v>
      </c>
      <c r="I143" s="13"/>
      <c r="J143" s="14" t="s">
        <v>360</v>
      </c>
      <c r="K143" s="30">
        <v>6100</v>
      </c>
      <c r="L143" s="30"/>
      <c r="M143" s="31">
        <v>45950</v>
      </c>
    </row>
    <row r="144" spans="1:13">
      <c r="A144" s="29">
        <v>2023</v>
      </c>
      <c r="B144" s="13"/>
      <c r="C144" s="13"/>
      <c r="D144" s="57"/>
      <c r="E144" s="57"/>
      <c r="F144" s="58"/>
      <c r="H144" s="36">
        <v>10</v>
      </c>
      <c r="I144" s="13"/>
      <c r="J144" s="14" t="s">
        <v>360</v>
      </c>
      <c r="K144" s="30"/>
      <c r="L144" s="30">
        <v>200</v>
      </c>
      <c r="M144" s="31">
        <v>45750</v>
      </c>
    </row>
    <row r="145" spans="1:13">
      <c r="A145" s="34" t="str">
        <f>CONCATENATE("Jan.","              ","8")</f>
        <v>Jan.              8</v>
      </c>
      <c r="B145" s="13"/>
      <c r="C145" s="14" t="s">
        <v>360</v>
      </c>
      <c r="D145" s="30">
        <v>50000</v>
      </c>
      <c r="E145" s="30"/>
      <c r="F145" s="31">
        <v>50000</v>
      </c>
      <c r="H145" s="34" t="str">
        <f>CONCATENATE("Aug.","             ","2")</f>
        <v>Aug.             2</v>
      </c>
      <c r="I145" s="13"/>
      <c r="J145" s="14" t="s">
        <v>360</v>
      </c>
      <c r="K145" s="30">
        <v>11050</v>
      </c>
      <c r="L145" s="30"/>
      <c r="M145" s="31">
        <v>56800</v>
      </c>
    </row>
    <row r="146" spans="1:13">
      <c r="A146" s="36">
        <v>10</v>
      </c>
      <c r="B146" s="13"/>
      <c r="C146" s="14" t="s">
        <v>360</v>
      </c>
      <c r="D146" s="30"/>
      <c r="E146" s="30">
        <v>4400</v>
      </c>
      <c r="F146" s="31">
        <v>45600</v>
      </c>
      <c r="H146" s="34" t="str">
        <f>CONCATENATE("Sep.","             ","5")</f>
        <v>Sep.             5</v>
      </c>
      <c r="I146" s="13"/>
      <c r="J146" s="14" t="s">
        <v>360</v>
      </c>
      <c r="K146" s="30">
        <v>6000</v>
      </c>
      <c r="L146" s="30"/>
      <c r="M146" s="31">
        <v>62800</v>
      </c>
    </row>
    <row r="147" spans="1:13">
      <c r="A147" s="34" t="str">
        <f>CONCATENATE("Mar.","              ","2")</f>
        <v>Mar.              2</v>
      </c>
      <c r="B147" s="13"/>
      <c r="C147" s="14" t="s">
        <v>360</v>
      </c>
      <c r="D147" s="30"/>
      <c r="E147" s="30">
        <v>8800</v>
      </c>
      <c r="F147" s="31">
        <v>36800</v>
      </c>
      <c r="H147" s="36">
        <v>30</v>
      </c>
      <c r="I147" s="13"/>
      <c r="J147" s="14" t="s">
        <v>360</v>
      </c>
      <c r="K147" s="30">
        <v>5500</v>
      </c>
      <c r="L147" s="30"/>
      <c r="M147" s="31">
        <v>68300</v>
      </c>
    </row>
    <row r="148" spans="1:13">
      <c r="A148" s="36">
        <v>18</v>
      </c>
      <c r="B148" s="13"/>
      <c r="C148" s="14" t="s">
        <v>360</v>
      </c>
      <c r="D148" s="30">
        <v>100</v>
      </c>
      <c r="E148" s="30"/>
      <c r="F148" s="31">
        <v>36900</v>
      </c>
      <c r="H148" s="34" t="str">
        <f>CONCATENATE("Oct.","            ","25")</f>
        <v>Oct.            25</v>
      </c>
      <c r="I148" s="13"/>
      <c r="J148" s="14" t="s">
        <v>360</v>
      </c>
      <c r="K148" s="30">
        <v>4500</v>
      </c>
      <c r="L148" s="30"/>
      <c r="M148" s="31">
        <v>72800</v>
      </c>
    </row>
    <row r="149" spans="1:13">
      <c r="A149" s="34" t="str">
        <f>CONCATENATE("Apr.","              ","6")</f>
        <v>Apr.              6</v>
      </c>
      <c r="B149" s="13"/>
      <c r="C149" s="14" t="s">
        <v>360</v>
      </c>
      <c r="D149" s="30"/>
      <c r="E149" s="30">
        <v>3500</v>
      </c>
      <c r="F149" s="31">
        <v>33400</v>
      </c>
      <c r="H149" s="36">
        <v>28</v>
      </c>
      <c r="I149" s="13"/>
      <c r="J149" s="14" t="s">
        <v>360</v>
      </c>
      <c r="K149" s="30"/>
      <c r="L149" s="30">
        <v>150</v>
      </c>
      <c r="M149" s="31">
        <v>72650</v>
      </c>
    </row>
    <row r="150" spans="1:13">
      <c r="A150" s="36">
        <v>20</v>
      </c>
      <c r="B150" s="13"/>
      <c r="C150" s="14" t="s">
        <v>360</v>
      </c>
      <c r="D150" s="30">
        <v>150</v>
      </c>
      <c r="E150" s="30"/>
      <c r="F150" s="31">
        <v>33550</v>
      </c>
      <c r="H150" s="34" t="str">
        <f>CONCATENATE("Nov.","              ","8")</f>
        <v>Nov.              8</v>
      </c>
      <c r="I150" s="13"/>
      <c r="J150" s="14" t="s">
        <v>360</v>
      </c>
      <c r="K150" s="30">
        <v>7000</v>
      </c>
      <c r="L150" s="30"/>
      <c r="M150" s="31">
        <v>79650</v>
      </c>
    </row>
    <row r="151" spans="1:13">
      <c r="A151" s="34" t="str">
        <f>CONCATENATE("June.","           ","1")</f>
        <v>June.           1</v>
      </c>
      <c r="B151" s="13"/>
      <c r="C151" s="14" t="s">
        <v>360</v>
      </c>
      <c r="D151" s="30"/>
      <c r="E151" s="30">
        <v>6700</v>
      </c>
      <c r="F151" s="31">
        <v>26850</v>
      </c>
      <c r="H151" s="56">
        <v>25</v>
      </c>
      <c r="I151" s="13"/>
      <c r="J151" s="14" t="s">
        <v>360</v>
      </c>
      <c r="K151" s="30">
        <v>5700</v>
      </c>
      <c r="L151" s="30"/>
      <c r="M151" s="31">
        <v>85350</v>
      </c>
    </row>
    <row r="152" spans="1:13">
      <c r="A152" s="34" t="str">
        <f>CONCATENATE("July.","             ","2")</f>
        <v>July.             2</v>
      </c>
      <c r="B152" s="13"/>
      <c r="C152" s="14" t="s">
        <v>360</v>
      </c>
      <c r="D152" s="30">
        <v>5000</v>
      </c>
      <c r="E152" s="30"/>
      <c r="F152" s="31">
        <v>31850</v>
      </c>
      <c r="H152" s="34" t="str">
        <f>CONCATENATE("Dec.","             ","6")</f>
        <v>Dec.             6</v>
      </c>
      <c r="I152" s="13"/>
      <c r="J152" s="14" t="s">
        <v>360</v>
      </c>
      <c r="K152" s="30">
        <v>8800</v>
      </c>
      <c r="L152" s="30"/>
      <c r="M152" s="31">
        <v>94150</v>
      </c>
    </row>
    <row r="153" spans="1:13">
      <c r="A153" s="36">
        <v>27</v>
      </c>
      <c r="B153" s="13"/>
      <c r="C153" s="14" t="s">
        <v>360</v>
      </c>
      <c r="D153" s="30"/>
      <c r="E153" s="30">
        <v>300</v>
      </c>
      <c r="F153" s="31">
        <v>31550</v>
      </c>
      <c r="H153" s="56">
        <v>15</v>
      </c>
      <c r="I153" s="13"/>
      <c r="J153" s="14" t="s">
        <v>360</v>
      </c>
      <c r="K153" s="30"/>
      <c r="L153" s="30">
        <v>400</v>
      </c>
      <c r="M153" s="31">
        <v>93750</v>
      </c>
    </row>
    <row r="154" spans="1:13">
      <c r="A154" s="34" t="str">
        <f>CONCATENATE("Aug.","             ","2")</f>
        <v>Aug.             2</v>
      </c>
      <c r="B154" s="13"/>
      <c r="C154" s="14" t="s">
        <v>360</v>
      </c>
      <c r="D154" s="30"/>
      <c r="E154" s="30">
        <v>11050</v>
      </c>
      <c r="F154" s="31">
        <v>20500</v>
      </c>
      <c r="H154" s="56">
        <v>25</v>
      </c>
      <c r="I154" s="13"/>
      <c r="J154" s="14" t="s">
        <v>360</v>
      </c>
      <c r="K154" s="30">
        <v>5400</v>
      </c>
      <c r="L154" s="30"/>
      <c r="M154" s="35">
        <v>99150</v>
      </c>
    </row>
    <row r="155" spans="1:13">
      <c r="A155" s="34" t="str">
        <f>CONCATENATE("Nov.","             ","8")</f>
        <v>Nov.             8</v>
      </c>
      <c r="B155" s="13"/>
      <c r="C155" s="14" t="s">
        <v>360</v>
      </c>
      <c r="D155" s="30"/>
      <c r="E155" s="30">
        <v>7000</v>
      </c>
      <c r="F155" s="31">
        <v>13500</v>
      </c>
    </row>
    <row r="156" spans="1:13">
      <c r="A156" s="34" t="str">
        <f>CONCATENATE("Dec.","             ","6")</f>
        <v>Dec.             6</v>
      </c>
      <c r="B156" s="13"/>
      <c r="C156" s="14" t="s">
        <v>360</v>
      </c>
      <c r="D156" s="30"/>
      <c r="E156" s="30">
        <v>8800</v>
      </c>
      <c r="F156" s="31">
        <v>4700</v>
      </c>
      <c r="H156" s="256" t="s">
        <v>378</v>
      </c>
      <c r="I156" s="251"/>
      <c r="J156" s="251"/>
      <c r="K156" s="251"/>
      <c r="L156" s="251"/>
      <c r="M156" s="251"/>
    </row>
    <row r="157" spans="1:13">
      <c r="A157" s="36">
        <v>15</v>
      </c>
      <c r="B157" s="13"/>
      <c r="C157" s="14" t="s">
        <v>360</v>
      </c>
      <c r="D157" s="30">
        <v>400</v>
      </c>
      <c r="E157" s="30"/>
      <c r="F157" s="35">
        <v>5100</v>
      </c>
      <c r="H157" s="41" t="s">
        <v>148</v>
      </c>
      <c r="I157" s="42" t="s">
        <v>356</v>
      </c>
      <c r="J157" s="43" t="s">
        <v>359</v>
      </c>
      <c r="K157" s="42" t="s">
        <v>151</v>
      </c>
      <c r="L157" s="42" t="s">
        <v>152</v>
      </c>
      <c r="M157" s="44" t="s">
        <v>358</v>
      </c>
    </row>
    <row r="158" spans="1:13">
      <c r="H158" s="29">
        <v>2023</v>
      </c>
      <c r="I158" s="13"/>
      <c r="J158" s="13"/>
      <c r="K158" s="13"/>
      <c r="L158" s="13"/>
      <c r="M158" s="45"/>
    </row>
    <row r="159" spans="1:13">
      <c r="A159" s="256" t="s">
        <v>379</v>
      </c>
      <c r="B159" s="251"/>
      <c r="C159" s="251"/>
      <c r="D159" s="251"/>
      <c r="E159" s="251"/>
      <c r="F159" s="251"/>
      <c r="H159" s="34" t="str">
        <f>CONCATENATE("Jan.","            ","22")</f>
        <v>Jan.            22</v>
      </c>
      <c r="I159" s="13"/>
      <c r="J159" s="14" t="s">
        <v>360</v>
      </c>
      <c r="K159" s="30">
        <v>500</v>
      </c>
      <c r="L159" s="30"/>
      <c r="M159" s="46">
        <v>500</v>
      </c>
    </row>
    <row r="160" spans="1:13">
      <c r="A160" s="41" t="s">
        <v>148</v>
      </c>
      <c r="B160" s="42" t="s">
        <v>356</v>
      </c>
      <c r="C160" s="43" t="s">
        <v>359</v>
      </c>
      <c r="D160" s="42" t="s">
        <v>151</v>
      </c>
      <c r="E160" s="42" t="s">
        <v>152</v>
      </c>
      <c r="F160" s="44" t="s">
        <v>358</v>
      </c>
      <c r="H160" s="34" t="str">
        <f>CONCATENATE("Mar.","            ","20")</f>
        <v>Mar.            20</v>
      </c>
      <c r="I160" s="13"/>
      <c r="J160" s="14" t="s">
        <v>360</v>
      </c>
      <c r="K160" s="30">
        <v>500</v>
      </c>
      <c r="L160" s="30"/>
      <c r="M160" s="31">
        <v>1000</v>
      </c>
    </row>
    <row r="161" spans="1:13">
      <c r="A161" s="29">
        <v>2023</v>
      </c>
      <c r="B161" s="13"/>
      <c r="C161" s="13"/>
      <c r="D161" s="57"/>
      <c r="E161" s="57"/>
      <c r="F161" s="58"/>
      <c r="H161" s="34" t="str">
        <f>CONCATENATE("May.","           ","18")</f>
        <v>May.           18</v>
      </c>
      <c r="I161" s="13"/>
      <c r="J161" s="14" t="s">
        <v>360</v>
      </c>
      <c r="K161" s="30">
        <v>800</v>
      </c>
      <c r="L161" s="30"/>
      <c r="M161" s="31">
        <v>1800</v>
      </c>
    </row>
    <row r="162" spans="1:13">
      <c r="A162" s="34" t="str">
        <f>CONCATENATE("Jan.","            ","25")</f>
        <v>Jan.            25</v>
      </c>
      <c r="B162" s="13"/>
      <c r="C162" s="14" t="s">
        <v>360</v>
      </c>
      <c r="D162" s="30">
        <v>60000</v>
      </c>
      <c r="E162" s="30"/>
      <c r="F162" s="31">
        <v>60000</v>
      </c>
      <c r="H162" s="34" t="str">
        <f>CONCATENATE("June.","          ","22")</f>
        <v>June.          22</v>
      </c>
      <c r="I162" s="13"/>
      <c r="J162" s="14" t="s">
        <v>360</v>
      </c>
      <c r="K162" s="30">
        <v>800</v>
      </c>
      <c r="L162" s="30"/>
      <c r="M162" s="31">
        <v>2600</v>
      </c>
    </row>
    <row r="163" spans="1:13">
      <c r="A163" s="34" t="str">
        <f>CONCATENATE("Feb.","             ","6")</f>
        <v>Feb.             6</v>
      </c>
      <c r="B163" s="13"/>
      <c r="C163" s="14" t="s">
        <v>360</v>
      </c>
      <c r="D163" s="30"/>
      <c r="E163" s="30">
        <v>7000</v>
      </c>
      <c r="F163" s="31">
        <v>53000</v>
      </c>
      <c r="H163" s="34" t="str">
        <f>CONCATENATE("Aug.","             ","5")</f>
        <v>Aug.             5</v>
      </c>
      <c r="I163" s="13"/>
      <c r="J163" s="14" t="s">
        <v>360</v>
      </c>
      <c r="K163" s="30">
        <v>2000</v>
      </c>
      <c r="L163" s="30"/>
      <c r="M163" s="31">
        <v>4600</v>
      </c>
    </row>
    <row r="164" spans="1:13">
      <c r="A164" s="36">
        <v>23</v>
      </c>
      <c r="B164" s="13"/>
      <c r="C164" s="14" t="s">
        <v>360</v>
      </c>
      <c r="D164" s="30"/>
      <c r="E164" s="30">
        <v>500</v>
      </c>
      <c r="F164" s="31">
        <v>52500</v>
      </c>
      <c r="H164" s="34" t="str">
        <f>CONCATENATE("Sep.","            ","12")</f>
        <v>Sep.            12</v>
      </c>
      <c r="I164" s="13"/>
      <c r="J164" s="14" t="s">
        <v>360</v>
      </c>
      <c r="K164" s="30">
        <v>900</v>
      </c>
      <c r="L164" s="30"/>
      <c r="M164" s="31">
        <v>5500</v>
      </c>
    </row>
    <row r="165" spans="1:13">
      <c r="A165" s="34" t="str">
        <f>CONCATENATE("Mar.","            ","27")</f>
        <v>Mar.            27</v>
      </c>
      <c r="B165" s="13"/>
      <c r="C165" s="14" t="s">
        <v>360</v>
      </c>
      <c r="D165" s="30"/>
      <c r="E165" s="30">
        <v>1000</v>
      </c>
      <c r="F165" s="31">
        <v>51500</v>
      </c>
      <c r="H165" s="34" t="str">
        <f>CONCATENATE("Oct.","            ","28")</f>
        <v>Oct.            28</v>
      </c>
      <c r="I165" s="13"/>
      <c r="J165" s="14" t="s">
        <v>360</v>
      </c>
      <c r="K165" s="30">
        <v>2500</v>
      </c>
      <c r="L165" s="30"/>
      <c r="M165" s="60">
        <v>8000</v>
      </c>
    </row>
    <row r="166" spans="1:13">
      <c r="A166" s="34" t="str">
        <f>CONCATENATE("May.","             ","9")</f>
        <v>May.             9</v>
      </c>
      <c r="B166" s="13"/>
      <c r="C166" s="14" t="s">
        <v>360</v>
      </c>
      <c r="D166" s="30"/>
      <c r="E166" s="30">
        <v>4600</v>
      </c>
      <c r="F166" s="31">
        <v>46900</v>
      </c>
      <c r="H166" s="34" t="str">
        <f>CONCATENATE("Dec.","            ","12")</f>
        <v>Dec.            12</v>
      </c>
      <c r="I166" s="13"/>
      <c r="J166" s="14" t="s">
        <v>360</v>
      </c>
      <c r="K166" s="30">
        <v>1200</v>
      </c>
      <c r="L166" s="30"/>
      <c r="M166" s="35">
        <v>9200</v>
      </c>
    </row>
    <row r="167" spans="1:13">
      <c r="A167" s="34" t="str">
        <f>CONCATENATE("July.","              ","5")</f>
        <v>July.              5</v>
      </c>
      <c r="B167" s="13"/>
      <c r="C167" s="14" t="s">
        <v>360</v>
      </c>
      <c r="D167" s="30"/>
      <c r="E167" s="30">
        <v>6100</v>
      </c>
      <c r="F167" s="31">
        <v>40800</v>
      </c>
    </row>
    <row r="168" spans="1:13">
      <c r="A168" s="36">
        <v>10</v>
      </c>
      <c r="B168" s="13"/>
      <c r="C168" s="14" t="s">
        <v>360</v>
      </c>
      <c r="D168" s="30">
        <v>200</v>
      </c>
      <c r="E168" s="30"/>
      <c r="F168" s="31">
        <v>41000</v>
      </c>
      <c r="H168" s="256" t="s">
        <v>380</v>
      </c>
      <c r="I168" s="251"/>
      <c r="J168" s="251"/>
      <c r="K168" s="251"/>
      <c r="L168" s="251"/>
      <c r="M168" s="251"/>
    </row>
    <row r="169" spans="1:13">
      <c r="A169" s="34" t="str">
        <f>CONCATENATE("Sep.","             ","5")</f>
        <v>Sep.             5</v>
      </c>
      <c r="B169" s="13"/>
      <c r="C169" s="14" t="s">
        <v>360</v>
      </c>
      <c r="D169" s="30"/>
      <c r="E169" s="30">
        <v>6000</v>
      </c>
      <c r="F169" s="31">
        <v>35000</v>
      </c>
      <c r="H169" s="41" t="s">
        <v>148</v>
      </c>
      <c r="I169" s="42" t="s">
        <v>356</v>
      </c>
      <c r="J169" s="43" t="s">
        <v>359</v>
      </c>
      <c r="K169" s="42" t="s">
        <v>151</v>
      </c>
      <c r="L169" s="42" t="s">
        <v>152</v>
      </c>
      <c r="M169" s="44" t="s">
        <v>358</v>
      </c>
    </row>
    <row r="170" spans="1:13">
      <c r="A170" s="36">
        <v>30</v>
      </c>
      <c r="B170" s="13"/>
      <c r="C170" s="14" t="s">
        <v>360</v>
      </c>
      <c r="D170" s="30"/>
      <c r="E170" s="30">
        <v>5500</v>
      </c>
      <c r="F170" s="31">
        <v>29500</v>
      </c>
      <c r="H170" s="29">
        <v>2023</v>
      </c>
      <c r="I170" s="13"/>
      <c r="J170" s="13"/>
      <c r="K170" s="13"/>
      <c r="L170" s="13"/>
      <c r="M170" s="45"/>
    </row>
    <row r="171" spans="1:13">
      <c r="A171" s="34" t="str">
        <f>CONCATENATE("Oct.","            ","25")</f>
        <v>Oct.            25</v>
      </c>
      <c r="B171" s="13"/>
      <c r="C171" s="14" t="s">
        <v>360</v>
      </c>
      <c r="D171" s="30"/>
      <c r="E171" s="30">
        <v>4500</v>
      </c>
      <c r="F171" s="31">
        <v>25000</v>
      </c>
      <c r="H171" s="34" t="str">
        <f>CONCATENATE("Jan.","              ","5")</f>
        <v>Jan.              5</v>
      </c>
      <c r="I171" s="13"/>
      <c r="J171" s="14" t="s">
        <v>360</v>
      </c>
      <c r="K171" s="30">
        <v>1000</v>
      </c>
      <c r="L171" s="30"/>
      <c r="M171" s="46">
        <v>1000</v>
      </c>
    </row>
    <row r="172" spans="1:13">
      <c r="A172" s="36">
        <v>28</v>
      </c>
      <c r="B172" s="13"/>
      <c r="C172" s="14" t="s">
        <v>360</v>
      </c>
      <c r="D172" s="30">
        <v>150</v>
      </c>
      <c r="E172" s="30"/>
      <c r="F172" s="31">
        <v>25150</v>
      </c>
      <c r="H172" s="34" t="str">
        <f>CONCATENATE("Apr.","              ","3")</f>
        <v>Apr.              3</v>
      </c>
      <c r="I172" s="13"/>
      <c r="J172" s="14" t="s">
        <v>360</v>
      </c>
      <c r="K172" s="30">
        <v>1000</v>
      </c>
      <c r="L172" s="30"/>
      <c r="M172" s="31">
        <v>2000</v>
      </c>
    </row>
    <row r="173" spans="1:13">
      <c r="A173" s="34" t="str">
        <f>CONCATENATE("Nov.","             ","5")</f>
        <v>Nov.             5</v>
      </c>
      <c r="B173" s="13"/>
      <c r="C173" s="14" t="s">
        <v>360</v>
      </c>
      <c r="D173" s="30">
        <v>3500</v>
      </c>
      <c r="E173" s="30"/>
      <c r="F173" s="31">
        <v>28650</v>
      </c>
      <c r="H173" s="34" t="str">
        <f>CONCATENATE("May.","             ","2")</f>
        <v>May.             2</v>
      </c>
      <c r="I173" s="13"/>
      <c r="J173" s="14" t="s">
        <v>360</v>
      </c>
      <c r="K173" s="30">
        <v>1000</v>
      </c>
      <c r="L173" s="30"/>
      <c r="M173" s="31">
        <v>3000</v>
      </c>
    </row>
    <row r="174" spans="1:13">
      <c r="A174" s="36">
        <v>18</v>
      </c>
      <c r="B174" s="13"/>
      <c r="C174" s="14" t="s">
        <v>360</v>
      </c>
      <c r="D174" s="30"/>
      <c r="E174" s="30">
        <v>500</v>
      </c>
      <c r="F174" s="31">
        <v>28150</v>
      </c>
      <c r="H174" s="34" t="str">
        <f>CONCATENATE("Aug.","            ","10")</f>
        <v>Aug.            10</v>
      </c>
      <c r="I174" s="13"/>
      <c r="J174" s="14" t="s">
        <v>360</v>
      </c>
      <c r="K174" s="30">
        <v>1800</v>
      </c>
      <c r="L174" s="30"/>
      <c r="M174" s="31">
        <v>4800</v>
      </c>
    </row>
    <row r="175" spans="1:13">
      <c r="A175" s="36">
        <v>25</v>
      </c>
      <c r="B175" s="13"/>
      <c r="C175" s="14" t="s">
        <v>360</v>
      </c>
      <c r="D175" s="30"/>
      <c r="E175" s="30">
        <v>5700</v>
      </c>
      <c r="F175" s="31">
        <v>22450</v>
      </c>
      <c r="H175" s="34" t="str">
        <f>CONCATENATE("Sep.","            ","10")</f>
        <v>Sep.            10</v>
      </c>
      <c r="I175" s="13"/>
      <c r="J175" s="14" t="s">
        <v>360</v>
      </c>
      <c r="K175" s="30">
        <v>1800</v>
      </c>
      <c r="L175" s="30"/>
      <c r="M175" s="31">
        <v>6600</v>
      </c>
    </row>
    <row r="176" spans="1:13">
      <c r="A176" s="34" t="str">
        <f>CONCATENATE("Dec.","           ","25")</f>
        <v>Dec.           25</v>
      </c>
      <c r="B176" s="13"/>
      <c r="C176" s="14" t="s">
        <v>360</v>
      </c>
      <c r="D176" s="30"/>
      <c r="E176" s="30">
        <v>5400</v>
      </c>
      <c r="F176" s="35">
        <v>17050</v>
      </c>
      <c r="H176" s="34" t="str">
        <f>CONCATENATE("Nov.","              ","2")</f>
        <v>Nov.              2</v>
      </c>
      <c r="I176" s="13"/>
      <c r="J176" s="14" t="s">
        <v>360</v>
      </c>
      <c r="K176" s="30">
        <v>2000</v>
      </c>
      <c r="L176" s="30"/>
      <c r="M176" s="31">
        <v>8600</v>
      </c>
    </row>
    <row r="177" spans="1:13">
      <c r="H177" s="34" t="str">
        <f>CONCATENATE("Dec.","             ","1")</f>
        <v>Dec.             1</v>
      </c>
      <c r="I177" s="13"/>
      <c r="J177" s="14" t="s">
        <v>360</v>
      </c>
      <c r="K177" s="30">
        <v>2000</v>
      </c>
      <c r="L177" s="30"/>
      <c r="M177" s="35">
        <v>10600</v>
      </c>
    </row>
    <row r="178" spans="1:13">
      <c r="A178" s="256" t="s">
        <v>381</v>
      </c>
      <c r="B178" s="251"/>
      <c r="C178" s="251"/>
      <c r="D178" s="251"/>
      <c r="E178" s="251"/>
      <c r="F178" s="251"/>
      <c r="H178" s="61"/>
      <c r="K178" s="62"/>
      <c r="M178" s="63"/>
    </row>
    <row r="179" spans="1:13">
      <c r="A179" s="41" t="s">
        <v>148</v>
      </c>
      <c r="B179" s="42" t="s">
        <v>356</v>
      </c>
      <c r="C179" s="43" t="s">
        <v>359</v>
      </c>
      <c r="D179" s="42" t="s">
        <v>151</v>
      </c>
      <c r="E179" s="42" t="s">
        <v>152</v>
      </c>
      <c r="F179" s="44" t="s">
        <v>358</v>
      </c>
      <c r="H179" s="256" t="s">
        <v>382</v>
      </c>
      <c r="I179" s="251"/>
      <c r="J179" s="251"/>
      <c r="K179" s="251"/>
      <c r="L179" s="251"/>
      <c r="M179" s="251"/>
    </row>
    <row r="180" spans="1:13">
      <c r="A180" s="29">
        <v>2023</v>
      </c>
      <c r="B180" s="13"/>
      <c r="C180" s="13"/>
      <c r="D180" s="57"/>
      <c r="E180" s="57"/>
      <c r="F180" s="58"/>
      <c r="H180" s="41" t="s">
        <v>148</v>
      </c>
      <c r="I180" s="42" t="s">
        <v>356</v>
      </c>
      <c r="J180" s="43" t="s">
        <v>359</v>
      </c>
      <c r="K180" s="42" t="s">
        <v>151</v>
      </c>
      <c r="L180" s="42" t="s">
        <v>152</v>
      </c>
      <c r="M180" s="44" t="s">
        <v>358</v>
      </c>
    </row>
    <row r="181" spans="1:13">
      <c r="A181" s="34" t="str">
        <f>CONCATENATE("Mar.","              ","5")</f>
        <v>Mar.              5</v>
      </c>
      <c r="B181" s="13"/>
      <c r="C181" s="14" t="s">
        <v>360</v>
      </c>
      <c r="D181" s="30">
        <v>7000</v>
      </c>
      <c r="E181" s="57"/>
      <c r="F181" s="35">
        <v>7000</v>
      </c>
      <c r="H181" s="29">
        <v>2023</v>
      </c>
      <c r="I181" s="13"/>
      <c r="J181" s="13"/>
      <c r="K181" s="13"/>
      <c r="L181" s="13"/>
      <c r="M181" s="45"/>
    </row>
    <row r="182" spans="1:13">
      <c r="H182" s="34" t="str">
        <f>CONCATENATE("Jan.","             ","20")</f>
        <v>Jan.             20</v>
      </c>
      <c r="I182" s="13"/>
      <c r="J182" s="14" t="s">
        <v>360</v>
      </c>
      <c r="K182" s="30">
        <v>800</v>
      </c>
      <c r="L182" s="30"/>
      <c r="M182" s="46">
        <v>800</v>
      </c>
    </row>
    <row r="183" spans="1:13">
      <c r="A183" s="256" t="s">
        <v>383</v>
      </c>
      <c r="B183" s="251"/>
      <c r="C183" s="251"/>
      <c r="D183" s="251"/>
      <c r="E183" s="251"/>
      <c r="F183" s="251"/>
      <c r="H183" s="34" t="str">
        <f>CONCATENATE("Mar.","             ","7")</f>
        <v>Mar.             7</v>
      </c>
      <c r="I183" s="13"/>
      <c r="J183" s="14" t="s">
        <v>360</v>
      </c>
      <c r="K183" s="30">
        <v>1000</v>
      </c>
      <c r="L183" s="30"/>
      <c r="M183" s="31">
        <v>1800</v>
      </c>
    </row>
    <row r="184" spans="1:13">
      <c r="A184" s="41" t="s">
        <v>148</v>
      </c>
      <c r="B184" s="42" t="s">
        <v>356</v>
      </c>
      <c r="C184" s="43" t="s">
        <v>359</v>
      </c>
      <c r="D184" s="42" t="s">
        <v>151</v>
      </c>
      <c r="E184" s="42" t="s">
        <v>152</v>
      </c>
      <c r="F184" s="44" t="s">
        <v>358</v>
      </c>
      <c r="H184" s="34" t="str">
        <f>CONCATENATE("Apr.","            ","20")</f>
        <v>Apr.            20</v>
      </c>
      <c r="I184" s="13"/>
      <c r="J184" s="14" t="s">
        <v>360</v>
      </c>
      <c r="K184" s="30">
        <v>800</v>
      </c>
      <c r="L184" s="30"/>
      <c r="M184" s="31">
        <v>2600</v>
      </c>
    </row>
    <row r="185" spans="1:13">
      <c r="A185" s="29">
        <v>2023</v>
      </c>
      <c r="B185" s="13"/>
      <c r="C185" s="13"/>
      <c r="D185" s="57"/>
      <c r="E185" s="57"/>
      <c r="F185" s="58"/>
      <c r="H185" s="34" t="str">
        <f>CONCATENATE("May.","            ","7")</f>
        <v>May.            7</v>
      </c>
      <c r="I185" s="13"/>
      <c r="J185" s="14" t="s">
        <v>360</v>
      </c>
      <c r="K185" s="30">
        <v>1500</v>
      </c>
      <c r="L185" s="30"/>
      <c r="M185" s="31">
        <v>4100</v>
      </c>
    </row>
    <row r="186" spans="1:13">
      <c r="A186" s="34" t="str">
        <f>CONCATENATE("Mar.","            ","24")</f>
        <v>Mar.            24</v>
      </c>
      <c r="B186" s="13"/>
      <c r="C186" s="14" t="s">
        <v>360</v>
      </c>
      <c r="D186" s="30">
        <v>6000</v>
      </c>
      <c r="E186" s="30"/>
      <c r="F186" s="31">
        <v>6000</v>
      </c>
      <c r="H186" s="34" t="str">
        <f>CONCATENATE("July.","            ","10")</f>
        <v>July.            10</v>
      </c>
      <c r="I186" s="13"/>
      <c r="J186" s="14" t="s">
        <v>360</v>
      </c>
      <c r="K186" s="30">
        <v>800</v>
      </c>
      <c r="L186" s="30"/>
      <c r="M186" s="31">
        <v>4900</v>
      </c>
    </row>
    <row r="187" spans="1:13">
      <c r="A187" s="34" t="str">
        <f>CONCATENATE("Apr.","            ","27")</f>
        <v>Apr.            27</v>
      </c>
      <c r="B187" s="13"/>
      <c r="C187" s="14" t="s">
        <v>360</v>
      </c>
      <c r="D187" s="30"/>
      <c r="E187" s="30">
        <v>3000</v>
      </c>
      <c r="F187" s="31">
        <v>3000</v>
      </c>
      <c r="H187" s="34" t="str">
        <f>CONCATENATE("Aug.","           ","15")</f>
        <v>Aug.           15</v>
      </c>
      <c r="I187" s="13"/>
      <c r="J187" s="14" t="s">
        <v>360</v>
      </c>
      <c r="K187" s="30">
        <v>1200</v>
      </c>
      <c r="L187" s="30"/>
      <c r="M187" s="31">
        <v>6100</v>
      </c>
    </row>
    <row r="188" spans="1:13">
      <c r="A188" s="34" t="str">
        <f>CONCATENATE("June.","          ","18")</f>
        <v>June.          18</v>
      </c>
      <c r="B188" s="13"/>
      <c r="C188" s="14" t="s">
        <v>360</v>
      </c>
      <c r="D188" s="30"/>
      <c r="E188" s="30">
        <v>1100</v>
      </c>
      <c r="F188" s="35">
        <v>1900</v>
      </c>
      <c r="H188" s="34" t="str">
        <f>CONCATENATE("Oct.","            ","15")</f>
        <v>Oct.            15</v>
      </c>
      <c r="I188" s="13"/>
      <c r="J188" s="14" t="s">
        <v>360</v>
      </c>
      <c r="K188" s="30">
        <v>1000</v>
      </c>
      <c r="L188" s="30"/>
      <c r="M188" s="46">
        <v>7100</v>
      </c>
    </row>
    <row r="189" spans="1:13">
      <c r="H189" s="34" t="str">
        <f>CONCATENATE("Nov.","            ","15")</f>
        <v>Nov.            15</v>
      </c>
      <c r="I189" s="13"/>
      <c r="J189" s="14" t="s">
        <v>360</v>
      </c>
      <c r="K189" s="30">
        <v>800</v>
      </c>
      <c r="L189" s="30"/>
      <c r="M189" s="31">
        <v>7900</v>
      </c>
    </row>
    <row r="190" spans="1:13">
      <c r="A190" s="256" t="s">
        <v>384</v>
      </c>
      <c r="B190" s="251"/>
      <c r="C190" s="251"/>
      <c r="D190" s="251"/>
      <c r="E190" s="251"/>
      <c r="F190" s="251"/>
      <c r="H190" s="34" t="str">
        <f>CONCATENATE("Dec.","            ","18")</f>
        <v>Dec.            18</v>
      </c>
      <c r="I190" s="13"/>
      <c r="J190" s="14" t="s">
        <v>360</v>
      </c>
      <c r="K190" s="30">
        <v>1000</v>
      </c>
      <c r="L190" s="30"/>
      <c r="M190" s="35">
        <v>8900</v>
      </c>
    </row>
    <row r="191" spans="1:13">
      <c r="A191" s="41" t="s">
        <v>148</v>
      </c>
      <c r="B191" s="42" t="s">
        <v>356</v>
      </c>
      <c r="C191" s="43" t="s">
        <v>359</v>
      </c>
      <c r="D191" s="42" t="s">
        <v>151</v>
      </c>
      <c r="E191" s="42" t="s">
        <v>152</v>
      </c>
      <c r="F191" s="44" t="s">
        <v>358</v>
      </c>
    </row>
    <row r="192" spans="1:13">
      <c r="A192" s="29">
        <v>2023</v>
      </c>
      <c r="B192" s="13"/>
      <c r="C192" s="13"/>
      <c r="D192" s="57"/>
      <c r="E192" s="57"/>
      <c r="F192" s="58"/>
      <c r="H192" s="256" t="s">
        <v>385</v>
      </c>
      <c r="I192" s="251"/>
      <c r="J192" s="251"/>
      <c r="K192" s="251"/>
      <c r="L192" s="251"/>
      <c r="M192" s="251"/>
    </row>
    <row r="193" spans="1:13">
      <c r="A193" s="34" t="str">
        <f>CONCATENATE("Apr.","            ","12")</f>
        <v>Apr.            12</v>
      </c>
      <c r="B193" s="13"/>
      <c r="C193" s="14" t="s">
        <v>360</v>
      </c>
      <c r="D193" s="30">
        <v>4500</v>
      </c>
      <c r="E193" s="30"/>
      <c r="F193" s="46">
        <v>4500</v>
      </c>
      <c r="H193" s="41" t="s">
        <v>148</v>
      </c>
      <c r="I193" s="42" t="s">
        <v>356</v>
      </c>
      <c r="J193" s="43" t="s">
        <v>359</v>
      </c>
      <c r="K193" s="42" t="s">
        <v>151</v>
      </c>
      <c r="L193" s="42" t="s">
        <v>152</v>
      </c>
      <c r="M193" s="44" t="s">
        <v>358</v>
      </c>
    </row>
    <row r="194" spans="1:13">
      <c r="A194" s="34" t="str">
        <f>CONCATENATE("Apr.","            ","16")</f>
        <v>Apr.            16</v>
      </c>
      <c r="B194" s="13"/>
      <c r="C194" s="14" t="s">
        <v>360</v>
      </c>
      <c r="D194" s="30"/>
      <c r="E194" s="30">
        <v>700</v>
      </c>
      <c r="F194" s="35">
        <v>3800</v>
      </c>
      <c r="H194" s="29">
        <v>2023</v>
      </c>
      <c r="I194" s="13"/>
      <c r="J194" s="13"/>
      <c r="K194" s="13"/>
      <c r="L194" s="13"/>
      <c r="M194" s="45"/>
    </row>
    <row r="195" spans="1:13">
      <c r="H195" s="34" t="str">
        <f>CONCATENATE("Feb.","            ","3")</f>
        <v>Feb.            3</v>
      </c>
      <c r="I195" s="13"/>
      <c r="J195" s="14" t="s">
        <v>360</v>
      </c>
      <c r="K195" s="30">
        <v>2000</v>
      </c>
      <c r="L195" s="30"/>
      <c r="M195" s="46">
        <v>2000</v>
      </c>
    </row>
    <row r="196" spans="1:13">
      <c r="A196" s="256" t="s">
        <v>386</v>
      </c>
      <c r="B196" s="251"/>
      <c r="C196" s="251"/>
      <c r="D196" s="251"/>
      <c r="E196" s="251"/>
      <c r="F196" s="251"/>
      <c r="H196" s="34" t="str">
        <f>CONCATENATE("Mar.","           ","10")</f>
        <v>Mar.           10</v>
      </c>
      <c r="I196" s="13"/>
      <c r="J196" s="14" t="s">
        <v>360</v>
      </c>
      <c r="K196" s="30">
        <v>3000</v>
      </c>
      <c r="L196" s="30"/>
      <c r="M196" s="31">
        <v>5000</v>
      </c>
    </row>
    <row r="197" spans="1:13">
      <c r="A197" s="41" t="s">
        <v>148</v>
      </c>
      <c r="B197" s="42" t="s">
        <v>356</v>
      </c>
      <c r="C197" s="43" t="s">
        <v>359</v>
      </c>
      <c r="D197" s="42" t="s">
        <v>151</v>
      </c>
      <c r="E197" s="42" t="s">
        <v>152</v>
      </c>
      <c r="F197" s="44" t="s">
        <v>358</v>
      </c>
      <c r="H197" s="34" t="str">
        <f>CONCATENATE("Apr.","            ","25")</f>
        <v>Apr.            25</v>
      </c>
      <c r="I197" s="13"/>
      <c r="J197" s="14" t="s">
        <v>360</v>
      </c>
      <c r="K197" s="30">
        <v>2800</v>
      </c>
      <c r="L197" s="30"/>
      <c r="M197" s="31">
        <v>7800</v>
      </c>
    </row>
    <row r="198" spans="1:13">
      <c r="A198" s="29">
        <v>2023</v>
      </c>
      <c r="B198" s="13"/>
      <c r="C198" s="13"/>
      <c r="D198" s="57"/>
      <c r="E198" s="57"/>
      <c r="F198" s="58"/>
      <c r="H198" s="34" t="str">
        <f>CONCATENATE("July.","            ","18")</f>
        <v>July.            18</v>
      </c>
      <c r="I198" s="13"/>
      <c r="J198" s="14" t="s">
        <v>360</v>
      </c>
      <c r="K198" s="30">
        <v>3000</v>
      </c>
      <c r="L198" s="30"/>
      <c r="M198" s="31">
        <v>10800</v>
      </c>
    </row>
    <row r="199" spans="1:13">
      <c r="A199" s="34" t="str">
        <f>CONCATENATE("May.","             ","4")</f>
        <v>May.             4</v>
      </c>
      <c r="B199" s="13"/>
      <c r="C199" s="14" t="s">
        <v>360</v>
      </c>
      <c r="D199" s="30">
        <v>3200</v>
      </c>
      <c r="E199" s="30"/>
      <c r="F199" s="46">
        <v>3200</v>
      </c>
      <c r="H199" s="34" t="str">
        <f>CONCATENATE("Aug.","           ","20")</f>
        <v>Aug.           20</v>
      </c>
      <c r="I199" s="13"/>
      <c r="J199" s="14" t="s">
        <v>360</v>
      </c>
      <c r="K199" s="30">
        <v>3500</v>
      </c>
      <c r="L199" s="30"/>
      <c r="M199" s="31">
        <v>14300</v>
      </c>
    </row>
    <row r="200" spans="1:13">
      <c r="A200" s="34" t="str">
        <f>CONCATENATE("May.","            ","25")</f>
        <v>May.            25</v>
      </c>
      <c r="B200" s="13"/>
      <c r="C200" s="14" t="s">
        <v>360</v>
      </c>
      <c r="D200" s="30"/>
      <c r="E200" s="30">
        <v>200</v>
      </c>
      <c r="F200" s="35">
        <v>3000</v>
      </c>
      <c r="H200" s="34" t="str">
        <f>CONCATENATE("Sep.","           ","15")</f>
        <v>Sep.           15</v>
      </c>
      <c r="I200" s="13"/>
      <c r="J200" s="14" t="s">
        <v>360</v>
      </c>
      <c r="K200" s="30">
        <v>3000</v>
      </c>
      <c r="L200" s="30"/>
      <c r="M200" s="31">
        <v>17300</v>
      </c>
    </row>
    <row r="201" spans="1:13">
      <c r="H201" s="34" t="str">
        <f>CONCATENATE("Oct.","            ","10")</f>
        <v>Oct.            10</v>
      </c>
      <c r="I201" s="13"/>
      <c r="J201" s="14" t="s">
        <v>360</v>
      </c>
      <c r="K201" s="30">
        <v>1500</v>
      </c>
      <c r="L201" s="30"/>
      <c r="M201" s="46">
        <v>18800</v>
      </c>
    </row>
    <row r="202" spans="1:13">
      <c r="A202" s="256" t="s">
        <v>387</v>
      </c>
      <c r="B202" s="251"/>
      <c r="C202" s="251"/>
      <c r="D202" s="251"/>
      <c r="E202" s="251"/>
      <c r="F202" s="251"/>
      <c r="H202" s="34" t="str">
        <f>CONCATENATE("Nov.","            ","12")</f>
        <v>Nov.            12</v>
      </c>
      <c r="I202" s="13"/>
      <c r="J202" s="14" t="s">
        <v>360</v>
      </c>
      <c r="K202" s="30">
        <v>2000</v>
      </c>
      <c r="L202" s="30"/>
      <c r="M202" s="31">
        <v>20800</v>
      </c>
    </row>
    <row r="203" spans="1:13">
      <c r="A203" s="41" t="s">
        <v>148</v>
      </c>
      <c r="B203" s="42" t="s">
        <v>356</v>
      </c>
      <c r="C203" s="43" t="s">
        <v>359</v>
      </c>
      <c r="D203" s="42" t="s">
        <v>151</v>
      </c>
      <c r="E203" s="42" t="s">
        <v>152</v>
      </c>
      <c r="F203" s="44" t="s">
        <v>358</v>
      </c>
      <c r="H203" s="34" t="str">
        <f>CONCATENATE("Dec.","            ","10")</f>
        <v>Dec.            10</v>
      </c>
      <c r="I203" s="13"/>
      <c r="J203" s="14" t="s">
        <v>360</v>
      </c>
      <c r="K203" s="30">
        <v>3000</v>
      </c>
      <c r="L203" s="30"/>
      <c r="M203" s="35">
        <v>23800</v>
      </c>
    </row>
    <row r="204" spans="1:13">
      <c r="A204" s="29">
        <v>2023</v>
      </c>
      <c r="B204" s="13"/>
      <c r="C204" s="13"/>
      <c r="D204" s="13"/>
      <c r="E204" s="13"/>
      <c r="F204" s="45"/>
    </row>
    <row r="205" spans="1:13">
      <c r="A205" s="34" t="str">
        <f>CONCATENATE("May.","            ","21")</f>
        <v>May.            21</v>
      </c>
      <c r="B205" s="13"/>
      <c r="C205" s="14" t="s">
        <v>360</v>
      </c>
      <c r="D205" s="30">
        <v>5000</v>
      </c>
      <c r="E205" s="30"/>
      <c r="F205" s="35">
        <v>5000</v>
      </c>
      <c r="H205" s="256" t="s">
        <v>388</v>
      </c>
      <c r="I205" s="251"/>
      <c r="J205" s="251"/>
      <c r="K205" s="251"/>
      <c r="L205" s="251"/>
      <c r="M205" s="251"/>
    </row>
    <row r="206" spans="1:13">
      <c r="H206" s="41" t="s">
        <v>148</v>
      </c>
      <c r="I206" s="42" t="s">
        <v>356</v>
      </c>
      <c r="J206" s="43" t="s">
        <v>359</v>
      </c>
      <c r="K206" s="42" t="s">
        <v>151</v>
      </c>
      <c r="L206" s="42" t="s">
        <v>152</v>
      </c>
      <c r="M206" s="44" t="s">
        <v>358</v>
      </c>
    </row>
    <row r="207" spans="1:13">
      <c r="A207" s="256" t="s">
        <v>389</v>
      </c>
      <c r="B207" s="251"/>
      <c r="C207" s="251"/>
      <c r="D207" s="251"/>
      <c r="E207" s="251"/>
      <c r="F207" s="251"/>
      <c r="H207" s="29">
        <v>2023</v>
      </c>
      <c r="I207" s="13"/>
      <c r="J207" s="13"/>
      <c r="K207" s="13"/>
      <c r="L207" s="13"/>
      <c r="M207" s="45"/>
    </row>
    <row r="208" spans="1:13">
      <c r="A208" s="41" t="s">
        <v>148</v>
      </c>
      <c r="B208" s="42" t="s">
        <v>356</v>
      </c>
      <c r="C208" s="43" t="s">
        <v>359</v>
      </c>
      <c r="D208" s="42" t="s">
        <v>151</v>
      </c>
      <c r="E208" s="42" t="s">
        <v>152</v>
      </c>
      <c r="F208" s="44" t="s">
        <v>358</v>
      </c>
      <c r="H208" s="34" t="str">
        <f>CONCATENATE("Feb.","           ","28")</f>
        <v>Feb.           28</v>
      </c>
      <c r="I208" s="13"/>
      <c r="J208" s="14" t="s">
        <v>360</v>
      </c>
      <c r="K208" s="30">
        <v>2500</v>
      </c>
      <c r="L208" s="30"/>
      <c r="M208" s="35">
        <v>2500</v>
      </c>
    </row>
    <row r="209" spans="1:13">
      <c r="A209" s="29">
        <v>2023</v>
      </c>
      <c r="B209" s="13"/>
      <c r="C209" s="13"/>
      <c r="D209" s="13"/>
      <c r="E209" s="13"/>
      <c r="F209" s="45"/>
      <c r="H209" s="64"/>
      <c r="I209" s="65"/>
      <c r="J209" s="65"/>
      <c r="K209" s="65"/>
      <c r="L209" s="65"/>
      <c r="M209" s="65"/>
    </row>
    <row r="210" spans="1:13">
      <c r="A210" s="34" t="str">
        <f>CONCATENATE("June.","            ","4")</f>
        <v>June.            4</v>
      </c>
      <c r="B210" s="13"/>
      <c r="C210" s="14" t="s">
        <v>360</v>
      </c>
      <c r="D210" s="30">
        <v>2700</v>
      </c>
      <c r="E210" s="30"/>
      <c r="F210" s="46">
        <v>2700</v>
      </c>
      <c r="H210" s="256" t="s">
        <v>390</v>
      </c>
      <c r="I210" s="251"/>
      <c r="J210" s="251"/>
      <c r="K210" s="251"/>
      <c r="L210" s="251"/>
      <c r="M210" s="251"/>
    </row>
    <row r="211" spans="1:13">
      <c r="A211" s="34" t="str">
        <f>CONCATENATE("Aug.","            ","12")</f>
        <v>Aug.            12</v>
      </c>
      <c r="B211" s="13"/>
      <c r="C211" s="14" t="s">
        <v>360</v>
      </c>
      <c r="D211" s="30">
        <v>3200</v>
      </c>
      <c r="E211" s="30"/>
      <c r="F211" s="35">
        <v>5900</v>
      </c>
      <c r="H211" s="41" t="s">
        <v>148</v>
      </c>
      <c r="I211" s="42" t="s">
        <v>356</v>
      </c>
      <c r="J211" s="43" t="s">
        <v>359</v>
      </c>
      <c r="K211" s="42" t="s">
        <v>151</v>
      </c>
      <c r="L211" s="42" t="s">
        <v>152</v>
      </c>
      <c r="M211" s="44" t="s">
        <v>358</v>
      </c>
    </row>
    <row r="212" spans="1:13">
      <c r="H212" s="29">
        <v>2023</v>
      </c>
      <c r="I212" s="13"/>
      <c r="J212" s="13"/>
      <c r="K212" s="13"/>
      <c r="L212" s="13"/>
      <c r="M212" s="45"/>
    </row>
    <row r="213" spans="1:13">
      <c r="A213" s="256" t="s">
        <v>391</v>
      </c>
      <c r="B213" s="251"/>
      <c r="C213" s="251"/>
      <c r="D213" s="251"/>
      <c r="E213" s="251"/>
      <c r="F213" s="251"/>
      <c r="H213" s="34" t="str">
        <f>CONCATENATE("May.","           ","12")</f>
        <v>May.           12</v>
      </c>
      <c r="I213" s="13"/>
      <c r="J213" s="14" t="s">
        <v>360</v>
      </c>
      <c r="K213" s="30">
        <v>3000</v>
      </c>
      <c r="L213" s="30"/>
      <c r="M213" s="46">
        <v>3000</v>
      </c>
    </row>
    <row r="214" spans="1:13">
      <c r="A214" s="41" t="s">
        <v>148</v>
      </c>
      <c r="B214" s="42" t="s">
        <v>356</v>
      </c>
      <c r="C214" s="43" t="s">
        <v>359</v>
      </c>
      <c r="D214" s="42" t="s">
        <v>151</v>
      </c>
      <c r="E214" s="42" t="s">
        <v>152</v>
      </c>
      <c r="F214" s="44" t="s">
        <v>358</v>
      </c>
      <c r="H214" s="34" t="str">
        <f>CONCATENATE("Oct.","              ","1")</f>
        <v>Oct.              1</v>
      </c>
      <c r="I214" s="66"/>
      <c r="J214" s="14" t="s">
        <v>360</v>
      </c>
      <c r="K214" s="67">
        <v>2000</v>
      </c>
      <c r="L214" s="67"/>
      <c r="M214" s="35">
        <v>5000</v>
      </c>
    </row>
    <row r="215" spans="1:13">
      <c r="A215" s="29">
        <v>2023</v>
      </c>
      <c r="B215" s="13"/>
      <c r="C215" s="13"/>
      <c r="D215" s="57"/>
      <c r="E215" s="57"/>
      <c r="F215" s="68"/>
      <c r="H215" s="64"/>
      <c r="I215" s="65"/>
      <c r="J215" s="65"/>
      <c r="K215" s="65"/>
      <c r="L215" s="65"/>
      <c r="M215" s="65"/>
    </row>
    <row r="216" spans="1:13">
      <c r="A216" s="34" t="str">
        <f>CONCATENATE("Jan.","            ","12")</f>
        <v>Jan.            12</v>
      </c>
      <c r="B216" s="13"/>
      <c r="C216" s="14" t="s">
        <v>360</v>
      </c>
      <c r="D216" s="30">
        <v>12000</v>
      </c>
      <c r="E216" s="30"/>
      <c r="F216" s="35">
        <v>12000</v>
      </c>
      <c r="H216" s="256" t="s">
        <v>392</v>
      </c>
      <c r="I216" s="251"/>
      <c r="J216" s="251"/>
      <c r="K216" s="251"/>
      <c r="L216" s="251"/>
      <c r="M216" s="251"/>
    </row>
    <row r="217" spans="1:13">
      <c r="H217" s="41" t="s">
        <v>148</v>
      </c>
      <c r="I217" s="42" t="s">
        <v>356</v>
      </c>
      <c r="J217" s="43" t="s">
        <v>359</v>
      </c>
      <c r="K217" s="42" t="s">
        <v>151</v>
      </c>
      <c r="L217" s="42" t="s">
        <v>152</v>
      </c>
      <c r="M217" s="44" t="s">
        <v>358</v>
      </c>
    </row>
    <row r="218" spans="1:13">
      <c r="A218" s="256" t="s">
        <v>393</v>
      </c>
      <c r="B218" s="251"/>
      <c r="C218" s="251"/>
      <c r="D218" s="251"/>
      <c r="E218" s="251"/>
      <c r="F218" s="251"/>
      <c r="H218" s="29">
        <v>2023</v>
      </c>
      <c r="I218" s="13"/>
      <c r="J218" s="13"/>
      <c r="K218" s="13"/>
      <c r="L218" s="13"/>
      <c r="M218" s="45"/>
    </row>
    <row r="219" spans="1:13">
      <c r="A219" s="41" t="s">
        <v>148</v>
      </c>
      <c r="B219" s="42" t="s">
        <v>356</v>
      </c>
      <c r="C219" s="43" t="s">
        <v>359</v>
      </c>
      <c r="D219" s="42" t="s">
        <v>151</v>
      </c>
      <c r="E219" s="42" t="s">
        <v>152</v>
      </c>
      <c r="F219" s="44" t="s">
        <v>358</v>
      </c>
      <c r="H219" s="34" t="str">
        <f>CONCATENATE("June.","            ","7")</f>
        <v>June.            7</v>
      </c>
      <c r="I219" s="13"/>
      <c r="J219" s="14" t="s">
        <v>360</v>
      </c>
      <c r="K219" s="30">
        <v>1200</v>
      </c>
      <c r="L219" s="30"/>
      <c r="M219" s="35">
        <v>1200</v>
      </c>
    </row>
    <row r="220" spans="1:13">
      <c r="A220" s="29">
        <v>2023</v>
      </c>
      <c r="B220" s="13"/>
      <c r="C220" s="13"/>
      <c r="D220" s="57"/>
      <c r="E220" s="57"/>
      <c r="F220" s="68"/>
      <c r="H220" s="61"/>
      <c r="I220" s="65"/>
      <c r="J220" s="65"/>
      <c r="K220" s="65"/>
      <c r="L220" s="65"/>
      <c r="M220" s="69"/>
    </row>
    <row r="221" spans="1:13">
      <c r="A221" s="34" t="str">
        <f>CONCATENATE("Feb.","            ","12")</f>
        <v>Feb.            12</v>
      </c>
      <c r="B221" s="13"/>
      <c r="C221" s="14" t="s">
        <v>360</v>
      </c>
      <c r="D221" s="30">
        <v>4500</v>
      </c>
      <c r="E221" s="30"/>
      <c r="F221" s="35">
        <v>4500</v>
      </c>
      <c r="H221" s="256" t="s">
        <v>394</v>
      </c>
      <c r="I221" s="251"/>
      <c r="J221" s="251"/>
      <c r="K221" s="251"/>
      <c r="L221" s="251"/>
      <c r="M221" s="251"/>
    </row>
    <row r="222" spans="1:13">
      <c r="H222" s="41" t="s">
        <v>148</v>
      </c>
      <c r="I222" s="42" t="s">
        <v>356</v>
      </c>
      <c r="J222" s="43" t="s">
        <v>359</v>
      </c>
      <c r="K222" s="42" t="s">
        <v>151</v>
      </c>
      <c r="L222" s="42" t="s">
        <v>152</v>
      </c>
      <c r="M222" s="44" t="s">
        <v>358</v>
      </c>
    </row>
    <row r="223" spans="1:13">
      <c r="A223" s="256" t="s">
        <v>395</v>
      </c>
      <c r="B223" s="251"/>
      <c r="C223" s="251"/>
      <c r="D223" s="251"/>
      <c r="E223" s="251"/>
      <c r="F223" s="251"/>
      <c r="H223" s="29">
        <v>2023</v>
      </c>
      <c r="I223" s="13"/>
      <c r="J223" s="13"/>
      <c r="K223" s="57"/>
      <c r="L223" s="57"/>
      <c r="M223" s="58"/>
    </row>
    <row r="224" spans="1:13">
      <c r="A224" s="41" t="s">
        <v>148</v>
      </c>
      <c r="B224" s="42" t="s">
        <v>356</v>
      </c>
      <c r="C224" s="43" t="s">
        <v>359</v>
      </c>
      <c r="D224" s="42" t="s">
        <v>151</v>
      </c>
      <c r="E224" s="42" t="s">
        <v>152</v>
      </c>
      <c r="F224" s="44" t="s">
        <v>358</v>
      </c>
      <c r="H224" s="34" t="str">
        <f>CONCATENATE("June.","          ","15")</f>
        <v>June.          15</v>
      </c>
      <c r="I224" s="13"/>
      <c r="J224" s="14" t="s">
        <v>360</v>
      </c>
      <c r="K224" s="30">
        <v>3000</v>
      </c>
      <c r="L224" s="30"/>
      <c r="M224" s="35">
        <v>3000</v>
      </c>
    </row>
    <row r="225" spans="1:13">
      <c r="A225" s="29">
        <v>2023</v>
      </c>
      <c r="B225" s="13"/>
      <c r="C225" s="13"/>
      <c r="D225" s="57"/>
      <c r="E225" s="57"/>
      <c r="F225" s="68"/>
    </row>
    <row r="226" spans="1:13">
      <c r="A226" s="34" t="str">
        <f>CONCATENATE("Feb.","           ","20")</f>
        <v>Feb.           20</v>
      </c>
      <c r="B226" s="13"/>
      <c r="C226" s="14" t="s">
        <v>360</v>
      </c>
      <c r="D226" s="30">
        <v>1200</v>
      </c>
      <c r="E226" s="30"/>
      <c r="F226" s="35">
        <v>1200</v>
      </c>
      <c r="H226" s="256" t="s">
        <v>396</v>
      </c>
      <c r="I226" s="251"/>
      <c r="J226" s="251"/>
      <c r="K226" s="251"/>
      <c r="L226" s="251"/>
      <c r="M226" s="251"/>
    </row>
    <row r="227" spans="1:13">
      <c r="H227" s="41" t="s">
        <v>148</v>
      </c>
      <c r="I227" s="42" t="s">
        <v>356</v>
      </c>
      <c r="J227" s="43" t="s">
        <v>359</v>
      </c>
      <c r="K227" s="42" t="s">
        <v>151</v>
      </c>
      <c r="L227" s="42" t="s">
        <v>152</v>
      </c>
      <c r="M227" s="44" t="s">
        <v>358</v>
      </c>
    </row>
    <row r="228" spans="1:13">
      <c r="H228" s="29">
        <v>2023</v>
      </c>
      <c r="I228" s="13"/>
      <c r="J228" s="13"/>
      <c r="K228" s="13"/>
      <c r="L228" s="13"/>
      <c r="M228" s="45"/>
    </row>
    <row r="229" spans="1:13">
      <c r="H229" s="34" t="str">
        <f>CONCATENATE("June.","          ","30")</f>
        <v>June.          30</v>
      </c>
      <c r="I229" s="13"/>
      <c r="J229" s="14" t="s">
        <v>360</v>
      </c>
      <c r="K229" s="30">
        <v>1200</v>
      </c>
      <c r="L229" s="30"/>
      <c r="M229" s="35">
        <v>1200</v>
      </c>
    </row>
    <row r="231" spans="1:13">
      <c r="H231" s="256" t="s">
        <v>397</v>
      </c>
      <c r="I231" s="251"/>
      <c r="J231" s="251"/>
      <c r="K231" s="251"/>
      <c r="L231" s="251"/>
      <c r="M231" s="251"/>
    </row>
    <row r="232" spans="1:13">
      <c r="H232" s="37" t="s">
        <v>148</v>
      </c>
      <c r="I232" s="38" t="s">
        <v>356</v>
      </c>
      <c r="J232" s="39" t="s">
        <v>359</v>
      </c>
      <c r="K232" s="38" t="s">
        <v>151</v>
      </c>
      <c r="L232" s="38" t="s">
        <v>152</v>
      </c>
      <c r="M232" s="40" t="s">
        <v>358</v>
      </c>
    </row>
    <row r="233" spans="1:13">
      <c r="H233" s="29">
        <v>2023</v>
      </c>
      <c r="I233" s="13"/>
      <c r="J233" s="13"/>
      <c r="K233" s="13"/>
      <c r="L233" s="13"/>
      <c r="M233" s="45"/>
    </row>
    <row r="234" spans="1:13">
      <c r="H234" s="34" t="str">
        <f>CONCATENATE("July.","              ","8")</f>
        <v>July.              8</v>
      </c>
      <c r="I234" s="13"/>
      <c r="J234" s="14" t="s">
        <v>360</v>
      </c>
      <c r="K234" s="30">
        <v>2500</v>
      </c>
      <c r="L234" s="30"/>
      <c r="M234" s="35">
        <v>2500</v>
      </c>
    </row>
  </sheetData>
  <mergeCells count="39">
    <mergeCell ref="A2:M3"/>
    <mergeCell ref="O11:T11"/>
    <mergeCell ref="H15:M15"/>
    <mergeCell ref="H20:M20"/>
    <mergeCell ref="A5:F5"/>
    <mergeCell ref="H5:M5"/>
    <mergeCell ref="H10:M10"/>
    <mergeCell ref="H26:M26"/>
    <mergeCell ref="H32:M32"/>
    <mergeCell ref="H72:M72"/>
    <mergeCell ref="H77:M77"/>
    <mergeCell ref="H88:M88"/>
    <mergeCell ref="A96:F96"/>
    <mergeCell ref="H110:M110"/>
    <mergeCell ref="H179:M179"/>
    <mergeCell ref="H192:M192"/>
    <mergeCell ref="H205:M205"/>
    <mergeCell ref="H119:M119"/>
    <mergeCell ref="A128:F128"/>
    <mergeCell ref="H129:M129"/>
    <mergeCell ref="A133:F133"/>
    <mergeCell ref="A142:F142"/>
    <mergeCell ref="H156:M156"/>
    <mergeCell ref="H168:M168"/>
    <mergeCell ref="H210:M210"/>
    <mergeCell ref="H216:M216"/>
    <mergeCell ref="H221:M221"/>
    <mergeCell ref="H226:M226"/>
    <mergeCell ref="H231:M231"/>
    <mergeCell ref="A213:F213"/>
    <mergeCell ref="A218:F218"/>
    <mergeCell ref="A223:F223"/>
    <mergeCell ref="A159:F159"/>
    <mergeCell ref="A178:F178"/>
    <mergeCell ref="A183:F183"/>
    <mergeCell ref="A190:F190"/>
    <mergeCell ref="A196:F196"/>
    <mergeCell ref="A202:F202"/>
    <mergeCell ref="A207:F207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F73"/>
  <sheetViews>
    <sheetView workbookViewId="0">
      <selection activeCell="C41" sqref="C41"/>
    </sheetView>
  </sheetViews>
  <sheetFormatPr defaultColWidth="12.625" defaultRowHeight="15" customHeight="1"/>
  <cols>
    <col min="1" max="1" width="7.5" customWidth="1"/>
    <col min="2" max="2" width="14.75" customWidth="1"/>
    <col min="3" max="3" width="41.875" style="183" customWidth="1"/>
  </cols>
  <sheetData>
    <row r="2" spans="2:6" ht="14.25">
      <c r="B2" s="262" t="s">
        <v>398</v>
      </c>
      <c r="C2" s="263"/>
      <c r="D2" s="263"/>
      <c r="E2" s="263"/>
      <c r="F2" s="264"/>
    </row>
    <row r="3" spans="2:6" ht="14.25">
      <c r="B3" s="265"/>
      <c r="C3" s="266"/>
      <c r="D3" s="266"/>
      <c r="E3" s="266"/>
      <c r="F3" s="267"/>
    </row>
    <row r="4" spans="2:6" ht="21" customHeight="1">
      <c r="B4" s="184" t="s">
        <v>399</v>
      </c>
      <c r="C4" s="185" t="s">
        <v>400</v>
      </c>
      <c r="D4" s="184" t="s">
        <v>357</v>
      </c>
      <c r="E4" s="184" t="s">
        <v>151</v>
      </c>
      <c r="F4" s="184" t="s">
        <v>152</v>
      </c>
    </row>
    <row r="5" spans="2:6" ht="14.25">
      <c r="B5" s="14"/>
      <c r="C5" s="186"/>
      <c r="D5" s="14"/>
      <c r="E5" s="30"/>
      <c r="F5" s="30"/>
    </row>
    <row r="6" spans="2:6" ht="14.25">
      <c r="B6" s="190">
        <v>45657</v>
      </c>
      <c r="C6" s="186" t="s">
        <v>401</v>
      </c>
      <c r="D6" s="14">
        <v>510</v>
      </c>
      <c r="E6" s="30">
        <v>1000</v>
      </c>
      <c r="F6" s="30"/>
    </row>
    <row r="7" spans="2:6" ht="14.25">
      <c r="B7" s="14"/>
      <c r="C7" s="186" t="s">
        <v>402</v>
      </c>
      <c r="D7" s="14">
        <v>166</v>
      </c>
      <c r="E7" s="30"/>
      <c r="F7" s="30">
        <v>1000</v>
      </c>
    </row>
    <row r="8" spans="2:6" ht="14.25">
      <c r="B8" s="14"/>
      <c r="C8" s="186"/>
      <c r="D8" s="14"/>
      <c r="E8" s="30"/>
      <c r="F8" s="30"/>
    </row>
    <row r="9" spans="2:6" ht="14.25">
      <c r="B9" s="190">
        <v>45657</v>
      </c>
      <c r="C9" s="186" t="s">
        <v>403</v>
      </c>
      <c r="D9" s="14">
        <v>509</v>
      </c>
      <c r="E9" s="30">
        <v>550</v>
      </c>
      <c r="F9" s="30"/>
    </row>
    <row r="10" spans="2:6" ht="14.25">
      <c r="B10" s="14"/>
      <c r="C10" s="186" t="s">
        <v>404</v>
      </c>
      <c r="D10" s="14">
        <v>113</v>
      </c>
      <c r="E10" s="30"/>
      <c r="F10" s="30">
        <v>550</v>
      </c>
    </row>
    <row r="11" spans="2:6" ht="14.25">
      <c r="B11" s="191"/>
      <c r="C11" s="186"/>
      <c r="D11" s="14"/>
      <c r="E11" s="30"/>
      <c r="F11" s="30"/>
    </row>
    <row r="12" spans="2:6" ht="14.25">
      <c r="B12" s="190">
        <v>45657</v>
      </c>
      <c r="C12" s="186" t="s">
        <v>405</v>
      </c>
      <c r="D12" s="14">
        <v>510</v>
      </c>
      <c r="E12" s="30">
        <v>120</v>
      </c>
      <c r="F12" s="30"/>
    </row>
    <row r="13" spans="2:6" ht="14.25">
      <c r="B13" s="14"/>
      <c r="C13" s="186" t="s">
        <v>406</v>
      </c>
      <c r="D13" s="14">
        <v>164</v>
      </c>
      <c r="E13" s="30"/>
      <c r="F13" s="30">
        <v>120</v>
      </c>
    </row>
    <row r="14" spans="2:6" ht="14.25">
      <c r="B14" s="14"/>
      <c r="C14" s="186"/>
      <c r="D14" s="14"/>
      <c r="E14" s="30"/>
      <c r="F14" s="30"/>
    </row>
    <row r="15" spans="2:6" ht="14.25">
      <c r="B15" s="190">
        <v>45657</v>
      </c>
      <c r="C15" s="186" t="s">
        <v>238</v>
      </c>
      <c r="D15" s="14">
        <v>403</v>
      </c>
      <c r="E15" s="30">
        <v>1000</v>
      </c>
      <c r="F15" s="30"/>
    </row>
    <row r="16" spans="2:6" ht="14.25">
      <c r="B16" s="14"/>
      <c r="C16" s="186" t="s">
        <v>164</v>
      </c>
      <c r="D16" s="14">
        <v>115</v>
      </c>
      <c r="E16" s="30"/>
      <c r="F16" s="30">
        <v>1000</v>
      </c>
    </row>
    <row r="17" spans="2:6" ht="14.25">
      <c r="B17" s="14"/>
      <c r="C17" s="186"/>
      <c r="D17" s="14"/>
      <c r="E17" s="30"/>
      <c r="F17" s="30"/>
    </row>
    <row r="18" spans="2:6" ht="14.25">
      <c r="B18" s="190">
        <v>45657</v>
      </c>
      <c r="C18" s="186" t="s">
        <v>407</v>
      </c>
      <c r="D18" s="14">
        <v>502</v>
      </c>
      <c r="E18" s="30">
        <v>2000</v>
      </c>
      <c r="F18" s="30"/>
    </row>
    <row r="19" spans="2:6" ht="14.25">
      <c r="B19" s="14"/>
      <c r="C19" s="186" t="s">
        <v>408</v>
      </c>
      <c r="D19" s="14">
        <v>204</v>
      </c>
      <c r="E19" s="30"/>
      <c r="F19" s="30">
        <v>2000</v>
      </c>
    </row>
    <row r="20" spans="2:6" ht="14.25">
      <c r="B20" s="14"/>
      <c r="C20" s="186"/>
      <c r="D20" s="14"/>
      <c r="E20" s="30"/>
      <c r="F20" s="30"/>
    </row>
    <row r="21" spans="2:6" ht="14.25">
      <c r="B21" s="190">
        <v>45657</v>
      </c>
      <c r="C21" s="186" t="s">
        <v>401</v>
      </c>
      <c r="D21" s="14">
        <v>510</v>
      </c>
      <c r="E21" s="30">
        <v>33</v>
      </c>
      <c r="F21" s="30"/>
    </row>
    <row r="22" spans="2:6" ht="28.5">
      <c r="B22" s="14"/>
      <c r="C22" s="186" t="s">
        <v>409</v>
      </c>
      <c r="D22" s="14">
        <v>165</v>
      </c>
      <c r="E22" s="30"/>
      <c r="F22" s="30">
        <v>33</v>
      </c>
    </row>
    <row r="23" spans="2:6" ht="14.25">
      <c r="B23" s="190"/>
      <c r="C23" s="186"/>
      <c r="D23" s="14"/>
      <c r="E23" s="30"/>
      <c r="F23" s="30"/>
    </row>
    <row r="24" spans="2:6" ht="14.25">
      <c r="B24" s="190">
        <v>45657</v>
      </c>
      <c r="C24" s="186" t="s">
        <v>241</v>
      </c>
      <c r="D24" s="14">
        <v>501</v>
      </c>
      <c r="E24" s="30">
        <v>1500</v>
      </c>
      <c r="F24" s="30"/>
    </row>
    <row r="25" spans="2:6" ht="14.25">
      <c r="B25" s="14"/>
      <c r="C25" s="186" t="s">
        <v>410</v>
      </c>
      <c r="D25" s="14">
        <v>203</v>
      </c>
      <c r="E25" s="30"/>
      <c r="F25" s="30">
        <v>1500</v>
      </c>
    </row>
    <row r="26" spans="2:6" ht="14.25">
      <c r="B26" s="14"/>
      <c r="C26" s="186"/>
      <c r="D26" s="14"/>
      <c r="E26" s="30"/>
      <c r="F26" s="30"/>
    </row>
    <row r="27" spans="2:6" ht="14.25">
      <c r="B27" s="190">
        <v>45657</v>
      </c>
      <c r="C27" s="186" t="s">
        <v>411</v>
      </c>
      <c r="D27" s="14">
        <v>506</v>
      </c>
      <c r="E27" s="30">
        <v>800</v>
      </c>
      <c r="F27" s="30"/>
    </row>
    <row r="28" spans="2:6" ht="14.25">
      <c r="B28" s="14"/>
      <c r="C28" s="186" t="s">
        <v>412</v>
      </c>
      <c r="D28" s="14">
        <v>206</v>
      </c>
      <c r="E28" s="30"/>
      <c r="F28" s="30">
        <v>800</v>
      </c>
    </row>
    <row r="29" spans="2:6" ht="14.25">
      <c r="B29" s="191"/>
      <c r="C29" s="186"/>
      <c r="D29" s="14"/>
      <c r="E29" s="30"/>
      <c r="F29" s="30"/>
    </row>
    <row r="30" spans="2:6" ht="14.25">
      <c r="B30" s="190">
        <v>45657</v>
      </c>
      <c r="C30" s="186" t="s">
        <v>413</v>
      </c>
      <c r="D30" s="14">
        <v>404</v>
      </c>
      <c r="E30" s="30">
        <v>300</v>
      </c>
      <c r="F30" s="30"/>
    </row>
    <row r="31" spans="2:6" ht="14.25">
      <c r="B31" s="14"/>
      <c r="C31" s="186" t="s">
        <v>414</v>
      </c>
      <c r="D31" s="14">
        <v>202</v>
      </c>
      <c r="E31" s="30"/>
      <c r="F31" s="30">
        <v>300</v>
      </c>
    </row>
    <row r="32" spans="2:6" ht="14.25">
      <c r="B32" s="14"/>
      <c r="C32" s="186"/>
      <c r="D32" s="14"/>
      <c r="E32" s="30"/>
      <c r="F32" s="30"/>
    </row>
    <row r="33" spans="2:6" ht="14.25">
      <c r="B33" s="190">
        <v>45657</v>
      </c>
      <c r="C33" s="186" t="s">
        <v>415</v>
      </c>
      <c r="D33" s="14">
        <v>503</v>
      </c>
      <c r="E33" s="30">
        <v>1000</v>
      </c>
      <c r="F33" s="30"/>
    </row>
    <row r="34" spans="2:6" ht="14.25">
      <c r="B34" s="14"/>
      <c r="C34" s="186" t="s">
        <v>416</v>
      </c>
      <c r="D34" s="14">
        <v>205</v>
      </c>
      <c r="E34" s="30"/>
      <c r="F34" s="30">
        <v>1000</v>
      </c>
    </row>
    <row r="35" spans="2:6" ht="14.25">
      <c r="B35" s="14"/>
      <c r="C35" s="186"/>
      <c r="D35" s="14"/>
      <c r="E35" s="30"/>
      <c r="F35" s="30"/>
    </row>
    <row r="36" spans="2:6" ht="14.25">
      <c r="B36" s="190">
        <v>45657</v>
      </c>
      <c r="C36" s="186" t="s">
        <v>417</v>
      </c>
      <c r="D36" s="14">
        <v>511</v>
      </c>
      <c r="E36" s="30">
        <v>23</v>
      </c>
      <c r="F36" s="30"/>
    </row>
    <row r="37" spans="2:6" ht="14.25">
      <c r="B37" s="14"/>
      <c r="C37" s="186" t="s">
        <v>418</v>
      </c>
      <c r="D37" s="14">
        <v>207</v>
      </c>
      <c r="E37" s="30"/>
      <c r="F37" s="30">
        <v>23</v>
      </c>
    </row>
    <row r="38" spans="2:6" ht="14.25">
      <c r="B38" s="14"/>
      <c r="C38" s="186"/>
      <c r="D38" s="14"/>
      <c r="E38" s="30"/>
      <c r="F38" s="30"/>
    </row>
    <row r="39" spans="2:6" ht="14.25">
      <c r="B39" s="190">
        <v>45657</v>
      </c>
      <c r="C39" s="186" t="s">
        <v>419</v>
      </c>
      <c r="D39" s="14">
        <v>502</v>
      </c>
      <c r="E39" s="30">
        <v>200</v>
      </c>
      <c r="F39" s="30"/>
    </row>
    <row r="40" spans="2:6" ht="14.25">
      <c r="B40" s="14"/>
      <c r="C40" s="186" t="s">
        <v>420</v>
      </c>
      <c r="D40" s="14">
        <v>204</v>
      </c>
      <c r="E40" s="30"/>
      <c r="F40" s="30">
        <v>200</v>
      </c>
    </row>
    <row r="41" spans="2:6" ht="14.25">
      <c r="B41" s="14"/>
      <c r="C41" s="186"/>
      <c r="D41" s="14"/>
      <c r="E41" s="30"/>
      <c r="F41" s="30"/>
    </row>
    <row r="42" spans="2:6" ht="14.25">
      <c r="B42" s="190">
        <v>45657</v>
      </c>
      <c r="C42" s="186" t="s">
        <v>238</v>
      </c>
      <c r="D42" s="14">
        <v>403</v>
      </c>
      <c r="E42" s="30">
        <v>50</v>
      </c>
      <c r="F42" s="30"/>
    </row>
    <row r="43" spans="2:6" ht="14.25">
      <c r="B43" s="14"/>
      <c r="C43" s="186" t="s">
        <v>421</v>
      </c>
      <c r="D43" s="14">
        <v>116</v>
      </c>
      <c r="E43" s="30"/>
      <c r="F43" s="30">
        <v>50</v>
      </c>
    </row>
    <row r="44" spans="2:6" ht="14.25">
      <c r="B44" s="78"/>
      <c r="C44" s="187"/>
      <c r="D44" s="77"/>
      <c r="E44" s="78"/>
      <c r="F44" s="78"/>
    </row>
    <row r="45" spans="2:6" ht="14.25">
      <c r="B45" s="79"/>
      <c r="C45" s="188"/>
      <c r="E45" s="59"/>
      <c r="F45" s="59"/>
    </row>
    <row r="46" spans="2:6" ht="14.25">
      <c r="B46" s="80"/>
      <c r="C46" s="189"/>
      <c r="E46" s="59"/>
      <c r="F46" s="59"/>
    </row>
    <row r="47" spans="2:6" ht="14.25">
      <c r="B47" s="80"/>
      <c r="E47" s="59"/>
      <c r="F47" s="59"/>
    </row>
    <row r="48" spans="2:6" ht="14.25">
      <c r="B48" s="79"/>
      <c r="C48" s="188"/>
      <c r="E48" s="59"/>
      <c r="F48" s="59"/>
    </row>
    <row r="49" spans="2:6" ht="14.25">
      <c r="B49" s="80"/>
      <c r="C49" s="189"/>
      <c r="E49" s="59"/>
      <c r="F49" s="59"/>
    </row>
    <row r="50" spans="2:6" ht="14.25">
      <c r="B50" s="80"/>
      <c r="E50" s="59"/>
      <c r="F50" s="59"/>
    </row>
    <row r="51" spans="2:6" ht="14.25">
      <c r="B51" s="79"/>
      <c r="C51" s="188"/>
      <c r="E51" s="59"/>
      <c r="F51" s="59"/>
    </row>
    <row r="52" spans="2:6" ht="14.25">
      <c r="B52" s="80"/>
      <c r="C52" s="189"/>
      <c r="E52" s="59"/>
      <c r="F52" s="59"/>
    </row>
    <row r="53" spans="2:6" ht="14.25">
      <c r="B53" s="80"/>
      <c r="E53" s="59"/>
      <c r="F53" s="59"/>
    </row>
    <row r="54" spans="2:6" ht="14.25">
      <c r="B54" s="79"/>
      <c r="C54" s="188"/>
      <c r="E54" s="59"/>
      <c r="F54" s="59"/>
    </row>
    <row r="55" spans="2:6" ht="14.25">
      <c r="B55" s="80"/>
      <c r="C55" s="189"/>
      <c r="E55" s="59"/>
      <c r="F55" s="59"/>
    </row>
    <row r="56" spans="2:6" ht="14.25">
      <c r="B56" s="79"/>
      <c r="E56" s="59"/>
      <c r="F56" s="59"/>
    </row>
    <row r="57" spans="2:6" ht="14.25">
      <c r="B57" s="79"/>
      <c r="C57" s="188"/>
      <c r="E57" s="59"/>
      <c r="F57" s="59"/>
    </row>
    <row r="58" spans="2:6" ht="14.25">
      <c r="B58" s="79"/>
      <c r="C58" s="189"/>
      <c r="E58" s="59"/>
      <c r="F58" s="59"/>
    </row>
    <row r="59" spans="2:6" ht="14.25">
      <c r="B59" s="79"/>
      <c r="E59" s="59"/>
      <c r="F59" s="59"/>
    </row>
    <row r="60" spans="2:6" ht="14.25">
      <c r="B60" s="79"/>
      <c r="C60" s="188"/>
      <c r="E60" s="59"/>
      <c r="F60" s="59"/>
    </row>
    <row r="61" spans="2:6" ht="14.25">
      <c r="B61" s="79"/>
      <c r="C61" s="189"/>
      <c r="E61" s="59"/>
      <c r="F61" s="59"/>
    </row>
    <row r="62" spans="2:6" ht="14.25">
      <c r="B62" s="79"/>
      <c r="E62" s="59"/>
      <c r="F62" s="59"/>
    </row>
    <row r="63" spans="2:6" ht="14.25">
      <c r="B63" s="79"/>
      <c r="C63" s="188"/>
      <c r="E63" s="59"/>
      <c r="F63" s="59"/>
    </row>
    <row r="64" spans="2:6" ht="14.25">
      <c r="B64" s="79"/>
      <c r="C64" s="189"/>
      <c r="E64" s="59"/>
      <c r="F64" s="59"/>
    </row>
    <row r="65" spans="2:6" ht="14.25">
      <c r="B65" s="79"/>
      <c r="E65" s="59"/>
      <c r="F65" s="59"/>
    </row>
    <row r="66" spans="2:6" ht="14.25">
      <c r="B66" s="79"/>
      <c r="C66" s="188"/>
      <c r="E66" s="59"/>
      <c r="F66" s="59"/>
    </row>
    <row r="67" spans="2:6" ht="14.25">
      <c r="B67" s="79"/>
      <c r="C67" s="189"/>
      <c r="E67" s="59"/>
      <c r="F67" s="59"/>
    </row>
    <row r="68" spans="2:6" ht="14.25">
      <c r="B68" s="79"/>
      <c r="E68" s="59"/>
      <c r="F68" s="59"/>
    </row>
    <row r="69" spans="2:6" ht="14.25">
      <c r="B69" s="79"/>
      <c r="C69" s="188"/>
      <c r="E69" s="59"/>
      <c r="F69" s="59"/>
    </row>
    <row r="70" spans="2:6" ht="14.25">
      <c r="B70" s="80"/>
      <c r="C70" s="189"/>
      <c r="E70" s="59"/>
      <c r="F70" s="59"/>
    </row>
    <row r="72" spans="2:6" ht="14.25">
      <c r="B72" s="81"/>
      <c r="C72" s="188"/>
      <c r="E72" s="59"/>
      <c r="F72" s="59"/>
    </row>
    <row r="73" spans="2:6" ht="14.25">
      <c r="C73" s="189"/>
      <c r="E73" s="59"/>
      <c r="F73" s="59"/>
    </row>
  </sheetData>
  <mergeCells count="1">
    <mergeCell ref="B2:F3"/>
  </mergeCells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Q485"/>
  <sheetViews>
    <sheetView topLeftCell="A10" workbookViewId="0">
      <selection activeCell="A27" sqref="A27"/>
    </sheetView>
  </sheetViews>
  <sheetFormatPr defaultColWidth="12.625" defaultRowHeight="15" customHeight="1"/>
  <cols>
    <col min="8" max="8" width="14.375" customWidth="1"/>
  </cols>
  <sheetData>
    <row r="2" spans="1:17" ht="15" customHeight="1">
      <c r="A2" s="259" t="s">
        <v>422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9"/>
    </row>
    <row r="3" spans="1:17" ht="15" customHeight="1">
      <c r="A3" s="253"/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5"/>
    </row>
    <row r="4" spans="1:17" s="193" customFormat="1" ht="15" customHeight="1">
      <c r="A4" s="192"/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</row>
    <row r="5" spans="1:17" ht="20.25">
      <c r="A5" s="256" t="s">
        <v>353</v>
      </c>
      <c r="B5" s="251"/>
      <c r="C5" s="251"/>
      <c r="D5" s="251"/>
      <c r="E5" s="251"/>
      <c r="F5" s="251"/>
      <c r="H5" s="257" t="s">
        <v>423</v>
      </c>
      <c r="I5" s="257"/>
      <c r="J5" s="257"/>
      <c r="K5" s="257"/>
      <c r="L5" s="257"/>
      <c r="M5" s="257"/>
    </row>
    <row r="6" spans="1:17" ht="15" customHeight="1">
      <c r="A6" s="82" t="s">
        <v>355</v>
      </c>
      <c r="B6" s="83" t="s">
        <v>356</v>
      </c>
      <c r="C6" s="83" t="s">
        <v>357</v>
      </c>
      <c r="D6" s="83" t="s">
        <v>151</v>
      </c>
      <c r="E6" s="83" t="s">
        <v>152</v>
      </c>
      <c r="F6" s="84" t="s">
        <v>358</v>
      </c>
      <c r="H6" s="41" t="s">
        <v>148</v>
      </c>
      <c r="I6" s="42" t="s">
        <v>356</v>
      </c>
      <c r="J6" s="43" t="s">
        <v>359</v>
      </c>
      <c r="K6" s="42" t="s">
        <v>151</v>
      </c>
      <c r="L6" s="42" t="s">
        <v>152</v>
      </c>
      <c r="M6" s="44" t="s">
        <v>358</v>
      </c>
      <c r="P6" s="269"/>
      <c r="Q6" s="269"/>
    </row>
    <row r="7" spans="1:17" ht="15" customHeight="1">
      <c r="A7" s="29">
        <v>2023</v>
      </c>
      <c r="B7" s="14"/>
      <c r="C7" s="14"/>
      <c r="D7" s="30"/>
      <c r="E7" s="14"/>
      <c r="F7" s="31"/>
      <c r="H7" s="56">
        <v>2023</v>
      </c>
      <c r="I7" s="13"/>
      <c r="J7" s="13"/>
      <c r="K7" s="13"/>
      <c r="L7" s="13"/>
      <c r="M7" s="54"/>
      <c r="Q7" s="31"/>
    </row>
    <row r="8" spans="1:17" ht="15" customHeight="1">
      <c r="A8" s="33" t="str">
        <f>CONCATENATE("Jan.","               ","1")</f>
        <v>Jan.               1</v>
      </c>
      <c r="B8" s="14"/>
      <c r="C8" s="14" t="s">
        <v>360</v>
      </c>
      <c r="D8" s="30">
        <v>150000</v>
      </c>
      <c r="E8" s="14"/>
      <c r="F8" s="31">
        <v>150000</v>
      </c>
      <c r="H8" s="89">
        <v>45657</v>
      </c>
      <c r="I8" s="13"/>
      <c r="J8" s="14" t="s">
        <v>360</v>
      </c>
      <c r="K8" s="13">
        <v>550</v>
      </c>
      <c r="L8" s="13"/>
      <c r="M8" s="32">
        <v>550</v>
      </c>
      <c r="Q8" s="31"/>
    </row>
    <row r="9" spans="1:17" ht="15" customHeight="1">
      <c r="A9" s="36">
        <v>5</v>
      </c>
      <c r="B9" s="14"/>
      <c r="C9" s="14" t="s">
        <v>360</v>
      </c>
      <c r="D9" s="30"/>
      <c r="E9" s="14">
        <v>1000</v>
      </c>
      <c r="F9" s="31">
        <v>149000</v>
      </c>
      <c r="Q9" s="31"/>
    </row>
    <row r="10" spans="1:17" ht="15" customHeight="1">
      <c r="A10" s="36">
        <v>12</v>
      </c>
      <c r="B10" s="14"/>
      <c r="C10" s="14" t="s">
        <v>360</v>
      </c>
      <c r="D10" s="30"/>
      <c r="E10" s="14">
        <v>5000</v>
      </c>
      <c r="F10" s="31">
        <v>144000</v>
      </c>
      <c r="H10" s="256" t="s">
        <v>424</v>
      </c>
      <c r="I10" s="251"/>
      <c r="J10" s="251"/>
      <c r="K10" s="251"/>
      <c r="L10" s="251"/>
      <c r="M10" s="251"/>
      <c r="Q10" s="31"/>
    </row>
    <row r="11" spans="1:17" ht="15" customHeight="1">
      <c r="A11" s="36">
        <v>15</v>
      </c>
      <c r="B11" s="14"/>
      <c r="C11" s="14" t="s">
        <v>360</v>
      </c>
      <c r="D11" s="30"/>
      <c r="E11" s="14">
        <v>2000</v>
      </c>
      <c r="F11" s="31">
        <v>142000</v>
      </c>
      <c r="H11" s="41" t="s">
        <v>148</v>
      </c>
      <c r="I11" s="42" t="s">
        <v>356</v>
      </c>
      <c r="J11" s="43" t="s">
        <v>359</v>
      </c>
      <c r="K11" s="42" t="s">
        <v>151</v>
      </c>
      <c r="L11" s="42" t="s">
        <v>152</v>
      </c>
      <c r="M11" s="44" t="s">
        <v>358</v>
      </c>
      <c r="Q11" s="31"/>
    </row>
    <row r="12" spans="1:17" ht="15" customHeight="1">
      <c r="A12" s="36">
        <v>20</v>
      </c>
      <c r="B12" s="14"/>
      <c r="C12" s="14" t="s">
        <v>360</v>
      </c>
      <c r="D12" s="30"/>
      <c r="E12" s="14">
        <v>800</v>
      </c>
      <c r="F12" s="31">
        <v>141200</v>
      </c>
      <c r="H12" s="56">
        <v>2023</v>
      </c>
      <c r="I12" s="13"/>
      <c r="J12" s="13"/>
      <c r="K12" s="13"/>
      <c r="L12" s="13"/>
      <c r="M12" s="54"/>
      <c r="Q12" s="31"/>
    </row>
    <row r="13" spans="1:17" ht="15" customHeight="1">
      <c r="A13" s="36">
        <v>22</v>
      </c>
      <c r="B13" s="14"/>
      <c r="C13" s="14" t="s">
        <v>360</v>
      </c>
      <c r="D13" s="30"/>
      <c r="E13" s="14">
        <v>500</v>
      </c>
      <c r="F13" s="31">
        <v>140700</v>
      </c>
      <c r="H13" s="89">
        <v>45657</v>
      </c>
      <c r="I13" s="13"/>
      <c r="J13" s="14" t="s">
        <v>360</v>
      </c>
      <c r="K13" s="13"/>
      <c r="L13" s="13">
        <v>300</v>
      </c>
      <c r="M13" s="32">
        <v>300</v>
      </c>
      <c r="Q13" s="31"/>
    </row>
    <row r="14" spans="1:17" ht="15" customHeight="1">
      <c r="A14" s="36">
        <v>28</v>
      </c>
      <c r="B14" s="14"/>
      <c r="C14" s="14" t="s">
        <v>360</v>
      </c>
      <c r="D14" s="30">
        <v>2850</v>
      </c>
      <c r="E14" s="14"/>
      <c r="F14" s="31">
        <v>143550</v>
      </c>
      <c r="Q14" s="31"/>
    </row>
    <row r="15" spans="1:17" ht="15" customHeight="1">
      <c r="A15" s="36">
        <v>30</v>
      </c>
      <c r="B15" s="14"/>
      <c r="C15" s="14" t="s">
        <v>360</v>
      </c>
      <c r="D15" s="30"/>
      <c r="E15" s="14">
        <v>1000</v>
      </c>
      <c r="F15" s="31">
        <v>142550</v>
      </c>
      <c r="H15" s="256" t="s">
        <v>425</v>
      </c>
      <c r="I15" s="251"/>
      <c r="J15" s="251"/>
      <c r="K15" s="251"/>
      <c r="L15" s="251"/>
      <c r="M15" s="251"/>
      <c r="Q15" s="31"/>
    </row>
    <row r="16" spans="1:17" ht="15" customHeight="1">
      <c r="A16" s="33" t="str">
        <f>CONCATENATE("Feb.","              ","1")</f>
        <v>Feb.              1</v>
      </c>
      <c r="B16" s="14"/>
      <c r="C16" s="14" t="s">
        <v>360</v>
      </c>
      <c r="D16" s="30"/>
      <c r="E16" s="14">
        <v>600</v>
      </c>
      <c r="F16" s="31">
        <v>141950</v>
      </c>
      <c r="H16" s="41" t="s">
        <v>148</v>
      </c>
      <c r="I16" s="42" t="s">
        <v>356</v>
      </c>
      <c r="J16" s="43" t="s">
        <v>359</v>
      </c>
      <c r="K16" s="42" t="s">
        <v>151</v>
      </c>
      <c r="L16" s="42" t="s">
        <v>152</v>
      </c>
      <c r="M16" s="44" t="s">
        <v>358</v>
      </c>
      <c r="Q16" s="31"/>
    </row>
    <row r="17" spans="1:17" ht="15" customHeight="1">
      <c r="A17" s="36">
        <v>3</v>
      </c>
      <c r="B17" s="14"/>
      <c r="C17" s="14" t="s">
        <v>360</v>
      </c>
      <c r="D17" s="30"/>
      <c r="E17" s="14">
        <v>2000</v>
      </c>
      <c r="F17" s="31">
        <v>139950</v>
      </c>
      <c r="H17" s="56">
        <v>2023</v>
      </c>
      <c r="I17" s="13"/>
      <c r="J17" s="13"/>
      <c r="K17" s="13"/>
      <c r="L17" s="13"/>
      <c r="M17" s="54"/>
      <c r="Q17" s="31"/>
    </row>
    <row r="18" spans="1:17" ht="15" customHeight="1">
      <c r="A18" s="36">
        <v>10</v>
      </c>
      <c r="B18" s="14"/>
      <c r="C18" s="14" t="s">
        <v>360</v>
      </c>
      <c r="D18" s="30">
        <v>3000</v>
      </c>
      <c r="E18" s="14"/>
      <c r="F18" s="31">
        <v>142950</v>
      </c>
      <c r="H18" s="89">
        <v>45657</v>
      </c>
      <c r="I18" s="13"/>
      <c r="J18" s="14" t="s">
        <v>360</v>
      </c>
      <c r="K18" s="13"/>
      <c r="L18" s="57">
        <v>1500</v>
      </c>
      <c r="M18" s="68">
        <v>1500</v>
      </c>
      <c r="Q18" s="31"/>
    </row>
    <row r="19" spans="1:17" ht="15" customHeight="1">
      <c r="A19" s="36">
        <v>12</v>
      </c>
      <c r="B19" s="14"/>
      <c r="C19" s="14" t="s">
        <v>360</v>
      </c>
      <c r="D19" s="30"/>
      <c r="E19" s="14">
        <v>2500</v>
      </c>
      <c r="F19" s="31">
        <v>140450</v>
      </c>
      <c r="Q19" s="35"/>
    </row>
    <row r="20" spans="1:17" ht="15" customHeight="1">
      <c r="A20" s="36">
        <v>20</v>
      </c>
      <c r="B20" s="14"/>
      <c r="C20" s="14" t="s">
        <v>360</v>
      </c>
      <c r="D20" s="30"/>
      <c r="E20" s="14">
        <v>600</v>
      </c>
      <c r="F20" s="31">
        <v>139850</v>
      </c>
      <c r="H20" s="256" t="s">
        <v>426</v>
      </c>
      <c r="I20" s="251"/>
      <c r="J20" s="251"/>
      <c r="K20" s="251"/>
      <c r="L20" s="251"/>
      <c r="M20" s="251"/>
    </row>
    <row r="21" spans="1:17" ht="15" customHeight="1">
      <c r="A21" s="36">
        <v>26</v>
      </c>
      <c r="B21" s="14"/>
      <c r="C21" s="14" t="s">
        <v>360</v>
      </c>
      <c r="D21" s="30"/>
      <c r="E21" s="14">
        <v>1000</v>
      </c>
      <c r="F21" s="31">
        <v>138850</v>
      </c>
      <c r="H21" s="41" t="s">
        <v>148</v>
      </c>
      <c r="I21" s="42" t="s">
        <v>356</v>
      </c>
      <c r="J21" s="43" t="s">
        <v>359</v>
      </c>
      <c r="K21" s="42" t="s">
        <v>151</v>
      </c>
      <c r="L21" s="42" t="s">
        <v>152</v>
      </c>
      <c r="M21" s="44" t="s">
        <v>358</v>
      </c>
    </row>
    <row r="22" spans="1:17" ht="15" customHeight="1">
      <c r="A22" s="36">
        <v>28</v>
      </c>
      <c r="B22" s="14"/>
      <c r="C22" s="14" t="s">
        <v>360</v>
      </c>
      <c r="D22" s="30"/>
      <c r="E22" s="14">
        <v>2500</v>
      </c>
      <c r="F22" s="31">
        <v>136350</v>
      </c>
      <c r="H22" s="56">
        <v>2023</v>
      </c>
      <c r="I22" s="13"/>
      <c r="J22" s="13"/>
      <c r="K22" s="13"/>
      <c r="L22" s="13"/>
      <c r="M22" s="54"/>
    </row>
    <row r="23" spans="1:17" ht="15" customHeight="1">
      <c r="A23" s="33" t="str">
        <f>CONCATENATE("Mar.","              ","7")</f>
        <v>Mar.              7</v>
      </c>
      <c r="B23" s="14"/>
      <c r="C23" s="14" t="s">
        <v>360</v>
      </c>
      <c r="D23" s="30"/>
      <c r="E23" s="14">
        <v>1000</v>
      </c>
      <c r="F23" s="31">
        <v>135350</v>
      </c>
      <c r="H23" s="89">
        <v>45657</v>
      </c>
      <c r="I23" s="13"/>
      <c r="J23" s="14" t="s">
        <v>360</v>
      </c>
      <c r="K23" s="13"/>
      <c r="L23" s="57">
        <v>2000</v>
      </c>
      <c r="M23" s="85">
        <v>2000</v>
      </c>
    </row>
    <row r="24" spans="1:17" ht="15" customHeight="1">
      <c r="A24" s="36">
        <v>10</v>
      </c>
      <c r="B24" s="14"/>
      <c r="C24" s="14" t="s">
        <v>360</v>
      </c>
      <c r="D24" s="30"/>
      <c r="E24" s="14">
        <v>3000</v>
      </c>
      <c r="F24" s="31">
        <v>132350</v>
      </c>
      <c r="H24" s="89">
        <v>45657</v>
      </c>
      <c r="I24" s="13"/>
      <c r="J24" s="14" t="s">
        <v>360</v>
      </c>
      <c r="K24" s="13"/>
      <c r="L24" s="13">
        <v>200</v>
      </c>
      <c r="M24" s="68">
        <v>2200</v>
      </c>
    </row>
    <row r="25" spans="1:17" ht="15" customHeight="1">
      <c r="A25" s="36">
        <v>12</v>
      </c>
      <c r="B25" s="14"/>
      <c r="C25" s="14" t="s">
        <v>360</v>
      </c>
      <c r="D25" s="30"/>
      <c r="E25" s="14">
        <v>6000</v>
      </c>
      <c r="F25" s="31">
        <v>126350</v>
      </c>
    </row>
    <row r="26" spans="1:17" ht="15" customHeight="1">
      <c r="A26" s="36">
        <v>15</v>
      </c>
      <c r="B26" s="14"/>
      <c r="C26" s="14" t="s">
        <v>360</v>
      </c>
      <c r="D26" s="30">
        <v>9800</v>
      </c>
      <c r="E26" s="14"/>
      <c r="F26" s="31">
        <v>136150</v>
      </c>
      <c r="H26" s="256" t="s">
        <v>427</v>
      </c>
      <c r="I26" s="251"/>
      <c r="J26" s="251"/>
      <c r="K26" s="251"/>
      <c r="L26" s="251"/>
      <c r="M26" s="251"/>
    </row>
    <row r="27" spans="1:17" ht="15" customHeight="1">
      <c r="A27" s="36">
        <v>20</v>
      </c>
      <c r="B27" s="14"/>
      <c r="C27" s="14" t="s">
        <v>360</v>
      </c>
      <c r="D27" s="30"/>
      <c r="E27" s="14">
        <v>500</v>
      </c>
      <c r="F27" s="31">
        <v>135650</v>
      </c>
      <c r="H27" s="41" t="s">
        <v>148</v>
      </c>
      <c r="I27" s="42" t="s">
        <v>356</v>
      </c>
      <c r="J27" s="43" t="s">
        <v>359</v>
      </c>
      <c r="K27" s="42" t="s">
        <v>151</v>
      </c>
      <c r="L27" s="42" t="s">
        <v>152</v>
      </c>
      <c r="M27" s="44" t="s">
        <v>358</v>
      </c>
    </row>
    <row r="28" spans="1:17" ht="15" customHeight="1">
      <c r="A28" s="36">
        <v>24</v>
      </c>
      <c r="B28" s="14"/>
      <c r="C28" s="14" t="s">
        <v>360</v>
      </c>
      <c r="D28" s="30"/>
      <c r="E28" s="14">
        <v>6000</v>
      </c>
      <c r="F28" s="31">
        <v>129650</v>
      </c>
      <c r="H28" s="56">
        <v>2023</v>
      </c>
      <c r="I28" s="13"/>
      <c r="J28" s="13"/>
      <c r="K28" s="13"/>
      <c r="L28" s="13"/>
      <c r="M28" s="54"/>
    </row>
    <row r="29" spans="1:17" ht="15" customHeight="1">
      <c r="A29" s="36">
        <v>31</v>
      </c>
      <c r="B29" s="14"/>
      <c r="C29" s="14" t="s">
        <v>360</v>
      </c>
      <c r="D29" s="30"/>
      <c r="E29" s="14">
        <v>3000</v>
      </c>
      <c r="F29" s="31">
        <v>126650</v>
      </c>
      <c r="H29" s="89">
        <v>45657</v>
      </c>
      <c r="I29" s="13"/>
      <c r="J29" s="14" t="s">
        <v>360</v>
      </c>
      <c r="K29" s="13"/>
      <c r="L29" s="57">
        <v>1000</v>
      </c>
      <c r="M29" s="68">
        <v>1000</v>
      </c>
    </row>
    <row r="30" spans="1:17" ht="15" customHeight="1">
      <c r="A30" s="33" t="str">
        <f>CONCATENATE("Apr.","               ","3")</f>
        <v>Apr.               3</v>
      </c>
      <c r="B30" s="14"/>
      <c r="C30" s="14" t="s">
        <v>360</v>
      </c>
      <c r="D30" s="30"/>
      <c r="E30" s="14">
        <v>1000</v>
      </c>
      <c r="F30" s="31">
        <v>125650</v>
      </c>
    </row>
    <row r="31" spans="1:17" ht="15" customHeight="1">
      <c r="A31" s="36">
        <v>6</v>
      </c>
      <c r="B31" s="14"/>
      <c r="C31" s="14" t="s">
        <v>360</v>
      </c>
      <c r="D31" s="30">
        <v>3000</v>
      </c>
      <c r="E31" s="14"/>
      <c r="F31" s="31">
        <v>128650</v>
      </c>
      <c r="H31" s="256" t="s">
        <v>428</v>
      </c>
      <c r="I31" s="251"/>
      <c r="J31" s="251"/>
      <c r="K31" s="251"/>
      <c r="L31" s="251"/>
      <c r="M31" s="251"/>
    </row>
    <row r="32" spans="1:17" ht="15" customHeight="1">
      <c r="A32" s="36">
        <v>10</v>
      </c>
      <c r="B32" s="14"/>
      <c r="C32" s="14" t="s">
        <v>360</v>
      </c>
      <c r="D32" s="30">
        <v>1500</v>
      </c>
      <c r="E32" s="14"/>
      <c r="F32" s="31">
        <v>130150</v>
      </c>
      <c r="H32" s="41" t="s">
        <v>148</v>
      </c>
      <c r="I32" s="42" t="s">
        <v>356</v>
      </c>
      <c r="J32" s="43" t="s">
        <v>359</v>
      </c>
      <c r="K32" s="42" t="s">
        <v>151</v>
      </c>
      <c r="L32" s="42" t="s">
        <v>152</v>
      </c>
      <c r="M32" s="44" t="s">
        <v>358</v>
      </c>
    </row>
    <row r="33" spans="1:13" ht="15" customHeight="1">
      <c r="A33" s="36">
        <v>20</v>
      </c>
      <c r="B33" s="14"/>
      <c r="C33" s="14" t="s">
        <v>360</v>
      </c>
      <c r="D33" s="30"/>
      <c r="E33" s="14">
        <v>800</v>
      </c>
      <c r="F33" s="31">
        <v>129350</v>
      </c>
      <c r="H33" s="56">
        <v>2023</v>
      </c>
      <c r="I33" s="13"/>
      <c r="J33" s="13"/>
      <c r="K33" s="13"/>
      <c r="L33" s="13"/>
      <c r="M33" s="54"/>
    </row>
    <row r="34" spans="1:13" ht="15" customHeight="1">
      <c r="A34" s="36">
        <v>23</v>
      </c>
      <c r="B34" s="14"/>
      <c r="C34" s="14" t="s">
        <v>360</v>
      </c>
      <c r="D34" s="30"/>
      <c r="E34" s="14">
        <v>1200</v>
      </c>
      <c r="F34" s="31">
        <v>128150</v>
      </c>
      <c r="H34" s="89">
        <v>45657</v>
      </c>
      <c r="I34" s="13"/>
      <c r="J34" s="14" t="s">
        <v>360</v>
      </c>
      <c r="K34" s="13"/>
      <c r="L34" s="13">
        <v>800</v>
      </c>
      <c r="M34" s="32">
        <v>800</v>
      </c>
    </row>
    <row r="35" spans="1:13" ht="15" customHeight="1">
      <c r="A35" s="36">
        <v>25</v>
      </c>
      <c r="B35" s="14"/>
      <c r="C35" s="14" t="s">
        <v>360</v>
      </c>
      <c r="D35" s="30"/>
      <c r="E35" s="14">
        <v>2800</v>
      </c>
      <c r="F35" s="31">
        <v>125350</v>
      </c>
    </row>
    <row r="36" spans="1:13" ht="15" customHeight="1">
      <c r="A36" s="36">
        <v>27</v>
      </c>
      <c r="B36" s="14"/>
      <c r="C36" s="14" t="s">
        <v>360</v>
      </c>
      <c r="D36" s="30">
        <v>3500</v>
      </c>
      <c r="E36" s="14"/>
      <c r="F36" s="31">
        <v>128850</v>
      </c>
      <c r="H36" s="257" t="s">
        <v>429</v>
      </c>
      <c r="I36" s="257"/>
      <c r="J36" s="257"/>
      <c r="K36" s="257"/>
      <c r="L36" s="257"/>
      <c r="M36" s="257"/>
    </row>
    <row r="37" spans="1:13" ht="15" customHeight="1">
      <c r="A37" s="36">
        <v>30</v>
      </c>
      <c r="B37" s="14"/>
      <c r="C37" s="14" t="s">
        <v>360</v>
      </c>
      <c r="D37" s="30"/>
      <c r="E37" s="14">
        <v>2000</v>
      </c>
      <c r="F37" s="31">
        <v>126850</v>
      </c>
      <c r="H37" s="96" t="s">
        <v>148</v>
      </c>
      <c r="I37" s="97" t="s">
        <v>356</v>
      </c>
      <c r="J37" s="97" t="s">
        <v>359</v>
      </c>
      <c r="K37" s="97" t="s">
        <v>151</v>
      </c>
      <c r="L37" s="97" t="s">
        <v>152</v>
      </c>
      <c r="M37" s="98" t="s">
        <v>358</v>
      </c>
    </row>
    <row r="38" spans="1:13" ht="15" customHeight="1">
      <c r="A38" s="33" t="str">
        <f>CONCATENATE("May.","              ","2")</f>
        <v>May.              2</v>
      </c>
      <c r="B38" s="14"/>
      <c r="C38" s="14" t="s">
        <v>360</v>
      </c>
      <c r="D38" s="30"/>
      <c r="E38" s="14">
        <v>1000</v>
      </c>
      <c r="F38" s="31">
        <v>125850</v>
      </c>
      <c r="H38" s="218">
        <v>2023</v>
      </c>
      <c r="I38" s="201"/>
      <c r="J38" s="201"/>
      <c r="K38" s="201"/>
      <c r="L38" s="201"/>
      <c r="M38" s="102"/>
    </row>
    <row r="39" spans="1:13" ht="15" customHeight="1">
      <c r="A39" s="36">
        <v>7</v>
      </c>
      <c r="B39" s="14"/>
      <c r="C39" s="14" t="s">
        <v>360</v>
      </c>
      <c r="D39" s="30"/>
      <c r="E39" s="14">
        <v>1500</v>
      </c>
      <c r="F39" s="31">
        <v>124350</v>
      </c>
      <c r="H39" s="214">
        <v>45657</v>
      </c>
      <c r="I39" s="201"/>
      <c r="J39" s="201" t="s">
        <v>360</v>
      </c>
      <c r="K39" s="201"/>
      <c r="L39" s="215">
        <v>120</v>
      </c>
      <c r="M39" s="219">
        <v>120</v>
      </c>
    </row>
    <row r="40" spans="1:13" ht="15" customHeight="1">
      <c r="A40" s="36">
        <v>9</v>
      </c>
      <c r="B40" s="14"/>
      <c r="C40" s="14" t="s">
        <v>360</v>
      </c>
      <c r="D40" s="30">
        <v>4000</v>
      </c>
      <c r="E40" s="14"/>
      <c r="F40" s="31">
        <v>128350</v>
      </c>
      <c r="H40" s="99"/>
      <c r="I40" s="1"/>
      <c r="J40" s="1"/>
      <c r="K40" s="1"/>
      <c r="L40" s="1"/>
      <c r="M40" s="1"/>
    </row>
    <row r="41" spans="1:13" ht="15" customHeight="1">
      <c r="A41" s="36">
        <v>12</v>
      </c>
      <c r="B41" s="14"/>
      <c r="C41" s="14" t="s">
        <v>360</v>
      </c>
      <c r="D41" s="30"/>
      <c r="E41" s="14">
        <v>3000</v>
      </c>
      <c r="F41" s="31">
        <v>125350</v>
      </c>
      <c r="H41" s="268" t="s">
        <v>430</v>
      </c>
      <c r="I41" s="268"/>
      <c r="J41" s="268"/>
      <c r="K41" s="268"/>
      <c r="L41" s="268"/>
      <c r="M41" s="268"/>
    </row>
    <row r="42" spans="1:13" ht="15" customHeight="1">
      <c r="A42" s="36">
        <v>15</v>
      </c>
      <c r="B42" s="14"/>
      <c r="C42" s="14" t="s">
        <v>360</v>
      </c>
      <c r="D42" s="30">
        <v>1800</v>
      </c>
      <c r="E42" s="14"/>
      <c r="F42" s="31">
        <v>127150</v>
      </c>
      <c r="H42" s="96" t="s">
        <v>148</v>
      </c>
      <c r="I42" s="97" t="s">
        <v>356</v>
      </c>
      <c r="J42" s="97" t="s">
        <v>359</v>
      </c>
      <c r="K42" s="97" t="s">
        <v>151</v>
      </c>
      <c r="L42" s="97" t="s">
        <v>152</v>
      </c>
      <c r="M42" s="98" t="s">
        <v>358</v>
      </c>
    </row>
    <row r="43" spans="1:13" ht="15" customHeight="1">
      <c r="A43" s="36">
        <v>18</v>
      </c>
      <c r="B43" s="14"/>
      <c r="C43" s="14" t="s">
        <v>360</v>
      </c>
      <c r="D43" s="30"/>
      <c r="E43" s="14">
        <v>800</v>
      </c>
      <c r="F43" s="31">
        <v>126350</v>
      </c>
      <c r="H43" s="218">
        <v>2023</v>
      </c>
      <c r="I43" s="201"/>
      <c r="J43" s="201"/>
      <c r="K43" s="201"/>
      <c r="L43" s="201"/>
      <c r="M43" s="102"/>
    </row>
    <row r="44" spans="1:13" ht="15" customHeight="1">
      <c r="A44" s="36">
        <v>21</v>
      </c>
      <c r="B44" s="14"/>
      <c r="C44" s="14" t="s">
        <v>360</v>
      </c>
      <c r="D44" s="30"/>
      <c r="E44" s="14">
        <v>2500</v>
      </c>
      <c r="F44" s="31">
        <v>123850</v>
      </c>
      <c r="H44" s="214">
        <v>45657</v>
      </c>
      <c r="I44" s="201"/>
      <c r="J44" s="201" t="s">
        <v>360</v>
      </c>
      <c r="K44" s="201"/>
      <c r="L44" s="215">
        <v>33</v>
      </c>
      <c r="M44" s="219">
        <v>33</v>
      </c>
    </row>
    <row r="45" spans="1:13" ht="15" customHeight="1">
      <c r="A45" s="36">
        <v>28</v>
      </c>
      <c r="B45" s="14"/>
      <c r="C45" s="14" t="s">
        <v>360</v>
      </c>
      <c r="D45" s="30"/>
      <c r="E45" s="14">
        <v>1000</v>
      </c>
      <c r="F45" s="31">
        <v>122850</v>
      </c>
      <c r="H45" s="270"/>
      <c r="I45" s="270"/>
      <c r="J45" s="270"/>
      <c r="K45" s="270"/>
      <c r="L45" s="270"/>
      <c r="M45" s="270"/>
    </row>
    <row r="46" spans="1:13" ht="15" customHeight="1">
      <c r="A46" s="33" t="str">
        <f>CONCATENATE("June.","             ","7")</f>
        <v>June.             7</v>
      </c>
      <c r="B46" s="14"/>
      <c r="C46" s="14" t="s">
        <v>360</v>
      </c>
      <c r="D46" s="30"/>
      <c r="E46" s="14">
        <v>1200</v>
      </c>
      <c r="F46" s="31">
        <v>121650</v>
      </c>
      <c r="H46" s="256" t="s">
        <v>431</v>
      </c>
      <c r="I46" s="256"/>
      <c r="J46" s="256"/>
      <c r="K46" s="256"/>
      <c r="L46" s="256"/>
      <c r="M46" s="256"/>
    </row>
    <row r="47" spans="1:13" ht="15" customHeight="1">
      <c r="A47" s="36">
        <v>10</v>
      </c>
      <c r="B47" s="14"/>
      <c r="C47" s="14" t="s">
        <v>360</v>
      </c>
      <c r="D47" s="30">
        <v>7760</v>
      </c>
      <c r="E47" s="14"/>
      <c r="F47" s="31">
        <v>129410</v>
      </c>
      <c r="H47" s="213" t="s">
        <v>148</v>
      </c>
      <c r="I47" s="213" t="s">
        <v>356</v>
      </c>
      <c r="J47" s="213" t="s">
        <v>359</v>
      </c>
      <c r="K47" s="213" t="s">
        <v>151</v>
      </c>
      <c r="L47" s="213" t="s">
        <v>152</v>
      </c>
      <c r="M47" s="213" t="s">
        <v>358</v>
      </c>
    </row>
    <row r="48" spans="1:13" ht="15" customHeight="1">
      <c r="A48" s="36">
        <v>13</v>
      </c>
      <c r="B48" s="14"/>
      <c r="C48" s="14" t="s">
        <v>360</v>
      </c>
      <c r="D48" s="30"/>
      <c r="E48" s="14">
        <v>1000</v>
      </c>
      <c r="F48" s="31">
        <v>128410</v>
      </c>
      <c r="H48" s="214">
        <v>2023</v>
      </c>
      <c r="I48" s="201"/>
      <c r="J48" s="201"/>
      <c r="K48" s="201"/>
      <c r="L48" s="201"/>
      <c r="M48" s="217"/>
    </row>
    <row r="49" spans="1:13" ht="15" customHeight="1">
      <c r="A49" s="36">
        <v>15</v>
      </c>
      <c r="B49" s="14"/>
      <c r="C49" s="14" t="s">
        <v>360</v>
      </c>
      <c r="D49" s="30"/>
      <c r="E49" s="14">
        <v>3000</v>
      </c>
      <c r="F49" s="31">
        <v>125410</v>
      </c>
      <c r="H49" s="214">
        <v>45657</v>
      </c>
      <c r="I49" s="201"/>
      <c r="J49" s="201" t="s">
        <v>360</v>
      </c>
      <c r="K49" s="201"/>
      <c r="L49" s="215">
        <v>1000</v>
      </c>
      <c r="M49" s="216">
        <v>1000</v>
      </c>
    </row>
    <row r="50" spans="1:13" ht="15" customHeight="1">
      <c r="A50" s="36">
        <v>18</v>
      </c>
      <c r="B50" s="14"/>
      <c r="C50" s="14" t="s">
        <v>360</v>
      </c>
      <c r="D50" s="30">
        <v>1200</v>
      </c>
      <c r="E50" s="14"/>
      <c r="F50" s="31">
        <v>126210</v>
      </c>
    </row>
    <row r="51" spans="1:13" ht="15" customHeight="1">
      <c r="A51" s="36">
        <v>22</v>
      </c>
      <c r="B51" s="14"/>
      <c r="C51" s="14" t="s">
        <v>360</v>
      </c>
      <c r="D51" s="30"/>
      <c r="E51" s="14">
        <v>800</v>
      </c>
      <c r="F51" s="31">
        <v>125810</v>
      </c>
      <c r="H51" s="256" t="s">
        <v>385</v>
      </c>
      <c r="I51" s="251"/>
      <c r="J51" s="251"/>
      <c r="K51" s="251"/>
      <c r="L51" s="251"/>
      <c r="M51" s="251"/>
    </row>
    <row r="52" spans="1:13" ht="15" customHeight="1">
      <c r="A52" s="36">
        <v>25</v>
      </c>
      <c r="B52" s="14"/>
      <c r="C52" s="14" t="s">
        <v>360</v>
      </c>
      <c r="D52" s="30"/>
      <c r="E52" s="14">
        <v>2500</v>
      </c>
      <c r="F52" s="31">
        <v>123310</v>
      </c>
      <c r="H52" s="41" t="s">
        <v>148</v>
      </c>
      <c r="I52" s="42" t="s">
        <v>356</v>
      </c>
      <c r="J52" s="43" t="s">
        <v>359</v>
      </c>
      <c r="K52" s="42" t="s">
        <v>151</v>
      </c>
      <c r="L52" s="42" t="s">
        <v>152</v>
      </c>
      <c r="M52" s="44" t="s">
        <v>358</v>
      </c>
    </row>
    <row r="53" spans="1:13" ht="15" customHeight="1">
      <c r="A53" s="36">
        <v>30</v>
      </c>
      <c r="B53" s="14"/>
      <c r="C53" s="14" t="s">
        <v>360</v>
      </c>
      <c r="D53" s="30"/>
      <c r="E53" s="14">
        <v>1200</v>
      </c>
      <c r="F53" s="31">
        <v>122110</v>
      </c>
      <c r="H53" s="80">
        <v>2023</v>
      </c>
      <c r="I53" s="13"/>
      <c r="J53" s="13"/>
      <c r="K53" s="13"/>
      <c r="L53" s="13"/>
      <c r="M53" s="45"/>
    </row>
    <row r="54" spans="1:13" ht="15" customHeight="1">
      <c r="A54" s="33" t="str">
        <f>CONCATENATE("July.","             ","8")</f>
        <v>July.             8</v>
      </c>
      <c r="B54" s="14"/>
      <c r="C54" s="14" t="s">
        <v>360</v>
      </c>
      <c r="D54" s="30"/>
      <c r="E54" s="14">
        <v>2500</v>
      </c>
      <c r="F54" s="31">
        <v>119610</v>
      </c>
      <c r="H54" s="61" t="str">
        <f>CONCATENATE("Feb.","                 ","3")</f>
        <v>Feb.                 3</v>
      </c>
      <c r="I54" s="13"/>
      <c r="J54" s="14" t="s">
        <v>360</v>
      </c>
      <c r="K54" s="57">
        <v>2000</v>
      </c>
      <c r="L54" s="57"/>
      <c r="M54" s="58">
        <v>2000</v>
      </c>
    </row>
    <row r="55" spans="1:13" ht="15" customHeight="1">
      <c r="A55" s="36">
        <v>10</v>
      </c>
      <c r="B55" s="14"/>
      <c r="C55" s="14" t="s">
        <v>360</v>
      </c>
      <c r="D55" s="30"/>
      <c r="E55" s="14">
        <v>800</v>
      </c>
      <c r="F55" s="31">
        <v>118810</v>
      </c>
      <c r="H55" s="61" t="str">
        <f>CONCATENATE("Mar.","               ","10")</f>
        <v>Mar.               10</v>
      </c>
      <c r="I55" s="13"/>
      <c r="J55" s="14" t="s">
        <v>360</v>
      </c>
      <c r="K55" s="57">
        <v>3000</v>
      </c>
      <c r="L55" s="57"/>
      <c r="M55" s="85">
        <v>5000</v>
      </c>
    </row>
    <row r="56" spans="1:13" ht="15" customHeight="1">
      <c r="A56" s="36">
        <v>15</v>
      </c>
      <c r="B56" s="14"/>
      <c r="C56" s="14" t="s">
        <v>360</v>
      </c>
      <c r="D56" s="30">
        <v>6000</v>
      </c>
      <c r="E56" s="14"/>
      <c r="F56" s="31">
        <v>124810</v>
      </c>
      <c r="H56" s="61" t="str">
        <f>CONCATENATE("Apr.","                ","25")</f>
        <v>Apr.                25</v>
      </c>
      <c r="I56" s="13"/>
      <c r="J56" s="14" t="s">
        <v>360</v>
      </c>
      <c r="K56" s="57">
        <v>2800</v>
      </c>
      <c r="L56" s="57"/>
      <c r="M56" s="85">
        <v>7800</v>
      </c>
    </row>
    <row r="57" spans="1:13" ht="15" customHeight="1">
      <c r="A57" s="36">
        <v>18</v>
      </c>
      <c r="B57" s="14"/>
      <c r="C57" s="14" t="s">
        <v>360</v>
      </c>
      <c r="D57" s="30"/>
      <c r="E57" s="14">
        <v>3000</v>
      </c>
      <c r="F57" s="31">
        <v>121810</v>
      </c>
      <c r="H57" s="61" t="str">
        <f>CONCATENATE("July.","              ","18")</f>
        <v>July.              18</v>
      </c>
      <c r="I57" s="13"/>
      <c r="J57" s="14" t="s">
        <v>360</v>
      </c>
      <c r="K57" s="57">
        <v>3000</v>
      </c>
      <c r="L57" s="57"/>
      <c r="M57" s="85">
        <v>10800</v>
      </c>
    </row>
    <row r="58" spans="1:13" ht="15" customHeight="1">
      <c r="A58" s="36">
        <v>20</v>
      </c>
      <c r="B58" s="14"/>
      <c r="C58" s="14" t="s">
        <v>360</v>
      </c>
      <c r="D58" s="30"/>
      <c r="E58" s="14">
        <v>2000</v>
      </c>
      <c r="F58" s="31">
        <v>119810</v>
      </c>
      <c r="H58" s="61" t="str">
        <f>CONCATENATE("Aug.","               ","20")</f>
        <v>Aug.               20</v>
      </c>
      <c r="I58" s="13"/>
      <c r="J58" s="14" t="s">
        <v>360</v>
      </c>
      <c r="K58" s="57">
        <v>3500</v>
      </c>
      <c r="L58" s="57"/>
      <c r="M58" s="85">
        <v>14300</v>
      </c>
    </row>
    <row r="59" spans="1:13" ht="15" customHeight="1">
      <c r="A59" s="36">
        <v>25</v>
      </c>
      <c r="B59" s="14"/>
      <c r="C59" s="14" t="s">
        <v>360</v>
      </c>
      <c r="D59" s="30"/>
      <c r="E59" s="14">
        <v>1000</v>
      </c>
      <c r="F59" s="31">
        <v>118810</v>
      </c>
      <c r="H59" s="61" t="str">
        <f>CONCATENATE("Sep.","               ","15")</f>
        <v>Sep.               15</v>
      </c>
      <c r="I59" s="194"/>
      <c r="J59" s="14" t="s">
        <v>360</v>
      </c>
      <c r="K59" s="57">
        <v>3000</v>
      </c>
      <c r="L59" s="57"/>
      <c r="M59" s="85">
        <v>17300</v>
      </c>
    </row>
    <row r="60" spans="1:13" ht="15" customHeight="1">
      <c r="A60" s="36">
        <v>30</v>
      </c>
      <c r="B60" s="14"/>
      <c r="C60" s="14" t="s">
        <v>360</v>
      </c>
      <c r="D60" s="30"/>
      <c r="E60" s="14">
        <v>1200</v>
      </c>
      <c r="F60" s="31">
        <v>117610</v>
      </c>
      <c r="H60" s="61" t="str">
        <f>CONCATENATE("Oct.","                ","10")</f>
        <v>Oct.                10</v>
      </c>
      <c r="I60" s="13"/>
      <c r="J60" s="14" t="s">
        <v>360</v>
      </c>
      <c r="K60" s="57">
        <v>1500</v>
      </c>
      <c r="L60" s="57"/>
      <c r="M60" s="58">
        <v>18800</v>
      </c>
    </row>
    <row r="61" spans="1:13" ht="15" customHeight="1">
      <c r="A61" s="33" t="str">
        <f>CONCATENATE("Aug.","             ","5")</f>
        <v>Aug.             5</v>
      </c>
      <c r="B61" s="14"/>
      <c r="C61" s="14" t="s">
        <v>360</v>
      </c>
      <c r="D61" s="30"/>
      <c r="E61" s="14">
        <v>2000</v>
      </c>
      <c r="F61" s="31">
        <v>115610</v>
      </c>
      <c r="H61" s="61" t="str">
        <f>CONCATENATE("Nov.","               ","12")</f>
        <v>Nov.               12</v>
      </c>
      <c r="I61" s="13"/>
      <c r="J61" s="14" t="s">
        <v>360</v>
      </c>
      <c r="K61" s="57">
        <v>2000</v>
      </c>
      <c r="L61" s="57"/>
      <c r="M61" s="85">
        <v>20800</v>
      </c>
    </row>
    <row r="62" spans="1:13" ht="15" customHeight="1">
      <c r="A62" s="36">
        <v>8</v>
      </c>
      <c r="B62" s="14"/>
      <c r="C62" s="14" t="s">
        <v>360</v>
      </c>
      <c r="D62" s="30">
        <v>11760</v>
      </c>
      <c r="E62" s="14"/>
      <c r="F62" s="31">
        <v>127370</v>
      </c>
      <c r="H62" s="61" t="str">
        <f>CONCATENATE("Dec.","               ","10")</f>
        <v>Dec.               10</v>
      </c>
      <c r="I62" s="13"/>
      <c r="J62" s="14" t="s">
        <v>360</v>
      </c>
      <c r="K62" s="57">
        <v>3000</v>
      </c>
      <c r="L62" s="57"/>
      <c r="M62" s="88">
        <v>23800</v>
      </c>
    </row>
    <row r="63" spans="1:13" ht="15" customHeight="1">
      <c r="A63" s="36">
        <v>10</v>
      </c>
      <c r="B63" s="14"/>
      <c r="C63" s="14" t="s">
        <v>360</v>
      </c>
      <c r="D63" s="30"/>
      <c r="E63" s="14">
        <v>1800</v>
      </c>
      <c r="F63" s="31">
        <v>125570</v>
      </c>
      <c r="H63" s="100">
        <v>45657</v>
      </c>
      <c r="I63" s="13"/>
      <c r="J63" s="14" t="s">
        <v>360</v>
      </c>
      <c r="K63" s="57">
        <v>2000</v>
      </c>
      <c r="L63" s="13"/>
      <c r="M63" s="85">
        <v>25800</v>
      </c>
    </row>
    <row r="64" spans="1:13" ht="15" customHeight="1">
      <c r="A64" s="36">
        <v>15</v>
      </c>
      <c r="B64" s="14"/>
      <c r="C64" s="14" t="s">
        <v>360</v>
      </c>
      <c r="D64" s="30"/>
      <c r="E64" s="14">
        <v>1200</v>
      </c>
      <c r="F64" s="31">
        <v>124370</v>
      </c>
      <c r="H64" s="100">
        <v>45657</v>
      </c>
      <c r="I64" s="13"/>
      <c r="J64" s="14" t="s">
        <v>360</v>
      </c>
      <c r="K64" s="13">
        <v>200</v>
      </c>
      <c r="L64" s="13"/>
      <c r="M64" s="68">
        <v>26000</v>
      </c>
    </row>
    <row r="65" spans="1:13" ht="15" customHeight="1">
      <c r="A65" s="36">
        <v>20</v>
      </c>
      <c r="B65" s="14"/>
      <c r="C65" s="14" t="s">
        <v>360</v>
      </c>
      <c r="D65" s="30"/>
      <c r="E65" s="14">
        <v>3500</v>
      </c>
      <c r="F65" s="31">
        <v>120870</v>
      </c>
    </row>
    <row r="66" spans="1:13" ht="15" customHeight="1">
      <c r="A66" s="36">
        <v>27</v>
      </c>
      <c r="B66" s="14"/>
      <c r="C66" s="14" t="s">
        <v>360</v>
      </c>
      <c r="D66" s="30"/>
      <c r="E66" s="14">
        <v>1500</v>
      </c>
      <c r="F66" s="31">
        <v>119370</v>
      </c>
      <c r="H66" s="256" t="s">
        <v>432</v>
      </c>
      <c r="I66" s="251"/>
      <c r="J66" s="251"/>
      <c r="K66" s="251"/>
      <c r="L66" s="251"/>
      <c r="M66" s="251"/>
    </row>
    <row r="67" spans="1:13" ht="15" customHeight="1">
      <c r="A67" s="36">
        <v>30</v>
      </c>
      <c r="B67" s="14"/>
      <c r="C67" s="14" t="s">
        <v>360</v>
      </c>
      <c r="D67" s="30"/>
      <c r="E67" s="14">
        <v>1500</v>
      </c>
      <c r="F67" s="31">
        <v>117870</v>
      </c>
      <c r="H67" s="41" t="s">
        <v>148</v>
      </c>
      <c r="I67" s="42" t="s">
        <v>356</v>
      </c>
      <c r="J67" s="43" t="s">
        <v>359</v>
      </c>
      <c r="K67" s="42" t="s">
        <v>151</v>
      </c>
      <c r="L67" s="42" t="s">
        <v>152</v>
      </c>
      <c r="M67" s="44" t="s">
        <v>358</v>
      </c>
    </row>
    <row r="68" spans="1:13" ht="15" customHeight="1">
      <c r="A68" s="33" t="str">
        <f>CONCATENATE("Sep.","             ","5")</f>
        <v>Sep.             5</v>
      </c>
      <c r="B68" s="14"/>
      <c r="C68" s="14" t="s">
        <v>360</v>
      </c>
      <c r="D68" s="30">
        <v>10000</v>
      </c>
      <c r="E68" s="14"/>
      <c r="F68" s="31">
        <v>127870</v>
      </c>
      <c r="H68" s="80">
        <v>2023</v>
      </c>
      <c r="I68" s="13"/>
      <c r="J68" s="13"/>
      <c r="K68" s="13"/>
      <c r="L68" s="13"/>
      <c r="M68" s="45"/>
    </row>
    <row r="69" spans="1:13" ht="15" customHeight="1">
      <c r="A69" s="36">
        <v>10</v>
      </c>
      <c r="B69" s="14"/>
      <c r="C69" s="14" t="s">
        <v>360</v>
      </c>
      <c r="D69" s="30"/>
      <c r="E69" s="14">
        <v>1800</v>
      </c>
      <c r="F69" s="31">
        <v>126070</v>
      </c>
      <c r="H69" s="61" t="str">
        <f>CONCATENATE("Feb.","                ","28")</f>
        <v>Feb.                28</v>
      </c>
      <c r="I69" s="13"/>
      <c r="J69" s="14" t="s">
        <v>360</v>
      </c>
      <c r="K69" s="57">
        <v>2500</v>
      </c>
      <c r="L69" s="57"/>
      <c r="M69" s="88">
        <v>2500</v>
      </c>
    </row>
    <row r="70" spans="1:13" ht="15" customHeight="1">
      <c r="A70" s="36">
        <v>11</v>
      </c>
      <c r="B70" s="14"/>
      <c r="C70" s="14" t="s">
        <v>360</v>
      </c>
      <c r="D70" s="30"/>
      <c r="E70" s="14">
        <v>900</v>
      </c>
      <c r="F70" s="31">
        <v>125170</v>
      </c>
      <c r="H70" s="64">
        <v>45657</v>
      </c>
      <c r="I70" s="66"/>
      <c r="J70" s="94" t="s">
        <v>360</v>
      </c>
      <c r="K70" s="95">
        <v>1000</v>
      </c>
      <c r="L70" s="66"/>
      <c r="M70" s="68">
        <v>3500</v>
      </c>
    </row>
    <row r="71" spans="1:13" ht="15" customHeight="1">
      <c r="A71" s="36">
        <v>15</v>
      </c>
      <c r="B71" s="14"/>
      <c r="C71" s="14" t="s">
        <v>360</v>
      </c>
      <c r="D71" s="30"/>
      <c r="E71" s="14">
        <v>3000</v>
      </c>
      <c r="F71" s="31">
        <v>122170</v>
      </c>
      <c r="H71" s="64"/>
      <c r="I71" s="65"/>
      <c r="J71" s="65"/>
      <c r="K71" s="65"/>
      <c r="L71" s="65"/>
      <c r="M71" s="65"/>
    </row>
    <row r="72" spans="1:13" ht="15" customHeight="1">
      <c r="A72" s="36">
        <v>22</v>
      </c>
      <c r="B72" s="14"/>
      <c r="C72" s="14" t="s">
        <v>360</v>
      </c>
      <c r="D72" s="30"/>
      <c r="E72" s="14">
        <v>5000</v>
      </c>
      <c r="F72" s="31">
        <v>117170</v>
      </c>
      <c r="H72" s="256" t="s">
        <v>390</v>
      </c>
      <c r="I72" s="251"/>
      <c r="J72" s="251"/>
      <c r="K72" s="251"/>
      <c r="L72" s="251"/>
      <c r="M72" s="251"/>
    </row>
    <row r="73" spans="1:13" ht="15" customHeight="1">
      <c r="A73" s="36">
        <v>25</v>
      </c>
      <c r="B73" s="14"/>
      <c r="C73" s="14" t="s">
        <v>360</v>
      </c>
      <c r="D73" s="30"/>
      <c r="E73" s="14">
        <v>2500</v>
      </c>
      <c r="F73" s="31">
        <v>114670</v>
      </c>
      <c r="H73" s="41" t="s">
        <v>148</v>
      </c>
      <c r="I73" s="42" t="s">
        <v>356</v>
      </c>
      <c r="J73" s="43" t="s">
        <v>359</v>
      </c>
      <c r="K73" s="42" t="s">
        <v>151</v>
      </c>
      <c r="L73" s="42" t="s">
        <v>152</v>
      </c>
      <c r="M73" s="44" t="s">
        <v>358</v>
      </c>
    </row>
    <row r="74" spans="1:13" ht="15" customHeight="1">
      <c r="A74" s="33" t="str">
        <f>CONCATENATE("Oct.","             ","1")</f>
        <v>Oct.             1</v>
      </c>
      <c r="B74" s="14"/>
      <c r="C74" s="14" t="s">
        <v>360</v>
      </c>
      <c r="D74" s="30"/>
      <c r="E74" s="14">
        <v>2000</v>
      </c>
      <c r="F74" s="31">
        <v>112670</v>
      </c>
      <c r="H74" s="29">
        <v>2023</v>
      </c>
      <c r="I74" s="13"/>
      <c r="J74" s="13"/>
      <c r="K74" s="13"/>
      <c r="L74" s="13"/>
      <c r="M74" s="45"/>
    </row>
    <row r="75" spans="1:13" ht="15" customHeight="1">
      <c r="A75" s="36">
        <v>10</v>
      </c>
      <c r="B75" s="14"/>
      <c r="C75" s="14" t="s">
        <v>360</v>
      </c>
      <c r="D75" s="30"/>
      <c r="E75" s="14">
        <v>1500</v>
      </c>
      <c r="F75" s="31">
        <v>111170</v>
      </c>
      <c r="H75" s="34" t="str">
        <f>CONCATENATE("May.","               ","12")</f>
        <v>May.               12</v>
      </c>
      <c r="I75" s="13"/>
      <c r="J75" s="14" t="s">
        <v>360</v>
      </c>
      <c r="K75" s="57">
        <v>3000</v>
      </c>
      <c r="L75" s="57"/>
      <c r="M75" s="58">
        <v>3000</v>
      </c>
    </row>
    <row r="76" spans="1:13" ht="15" customHeight="1">
      <c r="A76" s="36">
        <v>12</v>
      </c>
      <c r="B76" s="14"/>
      <c r="C76" s="14" t="s">
        <v>360</v>
      </c>
      <c r="D76" s="30">
        <v>7000</v>
      </c>
      <c r="E76" s="14"/>
      <c r="F76" s="31">
        <v>118170</v>
      </c>
      <c r="H76" s="34" t="str">
        <f>CONCATENATE("Oct.","                 ","1")</f>
        <v>Oct.                 1</v>
      </c>
      <c r="I76" s="66"/>
      <c r="J76" s="14" t="s">
        <v>360</v>
      </c>
      <c r="K76" s="95">
        <v>2000</v>
      </c>
      <c r="L76" s="95"/>
      <c r="M76" s="90">
        <v>5000</v>
      </c>
    </row>
    <row r="77" spans="1:13" ht="15" customHeight="1">
      <c r="A77" s="36">
        <v>15</v>
      </c>
      <c r="B77" s="14"/>
      <c r="C77" s="14" t="s">
        <v>360</v>
      </c>
      <c r="D77" s="30"/>
      <c r="E77" s="14">
        <v>1000</v>
      </c>
      <c r="F77" s="31">
        <v>117170</v>
      </c>
      <c r="H77" s="64"/>
      <c r="I77" s="65"/>
      <c r="J77" s="65"/>
      <c r="K77" s="65"/>
      <c r="L77" s="65"/>
      <c r="M77" s="65"/>
    </row>
    <row r="78" spans="1:13" ht="15" customHeight="1">
      <c r="A78" s="36">
        <v>28</v>
      </c>
      <c r="B78" s="14"/>
      <c r="C78" s="14" t="s">
        <v>360</v>
      </c>
      <c r="D78" s="30"/>
      <c r="E78" s="14">
        <v>2500</v>
      </c>
      <c r="F78" s="31">
        <v>114670</v>
      </c>
      <c r="H78" s="256" t="s">
        <v>392</v>
      </c>
      <c r="I78" s="251"/>
      <c r="J78" s="251"/>
      <c r="K78" s="251"/>
      <c r="L78" s="251"/>
      <c r="M78" s="251"/>
    </row>
    <row r="79" spans="1:13" ht="15" customHeight="1">
      <c r="A79" s="36">
        <v>30</v>
      </c>
      <c r="B79" s="14"/>
      <c r="C79" s="14" t="s">
        <v>360</v>
      </c>
      <c r="D79" s="30"/>
      <c r="E79" s="14">
        <v>1200</v>
      </c>
      <c r="F79" s="31">
        <v>113470</v>
      </c>
      <c r="H79" s="41" t="s">
        <v>148</v>
      </c>
      <c r="I79" s="42" t="s">
        <v>356</v>
      </c>
      <c r="J79" s="43" t="s">
        <v>359</v>
      </c>
      <c r="K79" s="42" t="s">
        <v>151</v>
      </c>
      <c r="L79" s="42" t="s">
        <v>152</v>
      </c>
      <c r="M79" s="44" t="s">
        <v>358</v>
      </c>
    </row>
    <row r="80" spans="1:13" ht="15" customHeight="1">
      <c r="A80" s="36">
        <v>31</v>
      </c>
      <c r="B80" s="14"/>
      <c r="C80" s="14" t="s">
        <v>360</v>
      </c>
      <c r="D80" s="30"/>
      <c r="E80" s="14">
        <v>3500</v>
      </c>
      <c r="F80" s="31">
        <v>109970</v>
      </c>
      <c r="H80" s="29">
        <v>2023</v>
      </c>
      <c r="I80" s="13"/>
      <c r="J80" s="13"/>
      <c r="K80" s="13"/>
      <c r="L80" s="13"/>
      <c r="M80" s="45"/>
    </row>
    <row r="81" spans="1:13" ht="15" customHeight="1">
      <c r="A81" s="33" t="str">
        <f>CONCATENATE("Nov.","             ","2")</f>
        <v>Nov.             2</v>
      </c>
      <c r="B81" s="14"/>
      <c r="C81" s="14" t="s">
        <v>360</v>
      </c>
      <c r="D81" s="30"/>
      <c r="E81" s="14">
        <v>2000</v>
      </c>
      <c r="F81" s="31">
        <v>107970</v>
      </c>
      <c r="H81" s="34" t="str">
        <f>CONCATENATE("June.","               ","7")</f>
        <v>June.               7</v>
      </c>
      <c r="I81" s="13"/>
      <c r="J81" s="14" t="s">
        <v>360</v>
      </c>
      <c r="K81" s="57">
        <v>1200</v>
      </c>
      <c r="L81" s="57"/>
      <c r="M81" s="90">
        <v>1200</v>
      </c>
    </row>
    <row r="82" spans="1:13" ht="15" customHeight="1">
      <c r="A82" s="36">
        <v>10</v>
      </c>
      <c r="B82" s="14"/>
      <c r="C82" s="14" t="s">
        <v>360</v>
      </c>
      <c r="D82" s="30">
        <v>7760</v>
      </c>
      <c r="E82" s="14"/>
      <c r="F82" s="31">
        <v>115730</v>
      </c>
      <c r="H82" s="61"/>
      <c r="I82" s="65"/>
      <c r="J82" s="65"/>
      <c r="K82" s="65"/>
      <c r="L82" s="65"/>
      <c r="M82" s="69"/>
    </row>
    <row r="83" spans="1:13" ht="15" customHeight="1">
      <c r="A83" s="36">
        <v>12</v>
      </c>
      <c r="B83" s="14"/>
      <c r="C83" s="14" t="s">
        <v>360</v>
      </c>
      <c r="D83" s="30"/>
      <c r="E83" s="14">
        <v>2000</v>
      </c>
      <c r="F83" s="31">
        <v>113730</v>
      </c>
      <c r="H83" s="256" t="s">
        <v>433</v>
      </c>
      <c r="I83" s="251"/>
      <c r="J83" s="251"/>
      <c r="K83" s="251"/>
      <c r="L83" s="251"/>
      <c r="M83" s="251"/>
    </row>
    <row r="84" spans="1:13" ht="15" customHeight="1">
      <c r="A84" s="36">
        <v>15</v>
      </c>
      <c r="B84" s="14"/>
      <c r="C84" s="14" t="s">
        <v>360</v>
      </c>
      <c r="D84" s="30"/>
      <c r="E84" s="14">
        <v>800</v>
      </c>
      <c r="F84" s="31">
        <v>112930</v>
      </c>
      <c r="H84" s="41" t="s">
        <v>148</v>
      </c>
      <c r="I84" s="42" t="s">
        <v>356</v>
      </c>
      <c r="J84" s="43" t="s">
        <v>359</v>
      </c>
      <c r="K84" s="42" t="s">
        <v>151</v>
      </c>
      <c r="L84" s="42" t="s">
        <v>152</v>
      </c>
      <c r="M84" s="44" t="s">
        <v>358</v>
      </c>
    </row>
    <row r="85" spans="1:13" ht="15" customHeight="1">
      <c r="A85" s="36">
        <v>22</v>
      </c>
      <c r="B85" s="14"/>
      <c r="C85" s="14" t="s">
        <v>360</v>
      </c>
      <c r="D85" s="30"/>
      <c r="E85" s="14">
        <v>1500</v>
      </c>
      <c r="F85" s="31">
        <v>111430</v>
      </c>
      <c r="H85" s="29">
        <v>2023</v>
      </c>
      <c r="I85" s="13"/>
      <c r="J85" s="13"/>
      <c r="K85" s="57"/>
      <c r="L85" s="57"/>
      <c r="M85" s="58"/>
    </row>
    <row r="86" spans="1:13" ht="15" customHeight="1">
      <c r="A86" s="36">
        <v>25</v>
      </c>
      <c r="B86" s="14"/>
      <c r="C86" s="14" t="s">
        <v>360</v>
      </c>
      <c r="D86" s="30">
        <v>7000</v>
      </c>
      <c r="E86" s="14"/>
      <c r="F86" s="31">
        <v>118430</v>
      </c>
      <c r="H86" s="34" t="str">
        <f>CONCATENATE("June.","              ","15")</f>
        <v>June.              15</v>
      </c>
      <c r="I86" s="13"/>
      <c r="J86" s="14" t="s">
        <v>360</v>
      </c>
      <c r="K86" s="57">
        <v>3000</v>
      </c>
      <c r="L86" s="57"/>
      <c r="M86" s="88">
        <v>3000</v>
      </c>
    </row>
    <row r="87" spans="1:13" ht="15" customHeight="1">
      <c r="A87" s="36">
        <v>30</v>
      </c>
      <c r="B87" s="14"/>
      <c r="C87" s="14" t="s">
        <v>360</v>
      </c>
      <c r="D87" s="30"/>
      <c r="E87" s="14">
        <v>2500</v>
      </c>
      <c r="F87" s="31">
        <v>115930</v>
      </c>
      <c r="H87" s="89">
        <v>45657</v>
      </c>
      <c r="I87" s="13"/>
      <c r="J87" s="14" t="s">
        <v>360</v>
      </c>
      <c r="K87" s="13">
        <v>800</v>
      </c>
      <c r="L87" s="13"/>
      <c r="M87" s="68">
        <v>3800</v>
      </c>
    </row>
    <row r="88" spans="1:13" ht="15" customHeight="1">
      <c r="A88" s="33" t="str">
        <f>CONCATENATE("Dec.","             ","1")</f>
        <v>Dec.             1</v>
      </c>
      <c r="B88" s="14"/>
      <c r="C88" s="14" t="s">
        <v>360</v>
      </c>
      <c r="D88" s="30"/>
      <c r="E88" s="14">
        <v>2000</v>
      </c>
      <c r="F88" s="31">
        <v>113930</v>
      </c>
    </row>
    <row r="89" spans="1:13" ht="15" customHeight="1">
      <c r="A89" s="36">
        <v>10</v>
      </c>
      <c r="B89" s="14"/>
      <c r="C89" s="14" t="s">
        <v>360</v>
      </c>
      <c r="D89" s="30"/>
      <c r="E89" s="14">
        <v>3000</v>
      </c>
      <c r="F89" s="31">
        <v>110930</v>
      </c>
      <c r="H89" s="256" t="s">
        <v>396</v>
      </c>
      <c r="I89" s="251"/>
      <c r="J89" s="251"/>
      <c r="K89" s="251"/>
      <c r="L89" s="251"/>
      <c r="M89" s="251"/>
    </row>
    <row r="90" spans="1:13" ht="15" customHeight="1">
      <c r="A90" s="36">
        <v>12</v>
      </c>
      <c r="B90" s="14"/>
      <c r="C90" s="14" t="s">
        <v>360</v>
      </c>
      <c r="D90" s="30"/>
      <c r="E90" s="14">
        <v>1200</v>
      </c>
      <c r="F90" s="31">
        <v>109730</v>
      </c>
      <c r="H90" s="41" t="s">
        <v>148</v>
      </c>
      <c r="I90" s="42" t="s">
        <v>356</v>
      </c>
      <c r="J90" s="43" t="s">
        <v>359</v>
      </c>
      <c r="K90" s="42" t="s">
        <v>151</v>
      </c>
      <c r="L90" s="42" t="s">
        <v>152</v>
      </c>
      <c r="M90" s="44" t="s">
        <v>358</v>
      </c>
    </row>
    <row r="91" spans="1:13" ht="15" customHeight="1">
      <c r="A91" s="36">
        <v>15</v>
      </c>
      <c r="B91" s="14"/>
      <c r="C91" s="14" t="s">
        <v>360</v>
      </c>
      <c r="D91" s="30">
        <v>9212</v>
      </c>
      <c r="E91" s="14"/>
      <c r="F91" s="31">
        <v>118942</v>
      </c>
      <c r="H91" s="29">
        <v>2023</v>
      </c>
      <c r="I91" s="13"/>
      <c r="J91" s="13"/>
      <c r="K91" s="13"/>
      <c r="L91" s="13"/>
      <c r="M91" s="45"/>
    </row>
    <row r="92" spans="1:13" ht="15" customHeight="1">
      <c r="A92" s="36">
        <v>18</v>
      </c>
      <c r="B92" s="14"/>
      <c r="C92" s="14" t="s">
        <v>360</v>
      </c>
      <c r="D92" s="30"/>
      <c r="E92" s="14">
        <v>1000</v>
      </c>
      <c r="F92" s="31">
        <v>117942</v>
      </c>
      <c r="H92" s="34" t="str">
        <f>CONCATENATE("June.","              ","30")</f>
        <v>June.              30</v>
      </c>
      <c r="I92" s="13"/>
      <c r="J92" s="14" t="s">
        <v>360</v>
      </c>
      <c r="K92" s="57">
        <v>1200</v>
      </c>
      <c r="L92" s="57"/>
      <c r="M92" s="90">
        <v>1200</v>
      </c>
    </row>
    <row r="93" spans="1:13" ht="15" customHeight="1">
      <c r="A93" s="36">
        <v>25</v>
      </c>
      <c r="B93" s="14"/>
      <c r="C93" s="14" t="s">
        <v>360</v>
      </c>
      <c r="D93" s="30">
        <v>6500</v>
      </c>
      <c r="E93" s="14"/>
      <c r="F93" s="31">
        <v>124442</v>
      </c>
    </row>
    <row r="94" spans="1:13" ht="20.25">
      <c r="A94" s="36">
        <v>30</v>
      </c>
      <c r="B94" s="14"/>
      <c r="C94" s="14" t="s">
        <v>360</v>
      </c>
      <c r="D94" s="30"/>
      <c r="E94" s="14">
        <v>2000</v>
      </c>
      <c r="F94" s="35">
        <v>122442</v>
      </c>
      <c r="H94" s="256" t="s">
        <v>397</v>
      </c>
      <c r="I94" s="251"/>
      <c r="J94" s="251"/>
      <c r="K94" s="251"/>
      <c r="L94" s="251"/>
      <c r="M94" s="251"/>
    </row>
    <row r="95" spans="1:13" ht="15" customHeight="1">
      <c r="H95" s="41" t="s">
        <v>148</v>
      </c>
      <c r="I95" s="42" t="s">
        <v>356</v>
      </c>
      <c r="J95" s="43" t="s">
        <v>359</v>
      </c>
      <c r="K95" s="42" t="s">
        <v>151</v>
      </c>
      <c r="L95" s="42" t="s">
        <v>152</v>
      </c>
      <c r="M95" s="44" t="s">
        <v>358</v>
      </c>
    </row>
    <row r="96" spans="1:13" ht="15" customHeight="1">
      <c r="H96" s="29">
        <v>2023</v>
      </c>
      <c r="I96" s="13"/>
      <c r="J96" s="13"/>
      <c r="K96" s="13"/>
      <c r="L96" s="13"/>
      <c r="M96" s="45"/>
    </row>
    <row r="97" spans="1:13" ht="15" customHeight="1">
      <c r="H97" s="34" t="str">
        <f>CONCATENATE("July.","                ","8")</f>
        <v>July.                8</v>
      </c>
      <c r="I97" s="13"/>
      <c r="J97" s="14" t="s">
        <v>360</v>
      </c>
      <c r="K97" s="57">
        <v>2500</v>
      </c>
      <c r="L97" s="57"/>
      <c r="M97" s="90">
        <v>2500</v>
      </c>
    </row>
    <row r="99" spans="1:13" ht="15" customHeight="1">
      <c r="A99" s="256" t="s">
        <v>369</v>
      </c>
      <c r="B99" s="251"/>
      <c r="C99" s="251"/>
      <c r="D99" s="251"/>
      <c r="E99" s="251"/>
      <c r="F99" s="251"/>
      <c r="H99" s="256" t="s">
        <v>434</v>
      </c>
      <c r="I99" s="251"/>
      <c r="J99" s="251"/>
      <c r="K99" s="251"/>
      <c r="L99" s="251"/>
      <c r="M99" s="251"/>
    </row>
    <row r="100" spans="1:13" ht="15" customHeight="1">
      <c r="A100" s="41" t="s">
        <v>148</v>
      </c>
      <c r="B100" s="42" t="s">
        <v>370</v>
      </c>
      <c r="C100" s="42" t="s">
        <v>371</v>
      </c>
      <c r="D100" s="42" t="s">
        <v>151</v>
      </c>
      <c r="E100" s="42" t="s">
        <v>152</v>
      </c>
      <c r="F100" s="44" t="s">
        <v>358</v>
      </c>
      <c r="H100" s="41" t="s">
        <v>148</v>
      </c>
      <c r="I100" s="42" t="s">
        <v>356</v>
      </c>
      <c r="J100" s="43" t="s">
        <v>359</v>
      </c>
      <c r="K100" s="42" t="s">
        <v>151</v>
      </c>
      <c r="L100" s="42" t="s">
        <v>152</v>
      </c>
      <c r="M100" s="44" t="s">
        <v>358</v>
      </c>
    </row>
    <row r="101" spans="1:13" ht="15" customHeight="1">
      <c r="A101" s="34" t="str">
        <f>CONCATENATE("Jan.","             ","10")</f>
        <v>Jan.             10</v>
      </c>
      <c r="B101" s="13"/>
      <c r="C101" s="14" t="s">
        <v>360</v>
      </c>
      <c r="D101" s="57">
        <v>6000</v>
      </c>
      <c r="E101" s="57"/>
      <c r="F101" s="85">
        <v>6000</v>
      </c>
      <c r="H101" s="56">
        <v>2023</v>
      </c>
      <c r="I101" s="212"/>
      <c r="J101" s="212"/>
      <c r="K101" s="212"/>
      <c r="L101" s="212"/>
      <c r="M101" s="220"/>
    </row>
    <row r="102" spans="1:13" ht="15" customHeight="1">
      <c r="A102" s="56">
        <v>28</v>
      </c>
      <c r="B102" s="13"/>
      <c r="C102" s="14" t="s">
        <v>360</v>
      </c>
      <c r="D102" s="57"/>
      <c r="E102" s="57">
        <v>3000</v>
      </c>
      <c r="F102" s="85">
        <v>3000</v>
      </c>
      <c r="H102" s="89">
        <v>45657</v>
      </c>
      <c r="I102" s="212"/>
      <c r="J102" s="13" t="s">
        <v>360</v>
      </c>
      <c r="K102" s="13">
        <v>1000</v>
      </c>
      <c r="L102" s="212"/>
      <c r="M102" s="85">
        <v>1000</v>
      </c>
    </row>
    <row r="103" spans="1:13" ht="15" customHeight="1">
      <c r="A103" s="34" t="str">
        <f>CONCATENATE("Feb.","              ","6")</f>
        <v>Feb.              6</v>
      </c>
      <c r="B103" s="13"/>
      <c r="C103" s="14" t="s">
        <v>360</v>
      </c>
      <c r="D103" s="57">
        <v>8000</v>
      </c>
      <c r="E103" s="57"/>
      <c r="F103" s="85">
        <v>11000</v>
      </c>
      <c r="H103" s="89">
        <v>45657</v>
      </c>
      <c r="I103" s="212"/>
      <c r="J103" s="13" t="s">
        <v>360</v>
      </c>
      <c r="K103" s="13">
        <v>120</v>
      </c>
      <c r="L103" s="212"/>
      <c r="M103" s="85">
        <v>1120</v>
      </c>
    </row>
    <row r="104" spans="1:13" ht="15" customHeight="1">
      <c r="A104" s="56">
        <v>10</v>
      </c>
      <c r="B104" s="13"/>
      <c r="C104" s="14" t="s">
        <v>360</v>
      </c>
      <c r="D104" s="57"/>
      <c r="E104" s="57">
        <v>3000</v>
      </c>
      <c r="F104" s="85">
        <v>8000</v>
      </c>
      <c r="H104" s="89">
        <v>45657</v>
      </c>
      <c r="I104" s="212"/>
      <c r="J104" s="13" t="s">
        <v>360</v>
      </c>
      <c r="K104" s="13">
        <v>33</v>
      </c>
      <c r="L104" s="212"/>
      <c r="M104" s="68">
        <v>1153</v>
      </c>
    </row>
    <row r="105" spans="1:13" ht="15" customHeight="1">
      <c r="A105" s="34" t="str">
        <f>CONCATENATE("Mar.","             ","2")</f>
        <v>Mar.             2</v>
      </c>
      <c r="B105" s="13"/>
      <c r="C105" s="14" t="s">
        <v>360</v>
      </c>
      <c r="D105" s="57">
        <v>10000</v>
      </c>
      <c r="E105" s="57"/>
      <c r="F105" s="85">
        <v>18000</v>
      </c>
    </row>
    <row r="106" spans="1:13" ht="15" customHeight="1">
      <c r="A106" s="56">
        <v>15</v>
      </c>
      <c r="B106" s="13"/>
      <c r="C106" s="14" t="s">
        <v>360</v>
      </c>
      <c r="D106" s="57"/>
      <c r="E106" s="57">
        <v>10000</v>
      </c>
      <c r="F106" s="85">
        <v>8000</v>
      </c>
      <c r="H106" s="256" t="s">
        <v>378</v>
      </c>
      <c r="I106" s="251"/>
      <c r="J106" s="251"/>
      <c r="K106" s="251"/>
      <c r="L106" s="251"/>
      <c r="M106" s="251"/>
    </row>
    <row r="107" spans="1:13" ht="15" customHeight="1">
      <c r="A107" s="56">
        <v>18</v>
      </c>
      <c r="B107" s="13"/>
      <c r="C107" s="14" t="s">
        <v>360</v>
      </c>
      <c r="D107" s="57"/>
      <c r="E107" s="57">
        <v>500</v>
      </c>
      <c r="F107" s="85">
        <v>7500</v>
      </c>
      <c r="H107" s="41" t="s">
        <v>148</v>
      </c>
      <c r="I107" s="42" t="s">
        <v>356</v>
      </c>
      <c r="J107" s="43" t="s">
        <v>359</v>
      </c>
      <c r="K107" s="42" t="s">
        <v>151</v>
      </c>
      <c r="L107" s="42" t="s">
        <v>152</v>
      </c>
      <c r="M107" s="44" t="s">
        <v>358</v>
      </c>
    </row>
    <row r="108" spans="1:13" ht="15" customHeight="1">
      <c r="A108" s="56">
        <v>27</v>
      </c>
      <c r="B108" s="13"/>
      <c r="C108" s="14" t="s">
        <v>360</v>
      </c>
      <c r="D108" s="57">
        <v>1500</v>
      </c>
      <c r="E108" s="57"/>
      <c r="F108" s="85">
        <v>9000</v>
      </c>
      <c r="H108" s="29">
        <v>2023</v>
      </c>
      <c r="I108" s="13"/>
      <c r="J108" s="13"/>
      <c r="K108" s="13"/>
      <c r="L108" s="13"/>
      <c r="M108" s="45"/>
    </row>
    <row r="109" spans="1:13" ht="15" customHeight="1">
      <c r="A109" s="34" t="str">
        <f>CONCATENATE("Apr.","              ","6")</f>
        <v>Apr.              6</v>
      </c>
      <c r="B109" s="13"/>
      <c r="C109" s="14" t="s">
        <v>360</v>
      </c>
      <c r="D109" s="57">
        <v>2000</v>
      </c>
      <c r="E109" s="57"/>
      <c r="F109" s="85">
        <v>11000</v>
      </c>
      <c r="H109" s="34" t="str">
        <f>CONCATENATE("Jan.","                ","22")</f>
        <v>Jan.                22</v>
      </c>
      <c r="I109" s="13"/>
      <c r="J109" s="14" t="s">
        <v>360</v>
      </c>
      <c r="K109" s="57">
        <v>500</v>
      </c>
      <c r="L109" s="57"/>
      <c r="M109" s="58">
        <v>500</v>
      </c>
    </row>
    <row r="110" spans="1:13" ht="15" customHeight="1">
      <c r="A110" s="56">
        <v>10</v>
      </c>
      <c r="B110" s="13"/>
      <c r="C110" s="14" t="s">
        <v>360</v>
      </c>
      <c r="D110" s="57"/>
      <c r="E110" s="57">
        <v>1500</v>
      </c>
      <c r="F110" s="85">
        <v>9500</v>
      </c>
      <c r="H110" s="34" t="str">
        <f>CONCATENATE("Mar.","                ","20")</f>
        <v>Mar.                20</v>
      </c>
      <c r="I110" s="13"/>
      <c r="J110" s="14" t="s">
        <v>360</v>
      </c>
      <c r="K110" s="57">
        <v>500</v>
      </c>
      <c r="L110" s="57"/>
      <c r="M110" s="85">
        <v>1000</v>
      </c>
    </row>
    <row r="111" spans="1:13" ht="15" customHeight="1">
      <c r="A111" s="56">
        <v>20</v>
      </c>
      <c r="B111" s="13"/>
      <c r="C111" s="14" t="s">
        <v>360</v>
      </c>
      <c r="D111" s="57"/>
      <c r="E111" s="57">
        <v>200</v>
      </c>
      <c r="F111" s="85">
        <v>9300</v>
      </c>
      <c r="H111" s="34" t="str">
        <f>CONCATENATE("May.","               ","18")</f>
        <v>May.               18</v>
      </c>
      <c r="I111" s="13"/>
      <c r="J111" s="14" t="s">
        <v>360</v>
      </c>
      <c r="K111" s="57">
        <v>800</v>
      </c>
      <c r="L111" s="57"/>
      <c r="M111" s="85">
        <v>1800</v>
      </c>
    </row>
    <row r="112" spans="1:13" ht="15" customHeight="1">
      <c r="A112" s="34" t="str">
        <f>CONCATENATE("May.","              ","9")</f>
        <v>May.              9</v>
      </c>
      <c r="B112" s="13"/>
      <c r="C112" s="14" t="s">
        <v>360</v>
      </c>
      <c r="D112" s="57">
        <v>2000</v>
      </c>
      <c r="E112" s="57"/>
      <c r="F112" s="85">
        <v>11300</v>
      </c>
      <c r="H112" s="34" t="str">
        <f>CONCATENATE("June.","              ","22")</f>
        <v>June.              22</v>
      </c>
      <c r="I112" s="13"/>
      <c r="J112" s="14" t="s">
        <v>360</v>
      </c>
      <c r="K112" s="57">
        <v>800</v>
      </c>
      <c r="L112" s="57"/>
      <c r="M112" s="85">
        <v>2600</v>
      </c>
    </row>
    <row r="113" spans="1:16" ht="15" customHeight="1">
      <c r="A113" s="56">
        <v>15</v>
      </c>
      <c r="B113" s="13"/>
      <c r="C113" s="14" t="s">
        <v>360</v>
      </c>
      <c r="D113" s="57"/>
      <c r="E113" s="57">
        <v>1800</v>
      </c>
      <c r="F113" s="85">
        <v>9500</v>
      </c>
      <c r="H113" s="34" t="str">
        <f>CONCATENATE("Aug.","                 ","5")</f>
        <v>Aug.                 5</v>
      </c>
      <c r="I113" s="13"/>
      <c r="J113" s="14" t="s">
        <v>360</v>
      </c>
      <c r="K113" s="57">
        <v>2000</v>
      </c>
      <c r="L113" s="57"/>
      <c r="M113" s="85">
        <v>4600</v>
      </c>
    </row>
    <row r="114" spans="1:16" ht="15" customHeight="1">
      <c r="A114" s="34" t="str">
        <f>CONCATENATE("June.","             ","1")</f>
        <v>June.             1</v>
      </c>
      <c r="B114" s="13"/>
      <c r="C114" s="14" t="s">
        <v>360</v>
      </c>
      <c r="D114" s="57">
        <v>8000</v>
      </c>
      <c r="E114" s="57"/>
      <c r="F114" s="85">
        <v>17500</v>
      </c>
      <c r="H114" s="34" t="str">
        <f>CONCATENATE("Sep.","               ","12")</f>
        <v>Sep.               12</v>
      </c>
      <c r="I114" s="13"/>
      <c r="J114" s="14" t="s">
        <v>360</v>
      </c>
      <c r="K114" s="57">
        <v>900</v>
      </c>
      <c r="L114" s="57"/>
      <c r="M114" s="85">
        <v>5500</v>
      </c>
    </row>
    <row r="115" spans="1:16" ht="15" customHeight="1">
      <c r="A115" s="56">
        <v>10</v>
      </c>
      <c r="B115" s="13"/>
      <c r="C115" s="14" t="s">
        <v>360</v>
      </c>
      <c r="D115" s="57"/>
      <c r="E115" s="57">
        <v>8000</v>
      </c>
      <c r="F115" s="85">
        <v>9500</v>
      </c>
      <c r="H115" s="34" t="str">
        <f>CONCATENATE("Oct.","               ","28")</f>
        <v>Oct.               28</v>
      </c>
      <c r="I115" s="13"/>
      <c r="J115" s="14" t="s">
        <v>360</v>
      </c>
      <c r="K115" s="57">
        <v>2500</v>
      </c>
      <c r="L115" s="57"/>
      <c r="M115" s="93">
        <v>8000</v>
      </c>
    </row>
    <row r="116" spans="1:16" ht="15" customHeight="1">
      <c r="A116" s="34" t="str">
        <f>CONCATENATE("July.","             ","5")</f>
        <v>July.             5</v>
      </c>
      <c r="B116" s="13"/>
      <c r="C116" s="14" t="s">
        <v>360</v>
      </c>
      <c r="D116" s="57">
        <v>7000</v>
      </c>
      <c r="E116" s="57"/>
      <c r="F116" s="85">
        <v>16500</v>
      </c>
      <c r="H116" s="34" t="str">
        <f>CONCATENATE("Dec.","               ","12")</f>
        <v>Dec.               12</v>
      </c>
      <c r="I116" s="13"/>
      <c r="J116" s="14" t="s">
        <v>360</v>
      </c>
      <c r="K116" s="57">
        <v>1200</v>
      </c>
      <c r="L116" s="57"/>
      <c r="M116" s="88">
        <v>9200</v>
      </c>
    </row>
    <row r="117" spans="1:16" ht="15" customHeight="1">
      <c r="A117" s="56">
        <v>10</v>
      </c>
      <c r="B117" s="13"/>
      <c r="C117" s="14" t="s">
        <v>360</v>
      </c>
      <c r="D117" s="57"/>
      <c r="E117" s="57">
        <v>1000</v>
      </c>
      <c r="F117" s="85">
        <v>15500</v>
      </c>
      <c r="H117" s="89">
        <v>45657</v>
      </c>
      <c r="I117" s="13"/>
      <c r="J117" s="14" t="s">
        <v>360</v>
      </c>
      <c r="K117" s="13">
        <v>300</v>
      </c>
      <c r="L117" s="13"/>
      <c r="M117" s="68">
        <v>9500</v>
      </c>
    </row>
    <row r="118" spans="1:16" ht="15" customHeight="1">
      <c r="A118" s="56">
        <v>15</v>
      </c>
      <c r="B118" s="13"/>
      <c r="C118" s="14" t="s">
        <v>360</v>
      </c>
      <c r="D118" s="57"/>
      <c r="E118" s="57">
        <v>6000</v>
      </c>
      <c r="F118" s="85">
        <v>9500</v>
      </c>
    </row>
    <row r="119" spans="1:16" ht="15" customHeight="1">
      <c r="A119" s="34" t="str">
        <f>CONCATENATE("Aug.","             ","2")</f>
        <v>Aug.             2</v>
      </c>
      <c r="B119" s="13"/>
      <c r="C119" s="14" t="s">
        <v>360</v>
      </c>
      <c r="D119" s="57">
        <v>12000</v>
      </c>
      <c r="E119" s="57"/>
      <c r="F119" s="85">
        <v>21500</v>
      </c>
      <c r="H119" s="256" t="s">
        <v>380</v>
      </c>
      <c r="I119" s="251"/>
      <c r="J119" s="251"/>
      <c r="K119" s="251"/>
      <c r="L119" s="251"/>
      <c r="M119" s="251"/>
    </row>
    <row r="120" spans="1:16" ht="15" customHeight="1">
      <c r="A120" s="56">
        <v>8</v>
      </c>
      <c r="B120" s="13"/>
      <c r="C120" s="14" t="s">
        <v>360</v>
      </c>
      <c r="D120" s="57"/>
      <c r="E120" s="57">
        <v>12000</v>
      </c>
      <c r="F120" s="85">
        <v>9500</v>
      </c>
      <c r="H120" s="41" t="s">
        <v>148</v>
      </c>
      <c r="I120" s="42" t="s">
        <v>356</v>
      </c>
      <c r="J120" s="43" t="s">
        <v>359</v>
      </c>
      <c r="K120" s="42" t="s">
        <v>151</v>
      </c>
      <c r="L120" s="42" t="s">
        <v>152</v>
      </c>
      <c r="M120" s="44" t="s">
        <v>358</v>
      </c>
    </row>
    <row r="121" spans="1:16" ht="15" customHeight="1">
      <c r="A121" s="34" t="str">
        <f>CONCATENATE("Sep.","            ","30")</f>
        <v>Sep.            30</v>
      </c>
      <c r="B121" s="13"/>
      <c r="C121" s="14" t="s">
        <v>360</v>
      </c>
      <c r="D121" s="57">
        <v>7000</v>
      </c>
      <c r="E121" s="57"/>
      <c r="F121" s="85">
        <v>16500</v>
      </c>
      <c r="H121" s="29">
        <v>2023</v>
      </c>
      <c r="I121" s="13"/>
      <c r="J121" s="13"/>
      <c r="K121" s="13"/>
      <c r="L121" s="13"/>
      <c r="M121" s="45"/>
    </row>
    <row r="122" spans="1:16" ht="15" customHeight="1">
      <c r="A122" s="34" t="str">
        <f>CONCATENATE("Oct.","             ","7")</f>
        <v>Oct.             7</v>
      </c>
      <c r="B122" s="13"/>
      <c r="C122" s="14" t="s">
        <v>360</v>
      </c>
      <c r="D122" s="57"/>
      <c r="E122" s="57">
        <v>7000</v>
      </c>
      <c r="F122" s="85">
        <v>9500</v>
      </c>
      <c r="H122" s="34" t="str">
        <f>CONCATENATE("Jan.","                 ","5")</f>
        <v>Jan.                 5</v>
      </c>
      <c r="I122" s="13"/>
      <c r="J122" s="14" t="s">
        <v>360</v>
      </c>
      <c r="K122" s="57">
        <v>1000</v>
      </c>
      <c r="L122" s="57"/>
      <c r="M122" s="58">
        <v>1000</v>
      </c>
    </row>
    <row r="123" spans="1:16" ht="15" customHeight="1">
      <c r="A123" s="56">
        <v>25</v>
      </c>
      <c r="B123" s="13"/>
      <c r="C123" s="14" t="s">
        <v>360</v>
      </c>
      <c r="D123" s="57">
        <v>5500</v>
      </c>
      <c r="E123" s="57"/>
      <c r="F123" s="85">
        <v>15000</v>
      </c>
      <c r="H123" s="34" t="str">
        <f>CONCATENATE("Apr.","                  ","3")</f>
        <v>Apr.                  3</v>
      </c>
      <c r="I123" s="13"/>
      <c r="J123" s="14" t="s">
        <v>360</v>
      </c>
      <c r="K123" s="57">
        <v>1000</v>
      </c>
      <c r="L123" s="57"/>
      <c r="M123" s="85">
        <v>2000</v>
      </c>
    </row>
    <row r="124" spans="1:16" ht="15" customHeight="1">
      <c r="A124" s="56">
        <v>28</v>
      </c>
      <c r="B124" s="13"/>
      <c r="C124" s="14" t="s">
        <v>360</v>
      </c>
      <c r="D124" s="57"/>
      <c r="E124" s="57">
        <v>300</v>
      </c>
      <c r="F124" s="85">
        <v>14700</v>
      </c>
      <c r="H124" s="34" t="str">
        <f>CONCATENATE("May.","                ","2")</f>
        <v>May.                2</v>
      </c>
      <c r="I124" s="13"/>
      <c r="J124" s="14" t="s">
        <v>360</v>
      </c>
      <c r="K124" s="57">
        <v>1000</v>
      </c>
      <c r="L124" s="57"/>
      <c r="M124" s="85">
        <v>3000</v>
      </c>
    </row>
    <row r="125" spans="1:16" ht="15" customHeight="1">
      <c r="A125" s="34" t="str">
        <f>CONCATENATE("Nov.","             ","8")</f>
        <v>Nov.             8</v>
      </c>
      <c r="B125" s="13"/>
      <c r="C125" s="14" t="s">
        <v>360</v>
      </c>
      <c r="D125" s="57">
        <v>8000</v>
      </c>
      <c r="E125" s="57"/>
      <c r="F125" s="85">
        <v>22700</v>
      </c>
      <c r="H125" s="34" t="str">
        <f>CONCATENATE("Aug.","               ","10")</f>
        <v>Aug.               10</v>
      </c>
      <c r="I125" s="13"/>
      <c r="J125" s="14" t="s">
        <v>360</v>
      </c>
      <c r="K125" s="57">
        <v>1800</v>
      </c>
      <c r="L125" s="57"/>
      <c r="M125" s="85">
        <v>4800</v>
      </c>
    </row>
    <row r="126" spans="1:16" ht="15" customHeight="1">
      <c r="A126" s="56">
        <v>10</v>
      </c>
      <c r="B126" s="13"/>
      <c r="C126" s="14" t="s">
        <v>360</v>
      </c>
      <c r="D126" s="57"/>
      <c r="E126" s="57">
        <v>8000</v>
      </c>
      <c r="F126" s="85">
        <v>14700</v>
      </c>
      <c r="H126" s="34" t="str">
        <f>CONCATENATE("Sep.","               ","10")</f>
        <v>Sep.               10</v>
      </c>
      <c r="I126" s="13"/>
      <c r="J126" s="14" t="s">
        <v>360</v>
      </c>
      <c r="K126" s="57">
        <v>1800</v>
      </c>
      <c r="L126" s="57"/>
      <c r="M126" s="85">
        <v>6600</v>
      </c>
    </row>
    <row r="127" spans="1:16" ht="15" customHeight="1">
      <c r="A127" s="34" t="str">
        <f>CONCATENATE("Dec.","             ","6")</f>
        <v>Dec.             6</v>
      </c>
      <c r="B127" s="13"/>
      <c r="C127" s="14" t="s">
        <v>360</v>
      </c>
      <c r="D127" s="57">
        <v>10000</v>
      </c>
      <c r="E127" s="57"/>
      <c r="F127" s="85">
        <v>24700</v>
      </c>
      <c r="H127" s="34" t="str">
        <f>CONCATENATE("Nov.","                 ","2")</f>
        <v>Nov.                 2</v>
      </c>
      <c r="I127" s="13"/>
      <c r="J127" s="14" t="s">
        <v>360</v>
      </c>
      <c r="K127" s="57">
        <v>2000</v>
      </c>
      <c r="L127" s="57"/>
      <c r="M127" s="85">
        <v>8600</v>
      </c>
    </row>
    <row r="128" spans="1:16" ht="15" customHeight="1">
      <c r="A128" s="56">
        <v>15</v>
      </c>
      <c r="B128" s="13"/>
      <c r="C128" s="14" t="s">
        <v>360</v>
      </c>
      <c r="D128" s="57"/>
      <c r="E128" s="57">
        <v>600</v>
      </c>
      <c r="F128" s="85">
        <v>24100</v>
      </c>
      <c r="H128" s="34" t="str">
        <f>CONCATENATE("Dec.","                 ","1")</f>
        <v>Dec.                 1</v>
      </c>
      <c r="I128" s="13"/>
      <c r="J128" s="14" t="s">
        <v>360</v>
      </c>
      <c r="K128" s="57">
        <v>2000</v>
      </c>
      <c r="L128" s="57"/>
      <c r="M128" s="90">
        <v>10600</v>
      </c>
      <c r="O128" s="269"/>
      <c r="P128" s="269"/>
    </row>
    <row r="129" spans="1:16">
      <c r="D129" s="86"/>
      <c r="E129" s="86">
        <v>9400</v>
      </c>
      <c r="F129" s="87">
        <v>14700</v>
      </c>
      <c r="H129" s="61"/>
      <c r="K129" s="62"/>
      <c r="M129" s="63"/>
      <c r="P129" s="58"/>
    </row>
    <row r="130" spans="1:16" ht="15" customHeight="1">
      <c r="H130" s="256" t="s">
        <v>382</v>
      </c>
      <c r="I130" s="251"/>
      <c r="J130" s="251"/>
      <c r="K130" s="251"/>
      <c r="L130" s="251"/>
      <c r="M130" s="251"/>
    </row>
    <row r="131" spans="1:16" ht="15" customHeight="1">
      <c r="A131" s="256" t="s">
        <v>374</v>
      </c>
      <c r="B131" s="251"/>
      <c r="C131" s="251"/>
      <c r="D131" s="251"/>
      <c r="E131" s="251"/>
      <c r="F131" s="251"/>
      <c r="H131" s="41" t="s">
        <v>148</v>
      </c>
      <c r="I131" s="42" t="s">
        <v>356</v>
      </c>
      <c r="J131" s="43" t="s">
        <v>359</v>
      </c>
      <c r="K131" s="42" t="s">
        <v>151</v>
      </c>
      <c r="L131" s="42" t="s">
        <v>152</v>
      </c>
      <c r="M131" s="44" t="s">
        <v>358</v>
      </c>
    </row>
    <row r="132" spans="1:16" ht="15" customHeight="1">
      <c r="A132" s="41" t="s">
        <v>148</v>
      </c>
      <c r="B132" s="42" t="s">
        <v>356</v>
      </c>
      <c r="C132" s="43" t="s">
        <v>359</v>
      </c>
      <c r="D132" s="42" t="s">
        <v>151</v>
      </c>
      <c r="E132" s="42" t="s">
        <v>152</v>
      </c>
      <c r="F132" s="44" t="s">
        <v>358</v>
      </c>
      <c r="H132" s="29">
        <v>2023</v>
      </c>
      <c r="I132" s="13"/>
      <c r="J132" s="13"/>
      <c r="K132" s="13"/>
      <c r="L132" s="13"/>
      <c r="M132" s="45"/>
    </row>
    <row r="133" spans="1:16" ht="15" customHeight="1">
      <c r="A133" s="29">
        <v>2023</v>
      </c>
      <c r="B133" s="13"/>
      <c r="C133" s="13"/>
      <c r="D133" s="57"/>
      <c r="E133" s="57"/>
      <c r="F133" s="58"/>
      <c r="H133" s="34" t="str">
        <f>CONCATENATE("Jan.","                ","20")</f>
        <v>Jan.                20</v>
      </c>
      <c r="I133" s="13"/>
      <c r="J133" s="14" t="s">
        <v>360</v>
      </c>
      <c r="K133" s="57">
        <v>800</v>
      </c>
      <c r="L133" s="57"/>
      <c r="M133" s="58">
        <v>800</v>
      </c>
    </row>
    <row r="134" spans="1:16" ht="14.25">
      <c r="A134" s="34" t="str">
        <f>CONCATENATE("Feb.","                 ","1")</f>
        <v>Feb.                 1</v>
      </c>
      <c r="B134" s="13"/>
      <c r="C134" s="14" t="s">
        <v>360</v>
      </c>
      <c r="D134" s="57">
        <v>600</v>
      </c>
      <c r="E134" s="57"/>
      <c r="F134" s="58">
        <v>600</v>
      </c>
      <c r="H134" s="34" t="str">
        <f>CONCATENATE("Mar.","                 ","7")</f>
        <v>Mar.                 7</v>
      </c>
      <c r="I134" s="13"/>
      <c r="J134" s="14" t="s">
        <v>360</v>
      </c>
      <c r="K134" s="57">
        <v>1000</v>
      </c>
      <c r="L134" s="57"/>
      <c r="M134" s="85">
        <v>1800</v>
      </c>
    </row>
    <row r="135" spans="1:16" ht="15" customHeight="1">
      <c r="A135" s="89">
        <v>45657</v>
      </c>
      <c r="B135" s="13"/>
      <c r="C135" s="14" t="s">
        <v>435</v>
      </c>
      <c r="D135" s="13"/>
      <c r="E135" s="13">
        <v>550</v>
      </c>
      <c r="F135" s="32">
        <v>50</v>
      </c>
      <c r="H135" s="34" t="str">
        <f>CONCATENATE("Apr.","                ","20")</f>
        <v>Apr.                20</v>
      </c>
      <c r="I135" s="13"/>
      <c r="J135" s="14" t="s">
        <v>360</v>
      </c>
      <c r="K135" s="57">
        <v>800</v>
      </c>
      <c r="L135" s="57"/>
      <c r="M135" s="85">
        <v>2600</v>
      </c>
    </row>
    <row r="136" spans="1:16" ht="15" customHeight="1">
      <c r="H136" s="34" t="str">
        <f>CONCATENATE("May.","                ","7")</f>
        <v>May.                7</v>
      </c>
      <c r="I136" s="13"/>
      <c r="J136" s="14" t="s">
        <v>360</v>
      </c>
      <c r="K136" s="57">
        <v>1500</v>
      </c>
      <c r="L136" s="57"/>
      <c r="M136" s="85">
        <v>4100</v>
      </c>
    </row>
    <row r="137" spans="1:16" ht="15" customHeight="1">
      <c r="A137" s="256" t="s">
        <v>376</v>
      </c>
      <c r="B137" s="251"/>
      <c r="C137" s="251"/>
      <c r="D137" s="251"/>
      <c r="E137" s="251"/>
      <c r="F137" s="251"/>
      <c r="H137" s="34" t="str">
        <f>CONCATENATE("July.","               ","10")</f>
        <v>July.               10</v>
      </c>
      <c r="I137" s="13"/>
      <c r="J137" s="14" t="s">
        <v>360</v>
      </c>
      <c r="K137" s="57">
        <v>800</v>
      </c>
      <c r="L137" s="57"/>
      <c r="M137" s="85">
        <v>4900</v>
      </c>
    </row>
    <row r="138" spans="1:16" ht="15" customHeight="1">
      <c r="A138" s="41" t="s">
        <v>148</v>
      </c>
      <c r="B138" s="42" t="s">
        <v>356</v>
      </c>
      <c r="C138" s="43" t="s">
        <v>359</v>
      </c>
      <c r="D138" s="42" t="s">
        <v>151</v>
      </c>
      <c r="E138" s="42" t="s">
        <v>152</v>
      </c>
      <c r="F138" s="44" t="s">
        <v>358</v>
      </c>
      <c r="H138" s="34" t="str">
        <f>CONCATENATE("Aug.","               ","15")</f>
        <v>Aug.               15</v>
      </c>
      <c r="I138" s="13"/>
      <c r="J138" s="14" t="s">
        <v>360</v>
      </c>
      <c r="K138" s="57">
        <v>1200</v>
      </c>
      <c r="L138" s="57"/>
      <c r="M138" s="85">
        <v>6100</v>
      </c>
    </row>
    <row r="139" spans="1:16" ht="15" customHeight="1">
      <c r="A139" s="29">
        <v>2023</v>
      </c>
      <c r="B139" s="13"/>
      <c r="C139" s="13"/>
      <c r="D139" s="57"/>
      <c r="E139" s="57"/>
      <c r="F139" s="58"/>
      <c r="H139" s="34" t="str">
        <f>CONCATENATE("Oct.","                ","15")</f>
        <v>Oct.                15</v>
      </c>
      <c r="I139" s="13"/>
      <c r="J139" s="14" t="s">
        <v>360</v>
      </c>
      <c r="K139" s="57">
        <v>1000</v>
      </c>
      <c r="L139" s="57"/>
      <c r="M139" s="58">
        <v>7100</v>
      </c>
    </row>
    <row r="140" spans="1:16" ht="15" customHeight="1">
      <c r="A140" s="34" t="str">
        <f>CONCATENATE("Jan.","                  ","3")</f>
        <v>Jan.                  3</v>
      </c>
      <c r="B140" s="13"/>
      <c r="C140" s="14" t="s">
        <v>360</v>
      </c>
      <c r="D140" s="57">
        <v>5000</v>
      </c>
      <c r="E140" s="57"/>
      <c r="F140" s="58">
        <v>5000</v>
      </c>
      <c r="H140" s="34" t="str">
        <f>CONCATENATE("Nov.","              ","15")</f>
        <v>Nov.              15</v>
      </c>
      <c r="I140" s="13"/>
      <c r="J140" s="14" t="s">
        <v>360</v>
      </c>
      <c r="K140" s="57">
        <v>800</v>
      </c>
      <c r="L140" s="57"/>
      <c r="M140" s="85">
        <v>7900</v>
      </c>
    </row>
    <row r="141" spans="1:16" ht="15" customHeight="1">
      <c r="A141" s="34" t="str">
        <f>CONCATENATE("Sep.","                 ","3")</f>
        <v>Sep.                 3</v>
      </c>
      <c r="B141" s="13"/>
      <c r="C141" s="14" t="s">
        <v>360</v>
      </c>
      <c r="D141" s="57">
        <v>6000</v>
      </c>
      <c r="E141" s="57"/>
      <c r="F141" s="85">
        <v>11000</v>
      </c>
      <c r="H141" s="34" t="str">
        <f>CONCATENATE("Dec.","               ","18")</f>
        <v>Dec.               18</v>
      </c>
      <c r="I141" s="13"/>
      <c r="J141" s="14" t="s">
        <v>360</v>
      </c>
      <c r="K141" s="57">
        <v>1000</v>
      </c>
      <c r="L141" s="57"/>
      <c r="M141" s="88">
        <v>8900</v>
      </c>
    </row>
    <row r="142" spans="1:16" ht="15" customHeight="1">
      <c r="A142" s="36">
        <v>18</v>
      </c>
      <c r="B142" s="13"/>
      <c r="C142" s="14" t="s">
        <v>360</v>
      </c>
      <c r="D142" s="57"/>
      <c r="E142" s="57">
        <v>1000</v>
      </c>
      <c r="F142" s="58">
        <v>10000</v>
      </c>
      <c r="H142" s="89">
        <v>45657</v>
      </c>
      <c r="I142" s="13"/>
      <c r="J142" s="14" t="s">
        <v>360</v>
      </c>
      <c r="K142" s="57">
        <v>1500</v>
      </c>
      <c r="L142" s="13"/>
      <c r="M142" s="68">
        <v>10400</v>
      </c>
    </row>
    <row r="143" spans="1:16" ht="15" customHeight="1">
      <c r="A143" s="34" t="str">
        <f>CONCATENATE("Oct.","                 ","5")</f>
        <v>Oct.                 5</v>
      </c>
      <c r="B143" s="56"/>
      <c r="C143" s="14" t="s">
        <v>360</v>
      </c>
      <c r="D143" s="57">
        <v>4000</v>
      </c>
      <c r="E143" s="57"/>
      <c r="F143" s="58">
        <v>14000</v>
      </c>
    </row>
    <row r="144" spans="1:16" ht="20.25">
      <c r="A144" s="36">
        <v>20</v>
      </c>
      <c r="B144" s="56"/>
      <c r="C144" s="14" t="s">
        <v>360</v>
      </c>
      <c r="D144" s="57"/>
      <c r="E144" s="57">
        <v>500</v>
      </c>
      <c r="F144" s="90">
        <v>13500</v>
      </c>
      <c r="H144" s="256" t="s">
        <v>368</v>
      </c>
      <c r="I144" s="251"/>
      <c r="J144" s="251"/>
      <c r="K144" s="251"/>
      <c r="L144" s="251"/>
      <c r="M144" s="251"/>
    </row>
    <row r="145" spans="1:17" ht="15" customHeight="1">
      <c r="H145" s="41" t="s">
        <v>148</v>
      </c>
      <c r="I145" s="42" t="s">
        <v>356</v>
      </c>
      <c r="J145" s="43" t="s">
        <v>359</v>
      </c>
      <c r="K145" s="42" t="s">
        <v>151</v>
      </c>
      <c r="L145" s="44" t="s">
        <v>152</v>
      </c>
      <c r="M145" s="42" t="s">
        <v>358</v>
      </c>
    </row>
    <row r="146" spans="1:17" ht="15" customHeight="1">
      <c r="A146" s="256" t="s">
        <v>377</v>
      </c>
      <c r="B146" s="251"/>
      <c r="C146" s="251"/>
      <c r="D146" s="251"/>
      <c r="E146" s="251"/>
      <c r="F146" s="251"/>
      <c r="H146" s="29">
        <v>2023</v>
      </c>
      <c r="I146" s="13"/>
      <c r="J146" s="13"/>
      <c r="K146" s="13"/>
      <c r="L146" s="54"/>
      <c r="M146" s="45"/>
      <c r="P146" s="269"/>
      <c r="Q146" s="269"/>
    </row>
    <row r="147" spans="1:17" ht="15" customHeight="1">
      <c r="A147" s="41" t="s">
        <v>148</v>
      </c>
      <c r="B147" s="42" t="s">
        <v>356</v>
      </c>
      <c r="C147" s="43" t="s">
        <v>359</v>
      </c>
      <c r="D147" s="42" t="s">
        <v>151</v>
      </c>
      <c r="E147" s="42" t="s">
        <v>152</v>
      </c>
      <c r="F147" s="44" t="s">
        <v>358</v>
      </c>
      <c r="H147" s="34" t="str">
        <f>CONCATENATE("Jan.","               ","10")</f>
        <v>Jan.               10</v>
      </c>
      <c r="I147" s="13"/>
      <c r="J147" s="14" t="s">
        <v>360</v>
      </c>
      <c r="K147" s="13"/>
      <c r="L147" s="85">
        <v>6000</v>
      </c>
      <c r="M147" s="58">
        <v>6000</v>
      </c>
      <c r="Q147" s="58"/>
    </row>
    <row r="148" spans="1:17" ht="15" customHeight="1">
      <c r="A148" s="29">
        <v>2023</v>
      </c>
      <c r="B148" s="13"/>
      <c r="C148" s="13"/>
      <c r="D148" s="57"/>
      <c r="E148" s="57"/>
      <c r="F148" s="58"/>
      <c r="H148" s="34" t="str">
        <f>CONCATENATE("Feb.","                  ","6")</f>
        <v>Feb.                  6</v>
      </c>
      <c r="I148" s="13"/>
      <c r="J148" s="14" t="s">
        <v>360</v>
      </c>
      <c r="K148" s="13"/>
      <c r="L148" s="85">
        <v>8000</v>
      </c>
      <c r="M148" s="85">
        <v>14000</v>
      </c>
      <c r="Q148" s="85"/>
    </row>
    <row r="149" spans="1:17" ht="15" customHeight="1">
      <c r="A149" s="34" t="str">
        <f>CONCATENATE("Jan.","                   ","8")</f>
        <v>Jan.                   8</v>
      </c>
      <c r="B149" s="13"/>
      <c r="C149" s="14" t="s">
        <v>360</v>
      </c>
      <c r="D149" s="57">
        <v>50000</v>
      </c>
      <c r="E149" s="57"/>
      <c r="F149" s="58">
        <v>50000</v>
      </c>
      <c r="H149" s="34" t="str">
        <f>CONCATENATE("Mar.","                 ","2")</f>
        <v>Mar.                 2</v>
      </c>
      <c r="I149" s="13"/>
      <c r="J149" s="14" t="s">
        <v>360</v>
      </c>
      <c r="K149" s="13"/>
      <c r="L149" s="85">
        <v>10000</v>
      </c>
      <c r="M149" s="85">
        <v>24000</v>
      </c>
      <c r="Q149" s="85"/>
    </row>
    <row r="150" spans="1:17" ht="15" customHeight="1">
      <c r="A150" s="36">
        <v>10</v>
      </c>
      <c r="B150" s="13"/>
      <c r="C150" s="14" t="s">
        <v>360</v>
      </c>
      <c r="D150" s="57"/>
      <c r="E150" s="57">
        <v>4400</v>
      </c>
      <c r="F150" s="58">
        <v>45600</v>
      </c>
      <c r="H150" s="36">
        <v>27</v>
      </c>
      <c r="I150" s="13"/>
      <c r="J150" s="14" t="s">
        <v>360</v>
      </c>
      <c r="K150" s="13"/>
      <c r="L150" s="85">
        <v>1500</v>
      </c>
      <c r="M150" s="85">
        <v>25500</v>
      </c>
      <c r="Q150" s="85"/>
    </row>
    <row r="151" spans="1:17" ht="15" customHeight="1">
      <c r="A151" s="34" t="str">
        <f>CONCATENATE("Mar.","                 ","2")</f>
        <v>Mar.                 2</v>
      </c>
      <c r="B151" s="13"/>
      <c r="C151" s="14" t="s">
        <v>360</v>
      </c>
      <c r="D151" s="57"/>
      <c r="E151" s="57">
        <v>8800</v>
      </c>
      <c r="F151" s="85">
        <v>36800</v>
      </c>
      <c r="H151" s="34" t="str">
        <f>CONCATENATE("Apr.","                  ","6")</f>
        <v>Apr.                  6</v>
      </c>
      <c r="I151" s="13"/>
      <c r="J151" s="14" t="s">
        <v>360</v>
      </c>
      <c r="K151" s="13"/>
      <c r="L151" s="85">
        <v>5000</v>
      </c>
      <c r="M151" s="85">
        <v>30500</v>
      </c>
      <c r="Q151" s="58"/>
    </row>
    <row r="152" spans="1:17" ht="15" customHeight="1">
      <c r="A152" s="36">
        <v>18</v>
      </c>
      <c r="B152" s="13"/>
      <c r="C152" s="14" t="s">
        <v>360</v>
      </c>
      <c r="D152" s="57">
        <v>100</v>
      </c>
      <c r="E152" s="57"/>
      <c r="F152" s="58">
        <v>36900</v>
      </c>
      <c r="H152" s="36">
        <v>27</v>
      </c>
      <c r="I152" s="13"/>
      <c r="J152" s="14" t="s">
        <v>360</v>
      </c>
      <c r="K152" s="13"/>
      <c r="L152" s="85">
        <v>3500</v>
      </c>
      <c r="M152" s="85">
        <v>34000</v>
      </c>
      <c r="Q152" s="85"/>
    </row>
    <row r="153" spans="1:17" ht="15" customHeight="1">
      <c r="A153" s="34" t="str">
        <f>CONCATENATE("Apr.","                  ","6")</f>
        <v>Apr.                  6</v>
      </c>
      <c r="B153" s="13"/>
      <c r="C153" s="14" t="s">
        <v>360</v>
      </c>
      <c r="D153" s="57"/>
      <c r="E153" s="57">
        <v>3500</v>
      </c>
      <c r="F153" s="85">
        <v>33400</v>
      </c>
      <c r="H153" s="34" t="str">
        <f>CONCATENATE("May.","                 ","9")</f>
        <v>May.                 9</v>
      </c>
      <c r="I153" s="13"/>
      <c r="J153" s="14" t="s">
        <v>360</v>
      </c>
      <c r="K153" s="13"/>
      <c r="L153" s="85">
        <v>6000</v>
      </c>
      <c r="M153" s="58">
        <v>40000</v>
      </c>
      <c r="Q153" s="85"/>
    </row>
    <row r="154" spans="1:17" ht="15" customHeight="1">
      <c r="A154" s="36">
        <v>20</v>
      </c>
      <c r="B154" s="13"/>
      <c r="C154" s="14" t="s">
        <v>360</v>
      </c>
      <c r="D154" s="57">
        <v>150</v>
      </c>
      <c r="E154" s="57"/>
      <c r="F154" s="85">
        <v>33550</v>
      </c>
      <c r="H154" s="34" t="str">
        <f>CONCATENATE("June.","                ","1")</f>
        <v>June.                1</v>
      </c>
      <c r="I154" s="13"/>
      <c r="J154" s="14" t="s">
        <v>360</v>
      </c>
      <c r="K154" s="13"/>
      <c r="L154" s="57">
        <v>8000</v>
      </c>
      <c r="M154" s="85">
        <v>48000</v>
      </c>
      <c r="Q154" s="85"/>
    </row>
    <row r="155" spans="1:17" ht="15" customHeight="1">
      <c r="A155" s="34" t="str">
        <f>CONCATENATE("June.","                 ","1")</f>
        <v>June.                 1</v>
      </c>
      <c r="B155" s="13"/>
      <c r="C155" s="14" t="s">
        <v>360</v>
      </c>
      <c r="D155" s="57"/>
      <c r="E155" s="57">
        <v>6700</v>
      </c>
      <c r="F155" s="85">
        <v>26850</v>
      </c>
      <c r="H155" s="34" t="str">
        <f>CONCATENATE("June.","              ","18")</f>
        <v>June.              18</v>
      </c>
      <c r="I155" s="13"/>
      <c r="J155" s="14" t="s">
        <v>360</v>
      </c>
      <c r="K155" s="13"/>
      <c r="L155" s="57">
        <v>1200</v>
      </c>
      <c r="M155" s="85">
        <v>49200</v>
      </c>
      <c r="Q155" s="85"/>
    </row>
    <row r="156" spans="1:17" ht="15" customHeight="1">
      <c r="A156" s="34" t="str">
        <f>CONCATENATE("July.","                  ","2")</f>
        <v>July.                  2</v>
      </c>
      <c r="B156" s="13"/>
      <c r="C156" s="14" t="s">
        <v>360</v>
      </c>
      <c r="D156" s="57">
        <v>5000</v>
      </c>
      <c r="E156" s="57"/>
      <c r="F156" s="85">
        <v>31850</v>
      </c>
      <c r="H156" s="34" t="str">
        <f>CONCATENATE("July.","                ","5")</f>
        <v>July.                5</v>
      </c>
      <c r="I156" s="13"/>
      <c r="J156" s="14" t="s">
        <v>360</v>
      </c>
      <c r="K156" s="13"/>
      <c r="L156" s="57">
        <v>7000</v>
      </c>
      <c r="M156" s="85">
        <v>56200</v>
      </c>
      <c r="Q156" s="85"/>
    </row>
    <row r="157" spans="1:17" ht="15" customHeight="1">
      <c r="A157" s="36">
        <v>27</v>
      </c>
      <c r="B157" s="13"/>
      <c r="C157" s="14" t="s">
        <v>360</v>
      </c>
      <c r="D157" s="57"/>
      <c r="E157" s="57">
        <v>300</v>
      </c>
      <c r="F157" s="85">
        <v>31550</v>
      </c>
      <c r="H157" s="34" t="str">
        <f>CONCATENATE("Aug.","                 ","2")</f>
        <v>Aug.                 2</v>
      </c>
      <c r="I157" s="13"/>
      <c r="J157" s="14" t="s">
        <v>360</v>
      </c>
      <c r="K157" s="13"/>
      <c r="L157" s="57">
        <v>12000</v>
      </c>
      <c r="M157" s="85">
        <v>68200</v>
      </c>
      <c r="Q157" s="85"/>
    </row>
    <row r="158" spans="1:17" ht="15" customHeight="1">
      <c r="A158" s="34" t="str">
        <f>CONCATENATE("Aug.","                  ","2")</f>
        <v>Aug.                  2</v>
      </c>
      <c r="B158" s="13"/>
      <c r="C158" s="14" t="s">
        <v>360</v>
      </c>
      <c r="D158" s="57"/>
      <c r="E158" s="57">
        <v>11050</v>
      </c>
      <c r="F158" s="85">
        <v>20500</v>
      </c>
      <c r="H158" s="34" t="str">
        <f>CONCATENATE("Sep.","                 ","5")</f>
        <v>Sep.                 5</v>
      </c>
      <c r="I158" s="13"/>
      <c r="J158" s="14" t="s">
        <v>360</v>
      </c>
      <c r="K158" s="13"/>
      <c r="L158" s="57">
        <v>10000</v>
      </c>
      <c r="M158" s="85">
        <v>78200</v>
      </c>
      <c r="Q158" s="90"/>
    </row>
    <row r="159" spans="1:17" ht="15" customHeight="1">
      <c r="A159" s="34" t="str">
        <f>CONCATENATE("Nov.","                  ","8")</f>
        <v>Nov.                  8</v>
      </c>
      <c r="B159" s="13"/>
      <c r="C159" s="14" t="s">
        <v>360</v>
      </c>
      <c r="D159" s="57"/>
      <c r="E159" s="57">
        <v>7000</v>
      </c>
      <c r="F159" s="85">
        <v>13500</v>
      </c>
      <c r="H159" s="36">
        <v>30</v>
      </c>
      <c r="I159" s="13"/>
      <c r="J159" s="14" t="s">
        <v>360</v>
      </c>
      <c r="K159" s="13"/>
      <c r="L159" s="57">
        <v>7000</v>
      </c>
      <c r="M159" s="85">
        <v>85200</v>
      </c>
    </row>
    <row r="160" spans="1:17" ht="15" customHeight="1">
      <c r="A160" s="34" t="str">
        <f>CONCATENATE("Dec.","                  ","6")</f>
        <v>Dec.                  6</v>
      </c>
      <c r="B160" s="13"/>
      <c r="C160" s="14" t="s">
        <v>360</v>
      </c>
      <c r="D160" s="57"/>
      <c r="E160" s="57">
        <v>8800</v>
      </c>
      <c r="F160" s="85">
        <v>4700</v>
      </c>
      <c r="H160" s="34" t="str">
        <f>CONCATENATE("Oct.","                ","25")</f>
        <v>Oct.                25</v>
      </c>
      <c r="I160" s="13"/>
      <c r="J160" s="14" t="s">
        <v>360</v>
      </c>
      <c r="K160" s="13"/>
      <c r="L160" s="57">
        <v>5500</v>
      </c>
      <c r="M160" s="85">
        <v>90700</v>
      </c>
    </row>
    <row r="161" spans="1:13">
      <c r="A161" s="36">
        <v>15</v>
      </c>
      <c r="B161" s="13"/>
      <c r="C161" s="14" t="s">
        <v>360</v>
      </c>
      <c r="D161" s="57">
        <v>400</v>
      </c>
      <c r="E161" s="57"/>
      <c r="F161" s="88">
        <v>5100</v>
      </c>
      <c r="H161" s="34" t="str">
        <f>CONCATENATE("Nov.","                 ","8")</f>
        <v>Nov.                 8</v>
      </c>
      <c r="I161" s="13"/>
      <c r="J161" s="14" t="s">
        <v>360</v>
      </c>
      <c r="K161" s="13"/>
      <c r="L161" s="57">
        <v>8000</v>
      </c>
      <c r="M161" s="85">
        <v>98700</v>
      </c>
    </row>
    <row r="162" spans="1:13" ht="15" customHeight="1">
      <c r="A162" s="89">
        <v>45657</v>
      </c>
      <c r="B162" s="13"/>
      <c r="C162" s="14" t="s">
        <v>360</v>
      </c>
      <c r="D162" s="13"/>
      <c r="E162" s="13">
        <v>1000</v>
      </c>
      <c r="F162" s="68">
        <v>4100</v>
      </c>
      <c r="H162" s="36">
        <v>25</v>
      </c>
      <c r="I162" s="13"/>
      <c r="J162" s="14" t="s">
        <v>360</v>
      </c>
      <c r="K162" s="13"/>
      <c r="L162" s="57">
        <v>7000</v>
      </c>
      <c r="M162" s="85">
        <v>105700</v>
      </c>
    </row>
    <row r="163" spans="1:13" ht="15" customHeight="1">
      <c r="H163" s="34" t="str">
        <f>CONCATENATE("Dec.","              ","10")</f>
        <v>Dec.              10</v>
      </c>
      <c r="I163" s="13"/>
      <c r="J163" s="14" t="s">
        <v>360</v>
      </c>
      <c r="K163" s="13"/>
      <c r="L163" s="57">
        <v>10000</v>
      </c>
      <c r="M163" s="85">
        <v>115700</v>
      </c>
    </row>
    <row r="164" spans="1:13" ht="15" customHeight="1">
      <c r="A164" s="256" t="s">
        <v>379</v>
      </c>
      <c r="B164" s="251"/>
      <c r="C164" s="251"/>
      <c r="D164" s="251"/>
      <c r="E164" s="251"/>
      <c r="F164" s="251"/>
      <c r="H164" s="56">
        <v>25</v>
      </c>
      <c r="I164" s="13"/>
      <c r="J164" s="14" t="s">
        <v>360</v>
      </c>
      <c r="K164" s="13"/>
      <c r="L164" s="57">
        <v>6500</v>
      </c>
      <c r="M164" s="90">
        <v>122200</v>
      </c>
    </row>
    <row r="165" spans="1:13" ht="15" customHeight="1">
      <c r="A165" s="41" t="s">
        <v>148</v>
      </c>
      <c r="B165" s="42" t="s">
        <v>356</v>
      </c>
      <c r="C165" s="43" t="s">
        <v>359</v>
      </c>
      <c r="D165" s="42" t="s">
        <v>151</v>
      </c>
      <c r="E165" s="42" t="s">
        <v>152</v>
      </c>
      <c r="F165" s="44" t="s">
        <v>358</v>
      </c>
    </row>
    <row r="166" spans="1:13" ht="15" customHeight="1">
      <c r="A166" s="29">
        <v>2023</v>
      </c>
      <c r="B166" s="13"/>
      <c r="C166" s="13"/>
      <c r="D166" s="57"/>
      <c r="E166" s="57"/>
      <c r="F166" s="58"/>
      <c r="H166" s="256" t="s">
        <v>372</v>
      </c>
      <c r="I166" s="251"/>
      <c r="J166" s="251"/>
      <c r="K166" s="251"/>
      <c r="L166" s="251"/>
      <c r="M166" s="251"/>
    </row>
    <row r="167" spans="1:13" ht="15" customHeight="1">
      <c r="A167" s="34" t="str">
        <f>CONCATENATE("Jan.","                 ","25")</f>
        <v>Jan.                 25</v>
      </c>
      <c r="B167" s="13"/>
      <c r="C167" s="14" t="s">
        <v>360</v>
      </c>
      <c r="D167" s="57">
        <v>60000</v>
      </c>
      <c r="E167" s="57"/>
      <c r="F167" s="58">
        <v>60000</v>
      </c>
      <c r="H167" s="41" t="s">
        <v>148</v>
      </c>
      <c r="I167" s="42" t="s">
        <v>356</v>
      </c>
      <c r="J167" s="43" t="s">
        <v>359</v>
      </c>
      <c r="K167" s="42" t="s">
        <v>151</v>
      </c>
      <c r="L167" s="42" t="s">
        <v>152</v>
      </c>
      <c r="M167" s="44" t="s">
        <v>358</v>
      </c>
    </row>
    <row r="168" spans="1:13" ht="15" customHeight="1">
      <c r="A168" s="34" t="str">
        <f>CONCATENATE("Feb.","                 ","6")</f>
        <v>Feb.                 6</v>
      </c>
      <c r="B168" s="13"/>
      <c r="C168" s="14" t="s">
        <v>360</v>
      </c>
      <c r="D168" s="57"/>
      <c r="E168" s="57">
        <v>7000</v>
      </c>
      <c r="F168" s="85">
        <v>53000</v>
      </c>
      <c r="H168" s="29">
        <v>2023</v>
      </c>
      <c r="I168" s="13"/>
      <c r="J168" s="13"/>
      <c r="K168" s="13"/>
      <c r="L168" s="13"/>
      <c r="M168" s="45"/>
    </row>
    <row r="169" spans="1:13" ht="15" customHeight="1">
      <c r="A169" s="36">
        <v>23</v>
      </c>
      <c r="B169" s="13"/>
      <c r="C169" s="14" t="s">
        <v>360</v>
      </c>
      <c r="D169" s="57"/>
      <c r="E169" s="57">
        <v>500</v>
      </c>
      <c r="F169" s="58">
        <v>52500</v>
      </c>
      <c r="H169" s="34" t="str">
        <f>CONCATENATE("Mar.","               ","18")</f>
        <v>Mar.               18</v>
      </c>
      <c r="I169" s="13"/>
      <c r="J169" s="14" t="s">
        <v>360</v>
      </c>
      <c r="K169" s="57">
        <v>500</v>
      </c>
      <c r="L169" s="57"/>
      <c r="M169" s="58">
        <v>500</v>
      </c>
    </row>
    <row r="170" spans="1:13" ht="15" customHeight="1">
      <c r="A170" s="34" t="str">
        <f>CONCATENATE("Mar.","                ","27")</f>
        <v>Mar.                27</v>
      </c>
      <c r="B170" s="13"/>
      <c r="C170" s="14" t="s">
        <v>360</v>
      </c>
      <c r="D170" s="57"/>
      <c r="E170" s="57">
        <v>1000</v>
      </c>
      <c r="F170" s="85">
        <v>51500</v>
      </c>
      <c r="H170" s="34" t="str">
        <f>CONCATENATE("Apr.","                ","20")</f>
        <v>Apr.                20</v>
      </c>
      <c r="I170" s="13"/>
      <c r="J170" s="14" t="s">
        <v>360</v>
      </c>
      <c r="K170" s="57">
        <v>200</v>
      </c>
      <c r="L170" s="57"/>
      <c r="M170" s="85">
        <v>700</v>
      </c>
    </row>
    <row r="171" spans="1:13" ht="15" customHeight="1">
      <c r="A171" s="34" t="str">
        <f>CONCATENATE("May.","                ","9")</f>
        <v>May.                9</v>
      </c>
      <c r="B171" s="13"/>
      <c r="C171" s="14" t="s">
        <v>360</v>
      </c>
      <c r="D171" s="57"/>
      <c r="E171" s="57">
        <v>4600</v>
      </c>
      <c r="F171" s="85">
        <v>46900</v>
      </c>
      <c r="H171" s="34" t="str">
        <f>CONCATENATE("July.","               ","10")</f>
        <v>July.               10</v>
      </c>
      <c r="I171" s="13"/>
      <c r="J171" s="14" t="s">
        <v>360</v>
      </c>
      <c r="K171" s="57">
        <v>1000</v>
      </c>
      <c r="L171" s="57"/>
      <c r="M171" s="85">
        <v>1700</v>
      </c>
    </row>
    <row r="172" spans="1:13" ht="15" customHeight="1">
      <c r="A172" s="34" t="str">
        <f>CONCATENATE("July.","                 ","5")</f>
        <v>July.                 5</v>
      </c>
      <c r="B172" s="13"/>
      <c r="C172" s="14" t="s">
        <v>360</v>
      </c>
      <c r="D172" s="57"/>
      <c r="E172" s="57">
        <v>6100</v>
      </c>
      <c r="F172" s="85">
        <v>40800</v>
      </c>
      <c r="H172" s="34" t="str">
        <f>CONCATENATE("Oct.","               ","28")</f>
        <v>Oct.               28</v>
      </c>
      <c r="I172" s="13"/>
      <c r="J172" s="14" t="s">
        <v>360</v>
      </c>
      <c r="K172" s="57">
        <v>300</v>
      </c>
      <c r="L172" s="57"/>
      <c r="M172" s="85">
        <v>2000</v>
      </c>
    </row>
    <row r="173" spans="1:13" ht="15" customHeight="1">
      <c r="A173" s="36">
        <v>10</v>
      </c>
      <c r="B173" s="13"/>
      <c r="C173" s="14" t="s">
        <v>360</v>
      </c>
      <c r="D173" s="57">
        <v>200</v>
      </c>
      <c r="E173" s="57"/>
      <c r="F173" s="85">
        <v>41000</v>
      </c>
      <c r="H173" s="34" t="str">
        <f>CONCATENATE("Dec.","               ","15")</f>
        <v>Dec.               15</v>
      </c>
      <c r="I173" s="13"/>
      <c r="J173" s="14" t="s">
        <v>360</v>
      </c>
      <c r="K173" s="57">
        <v>600</v>
      </c>
      <c r="L173" s="57"/>
      <c r="M173" s="90">
        <v>2600</v>
      </c>
    </row>
    <row r="174" spans="1:13" ht="15" customHeight="1">
      <c r="A174" s="34" t="str">
        <f>CONCATENATE("Sep.","                 ","5")</f>
        <v>Sep.                 5</v>
      </c>
      <c r="B174" s="13"/>
      <c r="C174" s="14" t="s">
        <v>360</v>
      </c>
      <c r="D174" s="57"/>
      <c r="E174" s="57">
        <v>6000</v>
      </c>
      <c r="F174" s="85">
        <v>35000</v>
      </c>
    </row>
    <row r="175" spans="1:13" ht="15" customHeight="1">
      <c r="A175" s="36">
        <v>30</v>
      </c>
      <c r="B175" s="13"/>
      <c r="C175" s="14" t="s">
        <v>360</v>
      </c>
      <c r="D175" s="57"/>
      <c r="E175" s="57">
        <v>5500</v>
      </c>
      <c r="F175" s="85">
        <v>29500</v>
      </c>
      <c r="H175" s="256" t="s">
        <v>373</v>
      </c>
      <c r="I175" s="251"/>
      <c r="J175" s="251"/>
      <c r="K175" s="251"/>
      <c r="L175" s="251"/>
      <c r="M175" s="251"/>
    </row>
    <row r="176" spans="1:13" ht="15" customHeight="1">
      <c r="A176" s="34" t="str">
        <f>CONCATENATE("Oct.","                ","25")</f>
        <v>Oct.                25</v>
      </c>
      <c r="B176" s="13"/>
      <c r="C176" s="14" t="s">
        <v>360</v>
      </c>
      <c r="D176" s="57"/>
      <c r="E176" s="57">
        <v>4500</v>
      </c>
      <c r="F176" s="85">
        <v>25000</v>
      </c>
      <c r="H176" s="41" t="s">
        <v>148</v>
      </c>
      <c r="I176" s="42" t="s">
        <v>356</v>
      </c>
      <c r="J176" s="43" t="s">
        <v>359</v>
      </c>
      <c r="K176" s="42" t="s">
        <v>151</v>
      </c>
      <c r="L176" s="42" t="s">
        <v>152</v>
      </c>
      <c r="M176" s="44" t="s">
        <v>358</v>
      </c>
    </row>
    <row r="177" spans="1:16" ht="15" customHeight="1">
      <c r="A177" s="29">
        <v>28</v>
      </c>
      <c r="B177" s="13"/>
      <c r="C177" s="14" t="s">
        <v>360</v>
      </c>
      <c r="D177" s="57">
        <v>150</v>
      </c>
      <c r="E177" s="57"/>
      <c r="F177" s="85">
        <v>25150</v>
      </c>
      <c r="H177" s="29">
        <v>2023</v>
      </c>
      <c r="I177" s="13"/>
      <c r="J177" s="13"/>
      <c r="K177" s="13"/>
      <c r="L177" s="13"/>
      <c r="M177" s="45"/>
    </row>
    <row r="178" spans="1:16" ht="15" customHeight="1">
      <c r="A178" s="34" t="str">
        <f>CONCATENATE("Nov.","                 ","5")</f>
        <v>Nov.                 5</v>
      </c>
      <c r="B178" s="13"/>
      <c r="C178" s="14" t="s">
        <v>360</v>
      </c>
      <c r="D178" s="57">
        <v>3500</v>
      </c>
      <c r="E178" s="57"/>
      <c r="F178" s="58">
        <v>28650</v>
      </c>
      <c r="H178" s="34" t="str">
        <f>CONCATENATE("Jan.","               ","28")</f>
        <v>Jan.               28</v>
      </c>
      <c r="I178" s="13"/>
      <c r="J178" s="14" t="s">
        <v>360</v>
      </c>
      <c r="K178" s="57">
        <v>150</v>
      </c>
      <c r="L178" s="57"/>
      <c r="M178" s="58">
        <v>150</v>
      </c>
    </row>
    <row r="179" spans="1:16" ht="15" customHeight="1">
      <c r="A179" s="36">
        <v>18</v>
      </c>
      <c r="B179" s="13"/>
      <c r="C179" s="14" t="s">
        <v>360</v>
      </c>
      <c r="D179" s="57"/>
      <c r="E179" s="57">
        <v>500</v>
      </c>
      <c r="F179" s="85">
        <v>28150</v>
      </c>
      <c r="H179" s="34" t="str">
        <f>CONCATENATE("Mar.","               ","15")</f>
        <v>Mar.               15</v>
      </c>
      <c r="I179" s="13"/>
      <c r="J179" s="14" t="s">
        <v>360</v>
      </c>
      <c r="K179" s="57">
        <v>200</v>
      </c>
      <c r="L179" s="57"/>
      <c r="M179" s="85">
        <v>350</v>
      </c>
    </row>
    <row r="180" spans="1:16" ht="15" customHeight="1">
      <c r="A180" s="36">
        <v>25</v>
      </c>
      <c r="B180" s="13"/>
      <c r="C180" s="14" t="s">
        <v>360</v>
      </c>
      <c r="D180" s="57"/>
      <c r="E180" s="57">
        <v>5700</v>
      </c>
      <c r="F180" s="85">
        <v>22450</v>
      </c>
      <c r="H180" s="34" t="str">
        <f>CONCATENATE("June.","              ","10")</f>
        <v>June.              10</v>
      </c>
      <c r="I180" s="13"/>
      <c r="J180" s="14" t="s">
        <v>360</v>
      </c>
      <c r="K180" s="57">
        <v>240</v>
      </c>
      <c r="L180" s="57"/>
      <c r="M180" s="85">
        <v>590</v>
      </c>
    </row>
    <row r="181" spans="1:16">
      <c r="A181" s="34" t="str">
        <f>CONCATENATE("Dec.","                ","25")</f>
        <v>Dec.                25</v>
      </c>
      <c r="B181" s="13"/>
      <c r="C181" s="14" t="s">
        <v>360</v>
      </c>
      <c r="D181" s="57"/>
      <c r="E181" s="57">
        <v>5400</v>
      </c>
      <c r="F181" s="91">
        <v>17050</v>
      </c>
      <c r="H181" s="34" t="str">
        <f>CONCATENATE("Aug.","                ","8")</f>
        <v>Aug.                8</v>
      </c>
      <c r="I181" s="13"/>
      <c r="J181" s="14" t="s">
        <v>360</v>
      </c>
      <c r="K181" s="57">
        <v>240</v>
      </c>
      <c r="L181" s="57"/>
      <c r="M181" s="85">
        <v>830</v>
      </c>
    </row>
    <row r="182" spans="1:16" ht="15" customHeight="1">
      <c r="A182" s="89">
        <v>45657</v>
      </c>
      <c r="B182" s="13"/>
      <c r="C182" s="14" t="s">
        <v>360</v>
      </c>
      <c r="D182" s="13"/>
      <c r="E182" s="13">
        <v>50</v>
      </c>
      <c r="F182" s="68">
        <v>17000</v>
      </c>
      <c r="H182" s="34" t="str">
        <f>CONCATENATE("Nov.","               ","10")</f>
        <v>Nov.               10</v>
      </c>
      <c r="I182" s="13"/>
      <c r="J182" s="14" t="s">
        <v>360</v>
      </c>
      <c r="K182" s="57">
        <v>240</v>
      </c>
      <c r="L182" s="57"/>
      <c r="M182" s="85">
        <v>1070</v>
      </c>
    </row>
    <row r="183" spans="1:16" ht="15" customHeight="1">
      <c r="H183" s="34" t="str">
        <f>CONCATENATE("Dec.","               ","15")</f>
        <v>Dec.               15</v>
      </c>
      <c r="I183" s="56"/>
      <c r="J183" s="14" t="s">
        <v>360</v>
      </c>
      <c r="K183" s="57">
        <v>188</v>
      </c>
      <c r="L183" s="57"/>
      <c r="M183" s="90">
        <v>1258</v>
      </c>
    </row>
    <row r="184" spans="1:16" ht="15" customHeight="1">
      <c r="A184" s="256" t="s">
        <v>381</v>
      </c>
      <c r="B184" s="251"/>
      <c r="C184" s="251"/>
      <c r="D184" s="251"/>
      <c r="E184" s="251"/>
      <c r="F184" s="251"/>
    </row>
    <row r="185" spans="1:16" ht="15" customHeight="1">
      <c r="A185" s="41" t="s">
        <v>148</v>
      </c>
      <c r="B185" s="42" t="s">
        <v>356</v>
      </c>
      <c r="C185" s="43" t="s">
        <v>359</v>
      </c>
      <c r="D185" s="42" t="s">
        <v>151</v>
      </c>
      <c r="E185" s="42" t="s">
        <v>152</v>
      </c>
      <c r="F185" s="44" t="s">
        <v>358</v>
      </c>
      <c r="H185" s="256" t="s">
        <v>375</v>
      </c>
      <c r="I185" s="251"/>
      <c r="J185" s="251"/>
      <c r="K185" s="251"/>
      <c r="L185" s="251"/>
      <c r="M185" s="251"/>
    </row>
    <row r="186" spans="1:16" ht="15" customHeight="1">
      <c r="A186" s="29">
        <v>2023</v>
      </c>
      <c r="B186" s="13"/>
      <c r="C186" s="13"/>
      <c r="D186" s="57"/>
      <c r="E186" s="57"/>
      <c r="F186" s="58"/>
      <c r="H186" s="41" t="s">
        <v>148</v>
      </c>
      <c r="I186" s="42" t="s">
        <v>356</v>
      </c>
      <c r="J186" s="43" t="s">
        <v>359</v>
      </c>
      <c r="K186" s="42" t="s">
        <v>151</v>
      </c>
      <c r="L186" s="42" t="s">
        <v>152</v>
      </c>
      <c r="M186" s="44" t="s">
        <v>358</v>
      </c>
    </row>
    <row r="187" spans="1:16" ht="15" customHeight="1">
      <c r="A187" s="34" t="str">
        <f>CONCATENATE("Mar.","                  ","5")</f>
        <v>Mar.                  5</v>
      </c>
      <c r="B187" s="13"/>
      <c r="C187" s="14" t="s">
        <v>360</v>
      </c>
      <c r="D187" s="57">
        <v>7000</v>
      </c>
      <c r="E187" s="57"/>
      <c r="F187" s="68">
        <v>7000</v>
      </c>
      <c r="H187" s="29">
        <v>2023</v>
      </c>
      <c r="I187" s="13"/>
      <c r="J187" s="13"/>
      <c r="K187" s="57"/>
      <c r="L187" s="57"/>
      <c r="M187" s="58"/>
      <c r="O187" s="269"/>
      <c r="P187" s="269"/>
    </row>
    <row r="188" spans="1:16" ht="15" customHeight="1">
      <c r="H188" s="34" t="str">
        <f>CONCATENATE("Jan.","                ","10")</f>
        <v>Jan.                10</v>
      </c>
      <c r="I188" s="13"/>
      <c r="J188" s="14" t="s">
        <v>360</v>
      </c>
      <c r="K188" s="57">
        <v>4400</v>
      </c>
      <c r="L188" s="57"/>
      <c r="M188" s="58">
        <v>4400</v>
      </c>
    </row>
    <row r="189" spans="1:16" ht="15" customHeight="1">
      <c r="A189" s="256" t="s">
        <v>383</v>
      </c>
      <c r="B189" s="251"/>
      <c r="C189" s="251"/>
      <c r="D189" s="251"/>
      <c r="E189" s="251"/>
      <c r="F189" s="251"/>
      <c r="H189" s="34" t="str">
        <f>CONCATENATE("Feb.","                  ","6")</f>
        <v>Feb.                  6</v>
      </c>
      <c r="I189" s="13"/>
      <c r="J189" s="14" t="s">
        <v>360</v>
      </c>
      <c r="K189" s="57">
        <v>7000</v>
      </c>
      <c r="L189" s="57"/>
      <c r="M189" s="85">
        <v>11400</v>
      </c>
    </row>
    <row r="190" spans="1:16" ht="15" customHeight="1">
      <c r="A190" s="41" t="s">
        <v>148</v>
      </c>
      <c r="B190" s="42" t="s">
        <v>356</v>
      </c>
      <c r="C190" s="43" t="s">
        <v>359</v>
      </c>
      <c r="D190" s="42" t="s">
        <v>151</v>
      </c>
      <c r="E190" s="42" t="s">
        <v>152</v>
      </c>
      <c r="F190" s="44" t="s">
        <v>358</v>
      </c>
      <c r="H190" s="34" t="str">
        <f>CONCATENATE("Mar.","                 ","2")</f>
        <v>Mar.                 2</v>
      </c>
      <c r="I190" s="13"/>
      <c r="J190" s="14" t="s">
        <v>360</v>
      </c>
      <c r="K190" s="57">
        <v>8800</v>
      </c>
      <c r="L190" s="57"/>
      <c r="M190" s="85">
        <v>20200</v>
      </c>
    </row>
    <row r="191" spans="1:16" ht="15" customHeight="1">
      <c r="A191" s="29">
        <v>2023</v>
      </c>
      <c r="B191" s="13"/>
      <c r="C191" s="13"/>
      <c r="D191" s="57"/>
      <c r="E191" s="57"/>
      <c r="F191" s="58"/>
      <c r="H191" s="36">
        <v>18</v>
      </c>
      <c r="I191" s="13"/>
      <c r="J191" s="14" t="s">
        <v>360</v>
      </c>
      <c r="K191" s="57"/>
      <c r="L191" s="57">
        <v>100</v>
      </c>
      <c r="M191" s="85">
        <v>20100</v>
      </c>
    </row>
    <row r="192" spans="1:16" ht="15" customHeight="1">
      <c r="A192" s="34" t="str">
        <f>CONCATENATE("Mar.","                ","24")</f>
        <v>Mar.                24</v>
      </c>
      <c r="B192" s="13"/>
      <c r="C192" s="14" t="s">
        <v>360</v>
      </c>
      <c r="D192" s="57">
        <v>6000</v>
      </c>
      <c r="E192" s="57"/>
      <c r="F192" s="58">
        <v>6000</v>
      </c>
      <c r="H192" s="36">
        <v>27</v>
      </c>
      <c r="I192" s="13"/>
      <c r="J192" s="14" t="s">
        <v>360</v>
      </c>
      <c r="K192" s="57">
        <v>1000</v>
      </c>
      <c r="L192" s="57"/>
      <c r="M192" s="85">
        <v>21100</v>
      </c>
    </row>
    <row r="193" spans="1:13" ht="15" customHeight="1">
      <c r="A193" s="34" t="str">
        <f>CONCATENATE("Apr.","                ","27")</f>
        <v>Apr.                27</v>
      </c>
      <c r="B193" s="13"/>
      <c r="C193" s="14" t="s">
        <v>360</v>
      </c>
      <c r="D193" s="57"/>
      <c r="E193" s="57">
        <v>3000</v>
      </c>
      <c r="F193" s="58">
        <v>3000</v>
      </c>
      <c r="H193" s="34" t="str">
        <f>CONCATENATE("Apr.","                  ","6")</f>
        <v>Apr.                  6</v>
      </c>
      <c r="I193" s="13"/>
      <c r="J193" s="14" t="s">
        <v>360</v>
      </c>
      <c r="K193" s="57">
        <v>3500</v>
      </c>
      <c r="L193" s="57"/>
      <c r="M193" s="58">
        <v>24600</v>
      </c>
    </row>
    <row r="194" spans="1:13">
      <c r="A194" s="34" t="str">
        <f>CONCATENATE("June.","              ","18")</f>
        <v>June.              18</v>
      </c>
      <c r="B194" s="13"/>
      <c r="C194" s="14" t="s">
        <v>360</v>
      </c>
      <c r="D194" s="57"/>
      <c r="E194" s="57">
        <v>1100</v>
      </c>
      <c r="F194" s="90">
        <v>1900</v>
      </c>
      <c r="H194" s="56">
        <v>20</v>
      </c>
      <c r="I194" s="13"/>
      <c r="J194" s="14" t="s">
        <v>360</v>
      </c>
      <c r="K194" s="57"/>
      <c r="L194" s="57">
        <v>150</v>
      </c>
      <c r="M194" s="85">
        <v>24450</v>
      </c>
    </row>
    <row r="195" spans="1:13" ht="15" customHeight="1">
      <c r="H195" s="56">
        <v>27</v>
      </c>
      <c r="I195" s="13"/>
      <c r="J195" s="14" t="s">
        <v>360</v>
      </c>
      <c r="K195" s="57">
        <v>3000</v>
      </c>
      <c r="L195" s="57"/>
      <c r="M195" s="85">
        <v>27450</v>
      </c>
    </row>
    <row r="196" spans="1:13" ht="15" customHeight="1">
      <c r="A196" s="256" t="s">
        <v>384</v>
      </c>
      <c r="B196" s="251"/>
      <c r="C196" s="251"/>
      <c r="D196" s="251"/>
      <c r="E196" s="251"/>
      <c r="F196" s="251"/>
      <c r="H196" s="34" t="str">
        <f>CONCATENATE("May.","                 ","9")</f>
        <v>May.                 9</v>
      </c>
      <c r="I196" s="13"/>
      <c r="J196" s="14" t="s">
        <v>360</v>
      </c>
      <c r="K196" s="57">
        <v>4600</v>
      </c>
      <c r="L196" s="57"/>
      <c r="M196" s="85">
        <v>32050</v>
      </c>
    </row>
    <row r="197" spans="1:13" ht="15" customHeight="1">
      <c r="A197" s="41" t="s">
        <v>148</v>
      </c>
      <c r="B197" s="42" t="s">
        <v>356</v>
      </c>
      <c r="C197" s="43" t="s">
        <v>359</v>
      </c>
      <c r="D197" s="42" t="s">
        <v>151</v>
      </c>
      <c r="E197" s="42" t="s">
        <v>152</v>
      </c>
      <c r="F197" s="44" t="s">
        <v>358</v>
      </c>
      <c r="H197" s="34" t="str">
        <f>CONCATENATE("June.","               ","1")</f>
        <v>June.               1</v>
      </c>
      <c r="I197" s="13"/>
      <c r="J197" s="14" t="s">
        <v>360</v>
      </c>
      <c r="K197" s="57">
        <v>6700</v>
      </c>
      <c r="L197" s="57"/>
      <c r="M197" s="85">
        <v>38750</v>
      </c>
    </row>
    <row r="198" spans="1:13" ht="15" customHeight="1">
      <c r="A198" s="29">
        <v>2023</v>
      </c>
      <c r="B198" s="13"/>
      <c r="C198" s="13"/>
      <c r="D198" s="57"/>
      <c r="E198" s="57"/>
      <c r="F198" s="58"/>
      <c r="H198" s="34" t="str">
        <f>CONCATENATE("June.","              ","18")</f>
        <v>June.              18</v>
      </c>
      <c r="I198" s="13"/>
      <c r="J198" s="14" t="s">
        <v>360</v>
      </c>
      <c r="K198" s="57">
        <v>1100</v>
      </c>
      <c r="L198" s="57"/>
      <c r="M198" s="85">
        <v>39850</v>
      </c>
    </row>
    <row r="199" spans="1:13" ht="15" customHeight="1">
      <c r="A199" s="34" t="str">
        <f>CONCATENATE("Apr.","                 ","12")</f>
        <v>Apr.                 12</v>
      </c>
      <c r="B199" s="13"/>
      <c r="C199" s="14" t="s">
        <v>360</v>
      </c>
      <c r="D199" s="57">
        <v>4500</v>
      </c>
      <c r="E199" s="57"/>
      <c r="F199" s="58">
        <v>4500</v>
      </c>
      <c r="H199" s="34" t="str">
        <f>CONCATENATE("July.","                 ","5")</f>
        <v>July.                 5</v>
      </c>
      <c r="I199" s="13"/>
      <c r="J199" s="14" t="s">
        <v>360</v>
      </c>
      <c r="K199" s="57">
        <v>6100</v>
      </c>
      <c r="L199" s="57"/>
      <c r="M199" s="85">
        <v>45950</v>
      </c>
    </row>
    <row r="200" spans="1:13">
      <c r="A200" s="34" t="str">
        <f>CONCATENATE("Apr.","                 ","16")</f>
        <v>Apr.                 16</v>
      </c>
      <c r="B200" s="13"/>
      <c r="C200" s="14" t="s">
        <v>360</v>
      </c>
      <c r="D200" s="57"/>
      <c r="E200" s="57">
        <v>700</v>
      </c>
      <c r="F200" s="90">
        <v>3800</v>
      </c>
      <c r="H200" s="36">
        <v>10</v>
      </c>
      <c r="I200" s="13"/>
      <c r="J200" s="14" t="s">
        <v>360</v>
      </c>
      <c r="K200" s="57"/>
      <c r="L200" s="57">
        <v>200</v>
      </c>
      <c r="M200" s="85">
        <v>45750</v>
      </c>
    </row>
    <row r="201" spans="1:13" ht="15" customHeight="1">
      <c r="H201" s="34" t="str">
        <f>CONCATENATE("Aug.","                 ","2")</f>
        <v>Aug.                 2</v>
      </c>
      <c r="I201" s="13"/>
      <c r="J201" s="14" t="s">
        <v>360</v>
      </c>
      <c r="K201" s="57">
        <v>11050</v>
      </c>
      <c r="L201" s="57"/>
      <c r="M201" s="85">
        <v>56800</v>
      </c>
    </row>
    <row r="202" spans="1:13" ht="15" customHeight="1">
      <c r="A202" s="256" t="s">
        <v>386</v>
      </c>
      <c r="B202" s="251"/>
      <c r="C202" s="251"/>
      <c r="D202" s="251"/>
      <c r="E202" s="251"/>
      <c r="F202" s="251"/>
      <c r="H202" s="34" t="str">
        <f>CONCATENATE("Sep.","                ","5")</f>
        <v>Sep.                5</v>
      </c>
      <c r="I202" s="13"/>
      <c r="J202" s="14" t="s">
        <v>360</v>
      </c>
      <c r="K202" s="57">
        <v>6000</v>
      </c>
      <c r="L202" s="57"/>
      <c r="M202" s="85">
        <v>62800</v>
      </c>
    </row>
    <row r="203" spans="1:13" ht="15" customHeight="1">
      <c r="A203" s="41" t="s">
        <v>148</v>
      </c>
      <c r="B203" s="42" t="s">
        <v>356</v>
      </c>
      <c r="C203" s="43" t="s">
        <v>359</v>
      </c>
      <c r="D203" s="42" t="s">
        <v>151</v>
      </c>
      <c r="E203" s="42" t="s">
        <v>152</v>
      </c>
      <c r="F203" s="44" t="s">
        <v>358</v>
      </c>
      <c r="H203" s="36">
        <v>30</v>
      </c>
      <c r="I203" s="13"/>
      <c r="J203" s="14" t="s">
        <v>360</v>
      </c>
      <c r="K203" s="57">
        <v>5500</v>
      </c>
      <c r="L203" s="57"/>
      <c r="M203" s="85">
        <v>68300</v>
      </c>
    </row>
    <row r="204" spans="1:13" ht="15" customHeight="1">
      <c r="A204" s="29">
        <v>2023</v>
      </c>
      <c r="B204" s="13"/>
      <c r="C204" s="13"/>
      <c r="D204" s="57"/>
      <c r="E204" s="57"/>
      <c r="F204" s="58"/>
      <c r="H204" s="34" t="str">
        <f>CONCATENATE("Oct.","                ","25")</f>
        <v>Oct.                25</v>
      </c>
      <c r="I204" s="13"/>
      <c r="J204" s="14" t="s">
        <v>360</v>
      </c>
      <c r="K204" s="57">
        <v>4500</v>
      </c>
      <c r="L204" s="57"/>
      <c r="M204" s="85">
        <v>72800</v>
      </c>
    </row>
    <row r="205" spans="1:13" ht="15" customHeight="1">
      <c r="A205" s="34" t="str">
        <f>CONCATENATE("May.","                 ","4")</f>
        <v>May.                 4</v>
      </c>
      <c r="B205" s="13"/>
      <c r="C205" s="14" t="s">
        <v>360</v>
      </c>
      <c r="D205" s="57">
        <v>3200</v>
      </c>
      <c r="E205" s="57"/>
      <c r="F205" s="58">
        <v>3200</v>
      </c>
      <c r="H205" s="36">
        <v>28</v>
      </c>
      <c r="I205" s="13"/>
      <c r="J205" s="14" t="s">
        <v>360</v>
      </c>
      <c r="K205" s="57"/>
      <c r="L205" s="57">
        <v>150</v>
      </c>
      <c r="M205" s="85">
        <v>72650</v>
      </c>
    </row>
    <row r="206" spans="1:13">
      <c r="A206" s="34" t="str">
        <f>CONCATENATE("May.","               ","25")</f>
        <v>May.               25</v>
      </c>
      <c r="B206" s="13"/>
      <c r="C206" s="14" t="s">
        <v>360</v>
      </c>
      <c r="D206" s="57"/>
      <c r="E206" s="57">
        <v>200</v>
      </c>
      <c r="F206" s="90">
        <v>3000</v>
      </c>
      <c r="H206" s="34" t="str">
        <f>CONCATENATE("Nov.","                ","8")</f>
        <v>Nov.                8</v>
      </c>
      <c r="I206" s="13"/>
      <c r="J206" s="14" t="s">
        <v>360</v>
      </c>
      <c r="K206" s="57">
        <v>7000</v>
      </c>
      <c r="L206" s="57"/>
      <c r="M206" s="85">
        <v>79650</v>
      </c>
    </row>
    <row r="207" spans="1:13" ht="15" customHeight="1">
      <c r="H207" s="56">
        <v>25</v>
      </c>
      <c r="I207" s="13"/>
      <c r="J207" s="14" t="s">
        <v>360</v>
      </c>
      <c r="K207" s="57">
        <v>5700</v>
      </c>
      <c r="L207" s="57"/>
      <c r="M207" s="85">
        <v>85350</v>
      </c>
    </row>
    <row r="208" spans="1:13" ht="15" customHeight="1">
      <c r="A208" s="256" t="s">
        <v>387</v>
      </c>
      <c r="B208" s="251"/>
      <c r="C208" s="251"/>
      <c r="D208" s="251"/>
      <c r="E208" s="251"/>
      <c r="F208" s="251"/>
      <c r="H208" s="34" t="str">
        <f>CONCATENATE("Dec.","                 ","6")</f>
        <v>Dec.                 6</v>
      </c>
      <c r="I208" s="13"/>
      <c r="J208" s="14" t="s">
        <v>360</v>
      </c>
      <c r="K208" s="57">
        <v>8800</v>
      </c>
      <c r="L208" s="57"/>
      <c r="M208" s="85">
        <v>94150</v>
      </c>
    </row>
    <row r="209" spans="1:17" ht="15" customHeight="1">
      <c r="A209" s="41" t="s">
        <v>148</v>
      </c>
      <c r="B209" s="42" t="s">
        <v>356</v>
      </c>
      <c r="C209" s="43" t="s">
        <v>359</v>
      </c>
      <c r="D209" s="42" t="s">
        <v>151</v>
      </c>
      <c r="E209" s="42" t="s">
        <v>152</v>
      </c>
      <c r="F209" s="44" t="s">
        <v>358</v>
      </c>
      <c r="H209" s="56">
        <v>15</v>
      </c>
      <c r="I209" s="13"/>
      <c r="J209" s="14" t="s">
        <v>360</v>
      </c>
      <c r="K209" s="57"/>
      <c r="L209" s="57">
        <v>400</v>
      </c>
      <c r="M209" s="85">
        <v>93750</v>
      </c>
    </row>
    <row r="210" spans="1:17" ht="15" customHeight="1">
      <c r="A210" s="29">
        <v>2023</v>
      </c>
      <c r="B210" s="13"/>
      <c r="C210" s="13"/>
      <c r="D210" s="13"/>
      <c r="E210" s="13"/>
      <c r="F210" s="45"/>
      <c r="H210" s="56">
        <v>25</v>
      </c>
      <c r="I210" s="13"/>
      <c r="J210" s="14" t="s">
        <v>360</v>
      </c>
      <c r="K210" s="57">
        <v>5400</v>
      </c>
      <c r="L210" s="57"/>
      <c r="M210" s="88">
        <v>99150</v>
      </c>
    </row>
    <row r="211" spans="1:17">
      <c r="A211" s="34" t="str">
        <f>CONCATENATE("May.","               ","21")</f>
        <v>May.               21</v>
      </c>
      <c r="B211" s="13"/>
      <c r="C211" s="14" t="s">
        <v>360</v>
      </c>
      <c r="D211" s="57">
        <v>5000</v>
      </c>
      <c r="E211" s="57"/>
      <c r="F211" s="90">
        <v>5000</v>
      </c>
      <c r="H211" s="89">
        <v>45657</v>
      </c>
      <c r="I211" s="13"/>
      <c r="J211" s="14" t="s">
        <v>360</v>
      </c>
      <c r="K211" s="13">
        <v>1000</v>
      </c>
      <c r="L211" s="13"/>
      <c r="M211" s="85">
        <v>100150</v>
      </c>
    </row>
    <row r="212" spans="1:17" ht="15" customHeight="1">
      <c r="H212" s="89">
        <v>45657</v>
      </c>
      <c r="I212" s="13"/>
      <c r="J212" s="14" t="s">
        <v>360</v>
      </c>
      <c r="K212" s="13">
        <v>50</v>
      </c>
      <c r="L212" s="13"/>
      <c r="M212" s="68">
        <v>100120</v>
      </c>
    </row>
    <row r="213" spans="1:17" ht="15" customHeight="1">
      <c r="A213" s="256" t="s">
        <v>389</v>
      </c>
      <c r="B213" s="251"/>
      <c r="C213" s="251"/>
      <c r="D213" s="251"/>
      <c r="E213" s="251"/>
      <c r="F213" s="251"/>
    </row>
    <row r="214" spans="1:17" ht="15" customHeight="1">
      <c r="A214" s="41" t="s">
        <v>148</v>
      </c>
      <c r="B214" s="42" t="s">
        <v>356</v>
      </c>
      <c r="C214" s="43" t="s">
        <v>359</v>
      </c>
      <c r="D214" s="42" t="s">
        <v>151</v>
      </c>
      <c r="E214" s="42" t="s">
        <v>152</v>
      </c>
      <c r="F214" s="44" t="s">
        <v>358</v>
      </c>
      <c r="H214" s="256" t="s">
        <v>365</v>
      </c>
      <c r="I214" s="251"/>
      <c r="J214" s="251"/>
      <c r="K214" s="251"/>
      <c r="L214" s="251"/>
      <c r="M214" s="251"/>
    </row>
    <row r="215" spans="1:17" ht="15" customHeight="1">
      <c r="A215" s="29">
        <v>2023</v>
      </c>
      <c r="B215" s="13"/>
      <c r="C215" s="13"/>
      <c r="D215" s="13"/>
      <c r="E215" s="13"/>
      <c r="F215" s="45"/>
      <c r="H215" s="41" t="s">
        <v>148</v>
      </c>
      <c r="I215" s="42" t="s">
        <v>356</v>
      </c>
      <c r="J215" s="43" t="s">
        <v>359</v>
      </c>
      <c r="K215" s="42" t="s">
        <v>151</v>
      </c>
      <c r="L215" s="42" t="s">
        <v>152</v>
      </c>
      <c r="M215" s="44" t="s">
        <v>358</v>
      </c>
    </row>
    <row r="216" spans="1:17" ht="15" customHeight="1">
      <c r="A216" s="34" t="str">
        <f>CONCATENATE("June.","                 ","4")</f>
        <v>June.                 4</v>
      </c>
      <c r="B216" s="13"/>
      <c r="C216" s="14" t="s">
        <v>360</v>
      </c>
      <c r="D216" s="57">
        <v>2700</v>
      </c>
      <c r="E216" s="57"/>
      <c r="F216" s="58">
        <v>2700</v>
      </c>
      <c r="H216" s="29">
        <v>2023</v>
      </c>
      <c r="I216" s="13"/>
      <c r="J216" s="13"/>
      <c r="K216" s="13"/>
      <c r="L216" s="13"/>
      <c r="M216" s="45"/>
      <c r="O216" s="269"/>
      <c r="P216" s="269"/>
    </row>
    <row r="217" spans="1:17">
      <c r="A217" s="34" t="str">
        <f>CONCATENATE("Aug.","                ","12")</f>
        <v>Aug.                12</v>
      </c>
      <c r="B217" s="13"/>
      <c r="C217" s="14" t="s">
        <v>360</v>
      </c>
      <c r="D217" s="57">
        <v>3200</v>
      </c>
      <c r="E217" s="57"/>
      <c r="F217" s="90">
        <v>5900</v>
      </c>
      <c r="H217" s="34" t="str">
        <f>CONCATENATE("Jan.","                  ","3")</f>
        <v>Jan.                  3</v>
      </c>
      <c r="I217" s="13"/>
      <c r="J217" s="14" t="s">
        <v>360</v>
      </c>
      <c r="K217" s="57"/>
      <c r="L217" s="57">
        <v>5000</v>
      </c>
      <c r="M217" s="58">
        <v>5000</v>
      </c>
      <c r="P217" s="58"/>
      <c r="Q217" s="58"/>
    </row>
    <row r="218" spans="1:17" ht="15" customHeight="1">
      <c r="H218" s="34" t="str">
        <f>CONCATENATE("Jan.","                  ","8")</f>
        <v>Jan.                  8</v>
      </c>
      <c r="I218" s="13"/>
      <c r="J218" s="14" t="s">
        <v>360</v>
      </c>
      <c r="K218" s="57"/>
      <c r="L218" s="57">
        <v>50000</v>
      </c>
      <c r="M218" s="58">
        <v>55000</v>
      </c>
      <c r="P218" s="58"/>
    </row>
    <row r="219" spans="1:17" ht="15" customHeight="1">
      <c r="A219" s="256" t="s">
        <v>391</v>
      </c>
      <c r="B219" s="251"/>
      <c r="C219" s="251"/>
      <c r="D219" s="251"/>
      <c r="E219" s="251"/>
      <c r="F219" s="251"/>
      <c r="H219" s="36">
        <v>15</v>
      </c>
      <c r="I219" s="13"/>
      <c r="J219" s="14" t="s">
        <v>360</v>
      </c>
      <c r="K219" s="57">
        <v>2000</v>
      </c>
      <c r="L219" s="57"/>
      <c r="M219" s="58">
        <v>53000</v>
      </c>
      <c r="P219" s="58"/>
    </row>
    <row r="220" spans="1:17" ht="15" customHeight="1">
      <c r="A220" s="41" t="s">
        <v>148</v>
      </c>
      <c r="B220" s="42" t="s">
        <v>356</v>
      </c>
      <c r="C220" s="43" t="s">
        <v>359</v>
      </c>
      <c r="D220" s="42" t="s">
        <v>151</v>
      </c>
      <c r="E220" s="42" t="s">
        <v>152</v>
      </c>
      <c r="F220" s="44" t="s">
        <v>358</v>
      </c>
      <c r="H220" s="48">
        <v>25</v>
      </c>
      <c r="I220" s="49"/>
      <c r="J220" s="14" t="s">
        <v>360</v>
      </c>
      <c r="K220" s="92"/>
      <c r="L220" s="92">
        <v>60000</v>
      </c>
      <c r="M220" s="58">
        <v>113000</v>
      </c>
      <c r="P220" s="58"/>
    </row>
    <row r="221" spans="1:17" ht="15" customHeight="1">
      <c r="A221" s="29">
        <v>2023</v>
      </c>
      <c r="B221" s="13"/>
      <c r="C221" s="13"/>
      <c r="D221" s="57"/>
      <c r="E221" s="57"/>
      <c r="F221" s="68"/>
      <c r="H221" s="51" t="str">
        <f>CONCATENATE("Feb.","               ","12")</f>
        <v>Feb.               12</v>
      </c>
      <c r="I221" s="49"/>
      <c r="J221" s="14" t="s">
        <v>360</v>
      </c>
      <c r="K221" s="92"/>
      <c r="L221" s="92">
        <v>2000</v>
      </c>
      <c r="M221" s="58">
        <v>115000</v>
      </c>
      <c r="P221" s="58"/>
    </row>
    <row r="222" spans="1:17">
      <c r="A222" s="34" t="str">
        <f>CONCATENATE("Jan.","                 ","12")</f>
        <v>Jan.                 12</v>
      </c>
      <c r="B222" s="13"/>
      <c r="C222" s="14" t="s">
        <v>360</v>
      </c>
      <c r="D222" s="57">
        <v>12000</v>
      </c>
      <c r="E222" s="57"/>
      <c r="F222" s="90">
        <v>12000</v>
      </c>
      <c r="H222" s="52">
        <v>20</v>
      </c>
      <c r="I222" s="49"/>
      <c r="J222" s="14" t="s">
        <v>360</v>
      </c>
      <c r="K222" s="92"/>
      <c r="L222" s="92">
        <v>600</v>
      </c>
      <c r="M222" s="58">
        <v>115600</v>
      </c>
      <c r="P222" s="58"/>
    </row>
    <row r="223" spans="1:17" ht="15" customHeight="1">
      <c r="H223" s="52">
        <v>23</v>
      </c>
      <c r="I223" s="49"/>
      <c r="J223" s="14" t="s">
        <v>360</v>
      </c>
      <c r="K223" s="92">
        <v>500</v>
      </c>
      <c r="L223" s="92"/>
      <c r="M223" s="58">
        <v>115100</v>
      </c>
      <c r="P223" s="58"/>
    </row>
    <row r="224" spans="1:17" ht="15" customHeight="1">
      <c r="A224" s="256" t="s">
        <v>393</v>
      </c>
      <c r="B224" s="251"/>
      <c r="C224" s="251"/>
      <c r="D224" s="251"/>
      <c r="E224" s="251"/>
      <c r="F224" s="251"/>
      <c r="H224" s="52">
        <v>26</v>
      </c>
      <c r="I224" s="49"/>
      <c r="J224" s="14" t="s">
        <v>360</v>
      </c>
      <c r="K224" s="92">
        <v>1000</v>
      </c>
      <c r="L224" s="92"/>
      <c r="M224" s="58">
        <v>114100</v>
      </c>
      <c r="P224" s="58"/>
    </row>
    <row r="225" spans="1:17" ht="15" customHeight="1">
      <c r="A225" s="41" t="s">
        <v>148</v>
      </c>
      <c r="B225" s="42" t="s">
        <v>356</v>
      </c>
      <c r="C225" s="43" t="s">
        <v>359</v>
      </c>
      <c r="D225" s="42" t="s">
        <v>151</v>
      </c>
      <c r="E225" s="42" t="s">
        <v>152</v>
      </c>
      <c r="F225" s="44" t="s">
        <v>358</v>
      </c>
      <c r="H225" s="51" t="str">
        <f>CONCATENATE("Mar.","                ","5")</f>
        <v>Mar.                5</v>
      </c>
      <c r="I225" s="49"/>
      <c r="J225" s="14" t="s">
        <v>360</v>
      </c>
      <c r="K225" s="92"/>
      <c r="L225" s="92">
        <v>7000</v>
      </c>
      <c r="M225" s="58">
        <v>121100</v>
      </c>
      <c r="P225" s="58"/>
    </row>
    <row r="226" spans="1:17" ht="15" customHeight="1">
      <c r="A226" s="29">
        <v>2023</v>
      </c>
      <c r="B226" s="13"/>
      <c r="C226" s="13"/>
      <c r="D226" s="57"/>
      <c r="E226" s="57"/>
      <c r="F226" s="68"/>
      <c r="H226" s="52">
        <v>31</v>
      </c>
      <c r="I226" s="49"/>
      <c r="J226" s="14" t="s">
        <v>360</v>
      </c>
      <c r="K226" s="92">
        <v>3000</v>
      </c>
      <c r="L226" s="92"/>
      <c r="M226" s="58">
        <v>118100</v>
      </c>
      <c r="P226" s="58"/>
    </row>
    <row r="227" spans="1:17">
      <c r="A227" s="34" t="str">
        <f>CONCATENATE("Feb.","                ","12")</f>
        <v>Feb.                12</v>
      </c>
      <c r="B227" s="13"/>
      <c r="C227" s="14" t="s">
        <v>360</v>
      </c>
      <c r="D227" s="57">
        <v>4500</v>
      </c>
      <c r="E227" s="57"/>
      <c r="F227" s="90">
        <v>4500</v>
      </c>
      <c r="H227" s="51" t="str">
        <f>CONCATENATE("Apr.","               ","12")</f>
        <v>Apr.               12</v>
      </c>
      <c r="I227" s="49"/>
      <c r="J227" s="14" t="s">
        <v>360</v>
      </c>
      <c r="K227" s="92"/>
      <c r="L227" s="92">
        <v>4500</v>
      </c>
      <c r="M227" s="58">
        <v>122600</v>
      </c>
      <c r="P227" s="58"/>
    </row>
    <row r="228" spans="1:17" ht="15" customHeight="1">
      <c r="H228" s="52">
        <v>16</v>
      </c>
      <c r="I228" s="49"/>
      <c r="J228" s="14" t="s">
        <v>360</v>
      </c>
      <c r="K228" s="92">
        <v>700</v>
      </c>
      <c r="L228" s="92"/>
      <c r="M228" s="58">
        <v>121900</v>
      </c>
      <c r="P228" s="90"/>
      <c r="Q228" s="32"/>
    </row>
    <row r="229" spans="1:17" ht="15" customHeight="1">
      <c r="A229" s="256" t="s">
        <v>395</v>
      </c>
      <c r="B229" s="251"/>
      <c r="C229" s="251"/>
      <c r="D229" s="251"/>
      <c r="E229" s="251"/>
      <c r="F229" s="251"/>
      <c r="H229" s="52">
        <v>30</v>
      </c>
      <c r="I229" s="49"/>
      <c r="J229" s="14" t="s">
        <v>360</v>
      </c>
      <c r="K229" s="92">
        <v>2000</v>
      </c>
      <c r="L229" s="92"/>
      <c r="M229" s="58">
        <v>119900</v>
      </c>
    </row>
    <row r="230" spans="1:17" ht="15" customHeight="1">
      <c r="A230" s="41" t="s">
        <v>148</v>
      </c>
      <c r="B230" s="42" t="s">
        <v>356</v>
      </c>
      <c r="C230" s="43" t="s">
        <v>359</v>
      </c>
      <c r="D230" s="42" t="s">
        <v>151</v>
      </c>
      <c r="E230" s="42" t="s">
        <v>152</v>
      </c>
      <c r="F230" s="44" t="s">
        <v>358</v>
      </c>
      <c r="H230" s="51" t="str">
        <f>CONCATENATE("May.","                ","4")</f>
        <v>May.                4</v>
      </c>
      <c r="I230" s="49"/>
      <c r="J230" s="14" t="s">
        <v>360</v>
      </c>
      <c r="K230" s="92"/>
      <c r="L230" s="92">
        <v>3200</v>
      </c>
      <c r="M230" s="58">
        <v>123100</v>
      </c>
    </row>
    <row r="231" spans="1:17" ht="15" customHeight="1">
      <c r="A231" s="29">
        <v>2023</v>
      </c>
      <c r="B231" s="13"/>
      <c r="C231" s="13"/>
      <c r="D231" s="57"/>
      <c r="E231" s="57"/>
      <c r="F231" s="68"/>
      <c r="H231" s="48">
        <v>21</v>
      </c>
      <c r="I231" s="49"/>
      <c r="J231" s="14" t="s">
        <v>360</v>
      </c>
      <c r="K231" s="92"/>
      <c r="L231" s="92">
        <v>2500</v>
      </c>
      <c r="M231" s="58">
        <v>125600</v>
      </c>
    </row>
    <row r="232" spans="1:17">
      <c r="A232" s="34" t="str">
        <f>CONCATENATE("Feb.","                ","20")</f>
        <v>Feb.                20</v>
      </c>
      <c r="B232" s="13"/>
      <c r="C232" s="14" t="s">
        <v>360</v>
      </c>
      <c r="D232" s="57">
        <v>1200</v>
      </c>
      <c r="E232" s="57"/>
      <c r="F232" s="90">
        <v>1200</v>
      </c>
      <c r="H232" s="48">
        <v>25</v>
      </c>
      <c r="I232" s="49"/>
      <c r="J232" s="14" t="s">
        <v>360</v>
      </c>
      <c r="K232" s="92">
        <v>200</v>
      </c>
      <c r="L232" s="92"/>
      <c r="M232" s="58">
        <v>125400</v>
      </c>
    </row>
    <row r="233" spans="1:17" ht="15" customHeight="1">
      <c r="H233" s="51" t="str">
        <f>CONCATENATE("June.","               ","4")</f>
        <v>June.               4</v>
      </c>
      <c r="I233" s="49"/>
      <c r="J233" s="14" t="s">
        <v>360</v>
      </c>
      <c r="K233" s="92"/>
      <c r="L233" s="92">
        <v>2700</v>
      </c>
      <c r="M233" s="58">
        <v>128100</v>
      </c>
    </row>
    <row r="234" spans="1:17" ht="15" customHeight="1">
      <c r="H234" s="48">
        <v>25</v>
      </c>
      <c r="I234" s="49"/>
      <c r="J234" s="14" t="s">
        <v>360</v>
      </c>
      <c r="K234" s="92">
        <v>2500</v>
      </c>
      <c r="L234" s="92"/>
      <c r="M234" s="58">
        <v>125600</v>
      </c>
    </row>
    <row r="235" spans="1:17" ht="15" customHeight="1">
      <c r="A235" s="256" t="s">
        <v>354</v>
      </c>
      <c r="B235" s="251"/>
      <c r="C235" s="251"/>
      <c r="D235" s="251"/>
      <c r="E235" s="251"/>
      <c r="F235" s="251"/>
      <c r="H235" s="51" t="str">
        <f>CONCATENATE("July.","                 ","2")</f>
        <v>July.                 2</v>
      </c>
      <c r="I235" s="49"/>
      <c r="J235" s="14" t="s">
        <v>360</v>
      </c>
      <c r="K235" s="92"/>
      <c r="L235" s="92">
        <v>5000</v>
      </c>
      <c r="M235" s="58">
        <v>130600</v>
      </c>
    </row>
    <row r="236" spans="1:17" ht="15" customHeight="1">
      <c r="A236" s="41" t="s">
        <v>148</v>
      </c>
      <c r="B236" s="42" t="s">
        <v>356</v>
      </c>
      <c r="C236" s="43" t="s">
        <v>359</v>
      </c>
      <c r="D236" s="42" t="s">
        <v>151</v>
      </c>
      <c r="E236" s="42" t="s">
        <v>152</v>
      </c>
      <c r="F236" s="44" t="s">
        <v>358</v>
      </c>
      <c r="H236" s="48">
        <v>20</v>
      </c>
      <c r="I236" s="49"/>
      <c r="J236" s="14" t="s">
        <v>360</v>
      </c>
      <c r="K236" s="92"/>
      <c r="L236" s="92">
        <v>1500</v>
      </c>
      <c r="M236" s="58">
        <v>132100</v>
      </c>
    </row>
    <row r="237" spans="1:17" ht="15" customHeight="1">
      <c r="A237" s="29">
        <v>2023</v>
      </c>
      <c r="B237" s="13"/>
      <c r="C237" s="13"/>
      <c r="D237" s="13"/>
      <c r="E237" s="13"/>
      <c r="F237" s="32"/>
      <c r="H237" s="48">
        <v>25</v>
      </c>
      <c r="I237" s="49"/>
      <c r="J237" s="14" t="s">
        <v>360</v>
      </c>
      <c r="K237" s="92">
        <v>1000</v>
      </c>
      <c r="L237" s="92"/>
      <c r="M237" s="58">
        <v>131100</v>
      </c>
    </row>
    <row r="238" spans="1:17">
      <c r="A238" s="34" t="str">
        <f>CONCATENATE("June.","              ","13")</f>
        <v>June.              13</v>
      </c>
      <c r="B238" s="13"/>
      <c r="C238" s="14" t="s">
        <v>360</v>
      </c>
      <c r="D238" s="57">
        <v>1000</v>
      </c>
      <c r="E238" s="13"/>
      <c r="F238" s="90">
        <v>1000</v>
      </c>
      <c r="H238" s="48">
        <v>27</v>
      </c>
      <c r="I238" s="49"/>
      <c r="J238" s="14" t="s">
        <v>360</v>
      </c>
      <c r="K238" s="92">
        <v>300</v>
      </c>
      <c r="L238" s="92"/>
      <c r="M238" s="58">
        <v>130800</v>
      </c>
    </row>
    <row r="239" spans="1:17" ht="15" customHeight="1">
      <c r="H239" s="51" t="str">
        <f>CONCATENATE("Aug.","              ","12")</f>
        <v>Aug.              12</v>
      </c>
      <c r="I239" s="49"/>
      <c r="J239" s="14" t="s">
        <v>360</v>
      </c>
      <c r="K239" s="92"/>
      <c r="L239" s="92">
        <v>3200</v>
      </c>
      <c r="M239" s="58">
        <v>134000</v>
      </c>
    </row>
    <row r="240" spans="1:17" ht="15" customHeight="1">
      <c r="A240" s="256" t="s">
        <v>361</v>
      </c>
      <c r="B240" s="251"/>
      <c r="C240" s="251"/>
      <c r="D240" s="251"/>
      <c r="E240" s="251"/>
      <c r="F240" s="251"/>
      <c r="H240" s="52">
        <v>27</v>
      </c>
      <c r="I240" s="49"/>
      <c r="J240" s="14" t="s">
        <v>360</v>
      </c>
      <c r="K240" s="92">
        <v>1500</v>
      </c>
      <c r="L240" s="92"/>
      <c r="M240" s="58">
        <v>132500</v>
      </c>
    </row>
    <row r="241" spans="1:13" ht="15" customHeight="1">
      <c r="A241" s="41" t="s">
        <v>148</v>
      </c>
      <c r="B241" s="42" t="s">
        <v>356</v>
      </c>
      <c r="C241" s="43" t="s">
        <v>359</v>
      </c>
      <c r="D241" s="42" t="s">
        <v>151</v>
      </c>
      <c r="E241" s="42" t="s">
        <v>152</v>
      </c>
      <c r="F241" s="44" t="s">
        <v>358</v>
      </c>
      <c r="H241" s="51" t="str">
        <f>CONCATENATE("Sep.","                 ","3")</f>
        <v>Sep.                 3</v>
      </c>
      <c r="I241" s="49"/>
      <c r="J241" s="14" t="s">
        <v>360</v>
      </c>
      <c r="K241" s="92"/>
      <c r="L241" s="92">
        <v>6000</v>
      </c>
      <c r="M241" s="58">
        <v>138500</v>
      </c>
    </row>
    <row r="242" spans="1:13" ht="15" customHeight="1">
      <c r="A242" s="29">
        <v>2023</v>
      </c>
      <c r="B242" s="13"/>
      <c r="C242" s="13"/>
      <c r="D242" s="13"/>
      <c r="E242" s="13"/>
      <c r="F242" s="32"/>
      <c r="H242" s="52">
        <v>18</v>
      </c>
      <c r="I242" s="49"/>
      <c r="J242" s="14" t="s">
        <v>360</v>
      </c>
      <c r="K242" s="92">
        <v>1000</v>
      </c>
      <c r="L242" s="92"/>
      <c r="M242" s="58">
        <v>137500</v>
      </c>
    </row>
    <row r="243" spans="1:13">
      <c r="A243" s="34" t="str">
        <f>CONCATENATE("July.","              ","20")</f>
        <v>July.              20</v>
      </c>
      <c r="B243" s="13"/>
      <c r="C243" s="14" t="s">
        <v>360</v>
      </c>
      <c r="D243" s="57">
        <v>3500</v>
      </c>
      <c r="E243" s="13"/>
      <c r="F243" s="90">
        <v>3500</v>
      </c>
      <c r="H243" s="52">
        <v>22</v>
      </c>
      <c r="I243" s="49"/>
      <c r="J243" s="14" t="s">
        <v>360</v>
      </c>
      <c r="K243" s="92">
        <v>5000</v>
      </c>
      <c r="L243" s="92"/>
      <c r="M243" s="58">
        <v>132500</v>
      </c>
    </row>
    <row r="244" spans="1:13" ht="15" customHeight="1">
      <c r="H244" s="51" t="str">
        <f>CONCATENATE("Oct.","                  ","5")</f>
        <v>Oct.                  5</v>
      </c>
      <c r="I244" s="49"/>
      <c r="J244" s="14" t="s">
        <v>360</v>
      </c>
      <c r="K244" s="92"/>
      <c r="L244" s="92">
        <v>4000</v>
      </c>
      <c r="M244" s="58">
        <v>136500</v>
      </c>
    </row>
    <row r="245" spans="1:13" ht="15" customHeight="1">
      <c r="A245" s="256" t="s">
        <v>362</v>
      </c>
      <c r="B245" s="251"/>
      <c r="C245" s="251"/>
      <c r="D245" s="251"/>
      <c r="E245" s="251"/>
      <c r="F245" s="251"/>
      <c r="H245" s="52">
        <v>20</v>
      </c>
      <c r="I245" s="49"/>
      <c r="J245" s="14" t="s">
        <v>360</v>
      </c>
      <c r="K245" s="92">
        <v>500</v>
      </c>
      <c r="L245" s="92"/>
      <c r="M245" s="58">
        <v>136000</v>
      </c>
    </row>
    <row r="246" spans="1:13" ht="15" customHeight="1">
      <c r="A246" s="41" t="s">
        <v>148</v>
      </c>
      <c r="B246" s="42" t="s">
        <v>356</v>
      </c>
      <c r="C246" s="43" t="s">
        <v>359</v>
      </c>
      <c r="D246" s="42" t="s">
        <v>151</v>
      </c>
      <c r="E246" s="42" t="s">
        <v>152</v>
      </c>
      <c r="F246" s="44" t="s">
        <v>358</v>
      </c>
      <c r="H246" s="52">
        <v>31</v>
      </c>
      <c r="I246" s="49"/>
      <c r="J246" s="14" t="s">
        <v>360</v>
      </c>
      <c r="K246" s="92">
        <v>3500</v>
      </c>
      <c r="L246" s="92"/>
      <c r="M246" s="58">
        <v>132500</v>
      </c>
    </row>
    <row r="247" spans="1:13" ht="15" customHeight="1">
      <c r="A247" s="29">
        <v>2023</v>
      </c>
      <c r="B247" s="13"/>
      <c r="C247" s="13"/>
      <c r="D247" s="13"/>
      <c r="E247" s="13"/>
      <c r="F247" s="32"/>
      <c r="H247" s="51" t="str">
        <f>CONCATENATE("Nov.","                ","5")</f>
        <v>Nov.                5</v>
      </c>
      <c r="I247" s="49"/>
      <c r="J247" s="14" t="s">
        <v>360</v>
      </c>
      <c r="K247" s="92"/>
      <c r="L247" s="92">
        <v>3500</v>
      </c>
      <c r="M247" s="58">
        <v>136000</v>
      </c>
    </row>
    <row r="248" spans="1:13">
      <c r="A248" s="34" t="str">
        <f>CONCATENATE("Sep.","              ","25")</f>
        <v>Sep.              25</v>
      </c>
      <c r="B248" s="13"/>
      <c r="C248" s="14" t="s">
        <v>360</v>
      </c>
      <c r="D248" s="57">
        <v>2500</v>
      </c>
      <c r="E248" s="13"/>
      <c r="F248" s="90">
        <v>2500</v>
      </c>
      <c r="H248" s="52">
        <v>18</v>
      </c>
      <c r="I248" s="49"/>
      <c r="J248" s="14" t="s">
        <v>360</v>
      </c>
      <c r="K248" s="92">
        <v>500</v>
      </c>
      <c r="L248" s="92"/>
      <c r="M248" s="58">
        <v>135500</v>
      </c>
    </row>
    <row r="249" spans="1:13" ht="15" customHeight="1">
      <c r="H249" s="52">
        <v>22</v>
      </c>
      <c r="I249" s="49"/>
      <c r="J249" s="14" t="s">
        <v>360</v>
      </c>
      <c r="K249" s="92">
        <v>1500</v>
      </c>
      <c r="L249" s="92"/>
      <c r="M249" s="58">
        <v>134000</v>
      </c>
    </row>
    <row r="250" spans="1:13" ht="15" customHeight="1">
      <c r="A250" s="256" t="s">
        <v>363</v>
      </c>
      <c r="B250" s="251"/>
      <c r="C250" s="251"/>
      <c r="D250" s="251"/>
      <c r="E250" s="251"/>
      <c r="F250" s="251"/>
      <c r="H250" s="52">
        <v>30</v>
      </c>
      <c r="I250" s="49"/>
      <c r="J250" s="14" t="s">
        <v>360</v>
      </c>
      <c r="K250" s="92">
        <v>2500</v>
      </c>
      <c r="L250" s="92"/>
      <c r="M250" s="58">
        <v>131500</v>
      </c>
    </row>
    <row r="251" spans="1:13" ht="15" customHeight="1">
      <c r="A251" s="41" t="s">
        <v>148</v>
      </c>
      <c r="B251" s="42" t="s">
        <v>356</v>
      </c>
      <c r="C251" s="43" t="s">
        <v>359</v>
      </c>
      <c r="D251" s="42" t="s">
        <v>151</v>
      </c>
      <c r="E251" s="42" t="s">
        <v>152</v>
      </c>
      <c r="F251" s="44" t="s">
        <v>358</v>
      </c>
      <c r="H251" s="51" t="str">
        <f>CONCATENATE("Dec.","                ","4")</f>
        <v>Dec.                4</v>
      </c>
      <c r="I251" s="49"/>
      <c r="J251" s="14" t="s">
        <v>360</v>
      </c>
      <c r="K251" s="92"/>
      <c r="L251" s="92">
        <v>4000</v>
      </c>
      <c r="M251" s="58">
        <v>135500</v>
      </c>
    </row>
    <row r="252" spans="1:13" ht="15" customHeight="1">
      <c r="A252" s="29">
        <v>2023</v>
      </c>
      <c r="B252" s="13"/>
      <c r="C252" s="13"/>
      <c r="D252" s="13"/>
      <c r="E252" s="13"/>
      <c r="F252" s="45"/>
      <c r="H252" s="52">
        <v>22</v>
      </c>
      <c r="I252" s="49"/>
      <c r="J252" s="14" t="s">
        <v>360</v>
      </c>
      <c r="K252" s="92">
        <v>400</v>
      </c>
      <c r="L252" s="92"/>
      <c r="M252" s="90">
        <v>135100</v>
      </c>
    </row>
    <row r="253" spans="1:13" ht="15" customHeight="1">
      <c r="A253" s="34" t="str">
        <f>CONCATENATE("Dec.","                 ","4")</f>
        <v>Dec.                 4</v>
      </c>
      <c r="B253" s="13"/>
      <c r="C253" s="14" t="s">
        <v>360</v>
      </c>
      <c r="D253" s="57">
        <v>4000</v>
      </c>
      <c r="E253" s="57"/>
      <c r="F253" s="58">
        <v>4000</v>
      </c>
    </row>
    <row r="254" spans="1:13" ht="20.25">
      <c r="A254" s="36">
        <v>22</v>
      </c>
      <c r="B254" s="13"/>
      <c r="C254" s="14" t="s">
        <v>360</v>
      </c>
      <c r="D254" s="57"/>
      <c r="E254" s="57">
        <v>400</v>
      </c>
      <c r="F254" s="90">
        <v>3600</v>
      </c>
      <c r="H254" s="256" t="s">
        <v>366</v>
      </c>
      <c r="I254" s="251"/>
      <c r="J254" s="251"/>
      <c r="K254" s="251"/>
      <c r="L254" s="251"/>
      <c r="M254" s="251"/>
    </row>
    <row r="255" spans="1:13" ht="15" customHeight="1">
      <c r="H255" s="41" t="s">
        <v>148</v>
      </c>
      <c r="I255" s="42" t="s">
        <v>356</v>
      </c>
      <c r="J255" s="43" t="s">
        <v>359</v>
      </c>
      <c r="K255" s="42" t="s">
        <v>151</v>
      </c>
      <c r="L255" s="42" t="s">
        <v>152</v>
      </c>
      <c r="M255" s="44" t="s">
        <v>358</v>
      </c>
    </row>
    <row r="256" spans="1:13" ht="15" customHeight="1">
      <c r="A256" s="256" t="s">
        <v>364</v>
      </c>
      <c r="B256" s="251"/>
      <c r="C256" s="251"/>
      <c r="D256" s="251"/>
      <c r="E256" s="251"/>
      <c r="F256" s="251"/>
      <c r="H256" s="29">
        <v>2023</v>
      </c>
      <c r="I256" s="13"/>
      <c r="J256" s="13"/>
      <c r="K256" s="13"/>
      <c r="L256" s="13"/>
      <c r="M256" s="45"/>
    </row>
    <row r="257" spans="1:13" ht="15" customHeight="1">
      <c r="A257" s="41" t="s">
        <v>148</v>
      </c>
      <c r="B257" s="42" t="s">
        <v>356</v>
      </c>
      <c r="C257" s="43" t="s">
        <v>359</v>
      </c>
      <c r="D257" s="42" t="s">
        <v>151</v>
      </c>
      <c r="E257" s="42" t="s">
        <v>152</v>
      </c>
      <c r="F257" s="44" t="s">
        <v>358</v>
      </c>
      <c r="H257" s="34" t="str">
        <f>CONCATENATE("Jan.","                 ","1")</f>
        <v>Jan.                 1</v>
      </c>
      <c r="I257" s="13"/>
      <c r="J257" s="14" t="s">
        <v>360</v>
      </c>
      <c r="K257" s="13"/>
      <c r="L257" s="57">
        <v>150000</v>
      </c>
      <c r="M257" s="90">
        <v>150000</v>
      </c>
    </row>
    <row r="258" spans="1:13" ht="15" customHeight="1">
      <c r="A258" s="29">
        <v>2023</v>
      </c>
      <c r="B258" s="13"/>
      <c r="C258" s="13"/>
      <c r="D258" s="13"/>
      <c r="E258" s="13"/>
      <c r="F258" s="45"/>
    </row>
    <row r="259" spans="1:13" ht="15" customHeight="1">
      <c r="A259" s="34" t="str">
        <f>CONCATENATE("Jan.","                 ","12")</f>
        <v>Jan.                 12</v>
      </c>
      <c r="B259" s="13"/>
      <c r="C259" s="14" t="s">
        <v>360</v>
      </c>
      <c r="D259" s="57"/>
      <c r="E259" s="57">
        <v>7000</v>
      </c>
      <c r="F259" s="58">
        <v>7000</v>
      </c>
      <c r="H259" s="256" t="s">
        <v>367</v>
      </c>
      <c r="I259" s="251"/>
      <c r="J259" s="251"/>
      <c r="K259" s="251"/>
      <c r="L259" s="251"/>
      <c r="M259" s="251"/>
    </row>
    <row r="260" spans="1:13" ht="15" customHeight="1">
      <c r="A260" s="34" t="str">
        <f>CONCATENATE("Mar.","               ","24")</f>
        <v>Mar.               24</v>
      </c>
      <c r="B260" s="13"/>
      <c r="C260" s="14" t="s">
        <v>360</v>
      </c>
      <c r="D260" s="57">
        <v>6000</v>
      </c>
      <c r="E260" s="57"/>
      <c r="F260" s="90">
        <v>1000</v>
      </c>
      <c r="H260" s="41" t="s">
        <v>148</v>
      </c>
      <c r="I260" s="42" t="s">
        <v>356</v>
      </c>
      <c r="J260" s="43" t="s">
        <v>359</v>
      </c>
      <c r="K260" s="42" t="s">
        <v>151</v>
      </c>
      <c r="L260" s="42" t="s">
        <v>152</v>
      </c>
      <c r="M260" s="44" t="s">
        <v>358</v>
      </c>
    </row>
    <row r="261" spans="1:13" ht="15" customHeight="1">
      <c r="H261" s="29">
        <v>2023</v>
      </c>
      <c r="I261" s="13"/>
      <c r="J261" s="13"/>
      <c r="K261" s="13"/>
      <c r="L261" s="13"/>
      <c r="M261" s="45"/>
    </row>
    <row r="262" spans="1:13" ht="15" customHeight="1">
      <c r="A262" s="256" t="s">
        <v>436</v>
      </c>
      <c r="B262" s="251"/>
      <c r="C262" s="251"/>
      <c r="D262" s="251"/>
      <c r="E262" s="251"/>
      <c r="F262" s="251"/>
      <c r="H262" s="34" t="str">
        <f>CONCATENATE("Jan.","               ","30")</f>
        <v>Jan.               30</v>
      </c>
      <c r="I262" s="13"/>
      <c r="J262" s="14" t="s">
        <v>360</v>
      </c>
      <c r="K262" s="57">
        <v>1000</v>
      </c>
      <c r="L262" s="57"/>
      <c r="M262" s="58">
        <v>1000</v>
      </c>
    </row>
    <row r="263" spans="1:13" ht="15" customHeight="1">
      <c r="A263" s="41" t="s">
        <v>148</v>
      </c>
      <c r="B263" s="42" t="s">
        <v>356</v>
      </c>
      <c r="C263" s="43" t="s">
        <v>359</v>
      </c>
      <c r="D263" s="42" t="s">
        <v>151</v>
      </c>
      <c r="E263" s="42" t="s">
        <v>152</v>
      </c>
      <c r="F263" s="44" t="s">
        <v>358</v>
      </c>
      <c r="H263" s="34" t="str">
        <f>CONCATENATE("Apr.","                ","23")</f>
        <v>Apr.                23</v>
      </c>
      <c r="I263" s="13"/>
      <c r="J263" s="14" t="s">
        <v>360</v>
      </c>
      <c r="K263" s="57">
        <v>1200</v>
      </c>
      <c r="L263" s="57"/>
      <c r="M263" s="85">
        <v>2200</v>
      </c>
    </row>
    <row r="264" spans="1:13" ht="15" customHeight="1">
      <c r="A264" s="29">
        <v>2023</v>
      </c>
      <c r="B264" s="13"/>
      <c r="C264" s="13"/>
      <c r="D264" s="13"/>
      <c r="E264" s="13"/>
      <c r="F264" s="45"/>
      <c r="H264" s="34" t="str">
        <f>CONCATENATE("May.","               ","28")</f>
        <v>May.               28</v>
      </c>
      <c r="I264" s="13"/>
      <c r="J264" s="14" t="s">
        <v>360</v>
      </c>
      <c r="K264" s="57">
        <v>1000</v>
      </c>
      <c r="L264" s="57"/>
      <c r="M264" s="85">
        <v>3200</v>
      </c>
    </row>
    <row r="265" spans="1:13" ht="15" customHeight="1">
      <c r="A265" s="34" t="str">
        <f>CONCATENATE("Dec.","            ","31")</f>
        <v>Dec.            31</v>
      </c>
      <c r="B265" s="13"/>
      <c r="C265" s="14" t="s">
        <v>360</v>
      </c>
      <c r="D265" s="57"/>
      <c r="E265" s="57">
        <v>23</v>
      </c>
      <c r="F265" s="58">
        <v>23</v>
      </c>
      <c r="H265" s="34" t="str">
        <f>CONCATENATE("July.","               ","30")</f>
        <v>July.               30</v>
      </c>
      <c r="I265" s="13"/>
      <c r="J265" s="14" t="s">
        <v>360</v>
      </c>
      <c r="K265" s="57">
        <v>1200</v>
      </c>
      <c r="L265" s="57"/>
      <c r="M265" s="85">
        <v>4400</v>
      </c>
    </row>
    <row r="266" spans="1:13" ht="15" customHeight="1">
      <c r="A266" s="61"/>
      <c r="B266" s="62"/>
      <c r="C266" s="59"/>
      <c r="D266" s="86"/>
      <c r="E266" s="86"/>
      <c r="F266" s="87"/>
      <c r="H266" s="34" t="str">
        <f>CONCATENATE("Aug.","               ","30")</f>
        <v>Aug.               30</v>
      </c>
      <c r="I266" s="13"/>
      <c r="J266" s="14" t="s">
        <v>360</v>
      </c>
      <c r="K266" s="57">
        <v>1500</v>
      </c>
      <c r="L266" s="57"/>
      <c r="M266" s="85">
        <v>5900</v>
      </c>
    </row>
    <row r="267" spans="1:13" ht="15" customHeight="1">
      <c r="H267" s="34" t="str">
        <f>CONCATENATE("Oct.","               ","30")</f>
        <v>Oct.               30</v>
      </c>
      <c r="I267" s="13"/>
      <c r="J267" s="14" t="s">
        <v>360</v>
      </c>
      <c r="K267" s="57">
        <v>1200</v>
      </c>
      <c r="L267" s="57"/>
      <c r="M267" s="85">
        <v>7100</v>
      </c>
    </row>
    <row r="268" spans="1:13" ht="15" customHeight="1">
      <c r="H268" s="34" t="str">
        <f>CONCATENATE("Dec.","               ","30")</f>
        <v>Dec.               30</v>
      </c>
      <c r="I268" s="13"/>
      <c r="J268" s="14" t="s">
        <v>360</v>
      </c>
      <c r="K268" s="57">
        <v>2000</v>
      </c>
      <c r="L268" s="57"/>
      <c r="M268" s="90">
        <v>9100</v>
      </c>
    </row>
    <row r="270" spans="1:13" ht="15" customHeight="1">
      <c r="H270" s="256" t="s">
        <v>437</v>
      </c>
      <c r="I270" s="251"/>
      <c r="J270" s="251"/>
      <c r="K270" s="251"/>
      <c r="L270" s="251"/>
      <c r="M270" s="251"/>
    </row>
    <row r="271" spans="1:13" ht="15" customHeight="1">
      <c r="H271" s="41" t="s">
        <v>148</v>
      </c>
      <c r="I271" s="42" t="s">
        <v>356</v>
      </c>
      <c r="J271" s="43" t="s">
        <v>359</v>
      </c>
      <c r="K271" s="42" t="s">
        <v>151</v>
      </c>
      <c r="L271" s="42" t="s">
        <v>152</v>
      </c>
      <c r="M271" s="44" t="s">
        <v>358</v>
      </c>
    </row>
    <row r="272" spans="1:13" ht="15" customHeight="1">
      <c r="H272" s="29">
        <v>2023</v>
      </c>
      <c r="I272" s="13"/>
      <c r="J272" s="13"/>
      <c r="K272" s="13"/>
      <c r="L272" s="13"/>
      <c r="M272" s="45"/>
    </row>
    <row r="273" spans="8:13" ht="15" customHeight="1">
      <c r="H273" s="34" t="str">
        <f>CONCATENATE("Jan.","               ","12")</f>
        <v>Jan.               12</v>
      </c>
      <c r="I273" s="13"/>
      <c r="J273" s="14" t="s">
        <v>360</v>
      </c>
      <c r="K273" s="57"/>
      <c r="L273" s="57">
        <v>7000</v>
      </c>
      <c r="M273" s="58">
        <v>7000</v>
      </c>
    </row>
    <row r="274" spans="8:13" ht="15" customHeight="1">
      <c r="H274" s="34" t="str">
        <f>CONCATENATE("Mar.","               ","24")</f>
        <v>Mar.               24</v>
      </c>
      <c r="I274" s="13"/>
      <c r="J274" s="14" t="s">
        <v>360</v>
      </c>
      <c r="K274" s="57">
        <v>6000</v>
      </c>
      <c r="L274" s="57"/>
      <c r="M274" s="90">
        <v>1000</v>
      </c>
    </row>
    <row r="300" ht="14.25"/>
    <row r="305" ht="14.25"/>
    <row r="316" ht="14.25"/>
    <row r="338" ht="14.25"/>
    <row r="347" ht="14.25"/>
    <row r="354" ht="14.25"/>
    <row r="355" ht="14.25"/>
    <row r="356" ht="14.25"/>
    <row r="357" ht="14.25"/>
    <row r="359" ht="14.25"/>
    <row r="360" ht="14.25"/>
    <row r="361" ht="14.25"/>
    <row r="362" ht="14.25"/>
    <row r="363" ht="14.25"/>
    <row r="364" ht="14.25"/>
    <row r="365" ht="14.25"/>
    <row r="366" ht="14.25"/>
    <row r="367" ht="14.25"/>
    <row r="368" ht="14.25"/>
    <row r="369" ht="14.25"/>
    <row r="370" ht="14.25"/>
    <row r="371" ht="14.25"/>
    <row r="372" ht="14.25"/>
    <row r="373" ht="14.25"/>
    <row r="374" ht="14.25"/>
    <row r="375" ht="14.25"/>
    <row r="376" ht="14.25"/>
    <row r="377" ht="14.25"/>
    <row r="378" ht="14.25"/>
    <row r="379" ht="14.25"/>
    <row r="380" ht="14.25"/>
    <row r="381" ht="14.25"/>
    <row r="382" ht="14.25"/>
    <row r="383" ht="14.25"/>
    <row r="384" ht="14.25"/>
    <row r="385" ht="14.25"/>
    <row r="386" ht="14.25"/>
    <row r="388" ht="14.25"/>
    <row r="389" ht="14.25"/>
    <row r="390" ht="14.25"/>
    <row r="391" ht="14.25"/>
    <row r="392" ht="14.25"/>
    <row r="393" ht="14.25"/>
    <row r="394" ht="14.25"/>
    <row r="395" ht="14.25"/>
    <row r="396" ht="14.25"/>
    <row r="397" ht="14.25"/>
    <row r="398" ht="14.25"/>
    <row r="399" ht="14.25"/>
    <row r="401" ht="14.25"/>
    <row r="402" ht="14.25"/>
    <row r="403" ht="14.25"/>
    <row r="404" ht="14.25"/>
    <row r="405" ht="14.25"/>
    <row r="406" ht="14.25"/>
    <row r="407" ht="14.25"/>
    <row r="408" ht="14.25"/>
    <row r="409" ht="14.25"/>
    <row r="410" ht="14.25"/>
    <row r="411" ht="14.25"/>
    <row r="412" ht="14.25"/>
    <row r="413" ht="14.25"/>
    <row r="414" ht="14.25"/>
    <row r="415" ht="14.25"/>
    <row r="416" ht="14.25"/>
    <row r="417" ht="14.25"/>
    <row r="418" ht="14.25"/>
    <row r="419" ht="14.25"/>
    <row r="420" ht="14.25"/>
    <row r="421" ht="14.25"/>
    <row r="422" ht="14.25"/>
    <row r="423" ht="14.25"/>
    <row r="424" ht="14.25"/>
    <row r="426" ht="14.25"/>
    <row r="427" ht="14.25"/>
    <row r="428" ht="14.25"/>
    <row r="429" ht="14.25"/>
    <row r="430" ht="14.25"/>
    <row r="431" ht="14.25"/>
    <row r="432" ht="14.25"/>
    <row r="433" ht="14.25"/>
    <row r="434" ht="14.25"/>
    <row r="435" ht="14.25"/>
    <row r="436" ht="14.25"/>
    <row r="437" ht="14.25"/>
    <row r="438" ht="14.25"/>
    <row r="439" ht="14.25"/>
    <row r="441" ht="14.25"/>
    <row r="442" ht="14.25"/>
    <row r="443" ht="14.25"/>
    <row r="444" ht="14.25"/>
    <row r="445" ht="14.25"/>
    <row r="446" ht="14.25"/>
    <row r="447" ht="14.25"/>
    <row r="448" ht="14.25"/>
    <row r="449" ht="14.25"/>
    <row r="450" ht="14.25"/>
    <row r="451" ht="14.25"/>
    <row r="452" ht="14.25"/>
    <row r="453" ht="14.25"/>
    <row r="454" ht="14.25"/>
    <row r="455" ht="14.25"/>
    <row r="456" ht="14.25"/>
    <row r="457" ht="14.25"/>
    <row r="458" ht="14.25"/>
    <row r="459" ht="14.25"/>
    <row r="460" ht="14.25"/>
    <row r="461" ht="14.25"/>
    <row r="462" ht="14.25"/>
    <row r="464" ht="14.25"/>
    <row r="465" ht="14.25"/>
    <row r="466" ht="14.25"/>
    <row r="467" ht="14.25"/>
    <row r="468" ht="14.25"/>
    <row r="469" ht="14.25"/>
    <row r="470" ht="14.25"/>
    <row r="471" ht="14.25"/>
    <row r="472" ht="14.25"/>
    <row r="473" ht="14.25"/>
    <row r="474" ht="14.25"/>
    <row r="475" ht="14.25"/>
    <row r="476" ht="14.25"/>
    <row r="477" ht="14.25"/>
    <row r="478" ht="14.25"/>
    <row r="479" ht="14.25"/>
    <row r="480" ht="14.25"/>
    <row r="482" ht="14.25"/>
    <row r="485" ht="14.25"/>
  </sheetData>
  <mergeCells count="56">
    <mergeCell ref="A256:F256"/>
    <mergeCell ref="A250:F250"/>
    <mergeCell ref="H270:M270"/>
    <mergeCell ref="A262:F262"/>
    <mergeCell ref="A184:F184"/>
    <mergeCell ref="A189:F189"/>
    <mergeCell ref="A196:F196"/>
    <mergeCell ref="H214:M214"/>
    <mergeCell ref="H254:M254"/>
    <mergeCell ref="H259:M259"/>
    <mergeCell ref="A146:F146"/>
    <mergeCell ref="A5:F5"/>
    <mergeCell ref="A99:F99"/>
    <mergeCell ref="A131:F131"/>
    <mergeCell ref="A137:F137"/>
    <mergeCell ref="A229:F229"/>
    <mergeCell ref="A235:F235"/>
    <mergeCell ref="A240:F240"/>
    <mergeCell ref="A245:F245"/>
    <mergeCell ref="A202:F202"/>
    <mergeCell ref="A208:F208"/>
    <mergeCell ref="A213:F213"/>
    <mergeCell ref="A219:F219"/>
    <mergeCell ref="A224:F224"/>
    <mergeCell ref="A2:M3"/>
    <mergeCell ref="H5:M5"/>
    <mergeCell ref="H46:M46"/>
    <mergeCell ref="H166:M166"/>
    <mergeCell ref="H175:M175"/>
    <mergeCell ref="A164:F164"/>
    <mergeCell ref="H66:M66"/>
    <mergeCell ref="H26:M26"/>
    <mergeCell ref="H15:M15"/>
    <mergeCell ref="H20:M20"/>
    <mergeCell ref="H45:M45"/>
    <mergeCell ref="H51:M51"/>
    <mergeCell ref="H106:M106"/>
    <mergeCell ref="H10:M10"/>
    <mergeCell ref="H89:M89"/>
    <mergeCell ref="H94:M94"/>
    <mergeCell ref="P146:Q146"/>
    <mergeCell ref="O216:P216"/>
    <mergeCell ref="O128:P128"/>
    <mergeCell ref="P6:Q6"/>
    <mergeCell ref="O187:P187"/>
    <mergeCell ref="H31:M31"/>
    <mergeCell ref="H36:M36"/>
    <mergeCell ref="H41:M41"/>
    <mergeCell ref="H185:M185"/>
    <mergeCell ref="H99:M99"/>
    <mergeCell ref="H119:M119"/>
    <mergeCell ref="H130:M130"/>
    <mergeCell ref="H72:M72"/>
    <mergeCell ref="H78:M78"/>
    <mergeCell ref="H83:M83"/>
    <mergeCell ref="H144:M144"/>
  </mergeCells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C4:H64"/>
  <sheetViews>
    <sheetView topLeftCell="A41" workbookViewId="0">
      <selection activeCell="D48" sqref="D48:D49"/>
    </sheetView>
  </sheetViews>
  <sheetFormatPr defaultColWidth="12.625" defaultRowHeight="15" customHeight="1"/>
  <cols>
    <col min="4" max="4" width="37.25" customWidth="1"/>
  </cols>
  <sheetData>
    <row r="4" spans="3:7" ht="14.25">
      <c r="C4" s="247" t="s">
        <v>438</v>
      </c>
      <c r="D4" s="271"/>
      <c r="E4" s="271"/>
      <c r="F4" s="271"/>
      <c r="G4" s="272"/>
    </row>
    <row r="5" spans="3:7" ht="14.25">
      <c r="C5" s="273"/>
      <c r="D5" s="274"/>
      <c r="E5" s="274"/>
      <c r="F5" s="274"/>
      <c r="G5" s="275"/>
    </row>
    <row r="6" spans="3:7" ht="30" customHeight="1">
      <c r="C6" s="273"/>
      <c r="D6" s="274"/>
      <c r="E6" s="274"/>
      <c r="F6" s="274"/>
      <c r="G6" s="275"/>
    </row>
    <row r="7" spans="3:7" ht="23.25" customHeight="1">
      <c r="C7" s="102"/>
      <c r="D7" s="195" t="s">
        <v>329</v>
      </c>
      <c r="E7" s="196" t="s">
        <v>151</v>
      </c>
      <c r="F7" s="196" t="s">
        <v>152</v>
      </c>
      <c r="G7" s="56"/>
    </row>
    <row r="8" spans="3:7" ht="18.75" customHeight="1">
      <c r="C8" s="102"/>
      <c r="D8" s="201" t="s">
        <v>229</v>
      </c>
      <c r="E8" s="103">
        <v>122442</v>
      </c>
      <c r="F8" s="197"/>
      <c r="G8" s="104"/>
    </row>
    <row r="9" spans="3:7" ht="18.75" customHeight="1">
      <c r="C9" s="102"/>
      <c r="D9" s="201" t="s">
        <v>237</v>
      </c>
      <c r="E9" s="105">
        <v>14700</v>
      </c>
      <c r="F9" s="197"/>
      <c r="G9" s="104"/>
    </row>
    <row r="10" spans="3:7" ht="18.75" customHeight="1">
      <c r="C10" s="102"/>
      <c r="D10" s="201" t="s">
        <v>253</v>
      </c>
      <c r="E10" s="105">
        <v>13500</v>
      </c>
      <c r="F10" s="197"/>
      <c r="G10" s="104"/>
    </row>
    <row r="11" spans="3:7" ht="18.75" customHeight="1">
      <c r="C11" s="102"/>
      <c r="D11" s="201" t="s">
        <v>247</v>
      </c>
      <c r="E11" s="105">
        <v>4100</v>
      </c>
      <c r="F11" s="197"/>
      <c r="G11" s="104"/>
    </row>
    <row r="12" spans="3:7" ht="18.75" customHeight="1">
      <c r="C12" s="102"/>
      <c r="D12" s="201" t="s">
        <v>239</v>
      </c>
      <c r="E12" s="105">
        <v>17000</v>
      </c>
      <c r="F12" s="197"/>
      <c r="G12" s="104"/>
    </row>
    <row r="13" spans="3:7" ht="18.75" customHeight="1">
      <c r="C13" s="102"/>
      <c r="D13" s="201" t="s">
        <v>330</v>
      </c>
      <c r="E13" s="105">
        <v>7000</v>
      </c>
      <c r="F13" s="197"/>
      <c r="G13" s="104"/>
    </row>
    <row r="14" spans="3:7" ht="18.75" customHeight="1">
      <c r="C14" s="102"/>
      <c r="D14" s="201" t="s">
        <v>331</v>
      </c>
      <c r="E14" s="105">
        <v>1900</v>
      </c>
      <c r="F14" s="197"/>
      <c r="G14" s="104"/>
    </row>
    <row r="15" spans="3:7" ht="18.75" customHeight="1">
      <c r="C15" s="102"/>
      <c r="D15" s="201" t="s">
        <v>332</v>
      </c>
      <c r="E15" s="105">
        <v>3800</v>
      </c>
      <c r="F15" s="197"/>
      <c r="G15" s="104"/>
    </row>
    <row r="16" spans="3:7" ht="18.75" customHeight="1">
      <c r="C16" s="102"/>
      <c r="D16" s="201" t="s">
        <v>333</v>
      </c>
      <c r="E16" s="105">
        <v>3000</v>
      </c>
      <c r="F16" s="197"/>
      <c r="G16" s="104"/>
    </row>
    <row r="17" spans="3:7" ht="18.75" customHeight="1">
      <c r="C17" s="102"/>
      <c r="D17" s="201" t="s">
        <v>334</v>
      </c>
      <c r="E17" s="105">
        <v>5000</v>
      </c>
      <c r="F17" s="197"/>
      <c r="G17" s="104"/>
    </row>
    <row r="18" spans="3:7" ht="18.75" customHeight="1">
      <c r="C18" s="102"/>
      <c r="D18" s="201" t="s">
        <v>335</v>
      </c>
      <c r="E18" s="105">
        <v>5900</v>
      </c>
      <c r="F18" s="197"/>
      <c r="G18" s="104"/>
    </row>
    <row r="19" spans="3:7" ht="18.75" customHeight="1">
      <c r="C19" s="102"/>
      <c r="D19" s="201" t="s">
        <v>336</v>
      </c>
      <c r="E19" s="105">
        <v>50</v>
      </c>
      <c r="F19" s="197"/>
      <c r="G19" s="104"/>
    </row>
    <row r="20" spans="3:7" ht="18.75" customHeight="1">
      <c r="C20" s="102"/>
      <c r="D20" s="201" t="s">
        <v>337</v>
      </c>
      <c r="E20" s="105">
        <v>12000</v>
      </c>
      <c r="F20" s="197"/>
      <c r="G20" s="104"/>
    </row>
    <row r="21" spans="3:7" ht="18.75" customHeight="1">
      <c r="C21" s="102"/>
      <c r="D21" s="201" t="s">
        <v>338</v>
      </c>
      <c r="E21" s="105">
        <v>4500</v>
      </c>
      <c r="F21" s="197"/>
      <c r="G21" s="104"/>
    </row>
    <row r="22" spans="3:7" ht="18.75" customHeight="1">
      <c r="C22" s="102"/>
      <c r="D22" s="201" t="s">
        <v>339</v>
      </c>
      <c r="E22" s="105">
        <v>1200</v>
      </c>
      <c r="F22" s="197"/>
      <c r="G22" s="104"/>
    </row>
    <row r="23" spans="3:7" ht="18.75" customHeight="1">
      <c r="C23" s="102"/>
      <c r="D23" s="201" t="s">
        <v>340</v>
      </c>
      <c r="E23" s="105">
        <v>1000</v>
      </c>
      <c r="F23" s="197"/>
      <c r="G23" s="104"/>
    </row>
    <row r="24" spans="3:7" ht="18.75" customHeight="1">
      <c r="C24" s="102"/>
      <c r="D24" s="201" t="s">
        <v>341</v>
      </c>
      <c r="E24" s="105">
        <v>3500</v>
      </c>
      <c r="F24" s="197"/>
      <c r="G24" s="104"/>
    </row>
    <row r="25" spans="3:7" ht="18.75" customHeight="1">
      <c r="C25" s="102"/>
      <c r="D25" s="201" t="s">
        <v>342</v>
      </c>
      <c r="E25" s="105">
        <v>2500</v>
      </c>
      <c r="F25" s="197"/>
      <c r="G25" s="104"/>
    </row>
    <row r="26" spans="3:7" ht="18.75" customHeight="1">
      <c r="C26" s="102"/>
      <c r="D26" s="201" t="s">
        <v>343</v>
      </c>
      <c r="E26" s="105">
        <v>3600</v>
      </c>
      <c r="F26" s="197"/>
      <c r="G26" s="104"/>
    </row>
    <row r="27" spans="3:7" ht="18.75" customHeight="1">
      <c r="C27" s="102"/>
      <c r="D27" s="201" t="s">
        <v>344</v>
      </c>
      <c r="E27" s="101"/>
      <c r="F27" s="198">
        <v>1000</v>
      </c>
      <c r="G27" s="104"/>
    </row>
    <row r="28" spans="3:7" ht="18.75" customHeight="1">
      <c r="C28" s="102"/>
      <c r="D28" s="201" t="s">
        <v>246</v>
      </c>
      <c r="E28" s="101"/>
      <c r="F28" s="199">
        <v>135100</v>
      </c>
      <c r="G28" s="104"/>
    </row>
    <row r="29" spans="3:7" ht="18.75" customHeight="1">
      <c r="C29" s="102"/>
      <c r="D29" s="201" t="s">
        <v>345</v>
      </c>
      <c r="E29" s="101"/>
      <c r="F29" s="199">
        <v>150000</v>
      </c>
      <c r="G29" s="104"/>
    </row>
    <row r="30" spans="3:7" ht="18.75" customHeight="1">
      <c r="C30" s="102"/>
      <c r="D30" s="201" t="s">
        <v>346</v>
      </c>
      <c r="E30" s="105">
        <v>9100</v>
      </c>
      <c r="F30" s="197"/>
      <c r="G30" s="104"/>
    </row>
    <row r="31" spans="3:7" ht="18.75" customHeight="1">
      <c r="C31" s="102"/>
      <c r="D31" s="201" t="s">
        <v>230</v>
      </c>
      <c r="E31" s="101"/>
      <c r="F31" s="199">
        <v>122200</v>
      </c>
      <c r="G31" s="104"/>
    </row>
    <row r="32" spans="3:7" ht="18.75" customHeight="1">
      <c r="C32" s="102"/>
      <c r="D32" s="201" t="s">
        <v>264</v>
      </c>
      <c r="E32" s="105">
        <v>2600</v>
      </c>
      <c r="F32" s="197"/>
      <c r="G32" s="104"/>
    </row>
    <row r="33" spans="3:7" ht="18.75" customHeight="1">
      <c r="C33" s="102"/>
      <c r="D33" s="201" t="s">
        <v>250</v>
      </c>
      <c r="E33" s="105">
        <v>1258</v>
      </c>
      <c r="F33" s="197"/>
      <c r="G33" s="104"/>
    </row>
    <row r="34" spans="3:7" ht="18.75" customHeight="1">
      <c r="C34" s="102"/>
      <c r="D34" s="201" t="s">
        <v>260</v>
      </c>
      <c r="E34" s="105">
        <v>100200</v>
      </c>
      <c r="F34" s="197"/>
      <c r="G34" s="104"/>
    </row>
    <row r="35" spans="3:7" ht="18.75" customHeight="1">
      <c r="C35" s="102"/>
      <c r="D35" s="201" t="s">
        <v>347</v>
      </c>
      <c r="E35" s="105">
        <v>9500</v>
      </c>
      <c r="F35" s="197"/>
      <c r="G35" s="104"/>
    </row>
    <row r="36" spans="3:7" ht="18.75" customHeight="1">
      <c r="C36" s="102"/>
      <c r="D36" s="201" t="s">
        <v>251</v>
      </c>
      <c r="E36" s="105">
        <v>10600</v>
      </c>
      <c r="F36" s="197"/>
      <c r="G36" s="104"/>
    </row>
    <row r="37" spans="3:7" ht="18.75" customHeight="1">
      <c r="C37" s="102"/>
      <c r="D37" s="201" t="s">
        <v>241</v>
      </c>
      <c r="E37" s="105">
        <v>10400</v>
      </c>
      <c r="F37" s="197"/>
      <c r="G37" s="104"/>
    </row>
    <row r="38" spans="3:7" ht="18.75" customHeight="1">
      <c r="C38" s="102"/>
      <c r="D38" s="201" t="s">
        <v>439</v>
      </c>
      <c r="E38" s="105">
        <v>550</v>
      </c>
      <c r="F38" s="197"/>
      <c r="G38" s="104"/>
    </row>
    <row r="39" spans="3:7" ht="18.75" customHeight="1">
      <c r="C39" s="102"/>
      <c r="D39" s="201" t="s">
        <v>244</v>
      </c>
      <c r="E39" s="105">
        <v>26000</v>
      </c>
      <c r="F39" s="197"/>
      <c r="G39" s="104"/>
    </row>
    <row r="40" spans="3:7" ht="18.75" customHeight="1">
      <c r="C40" s="102"/>
      <c r="D40" s="201" t="s">
        <v>261</v>
      </c>
      <c r="E40" s="105">
        <v>5000</v>
      </c>
      <c r="F40" s="197"/>
      <c r="G40" s="104"/>
    </row>
    <row r="41" spans="3:7" ht="18.75" customHeight="1">
      <c r="C41" s="102"/>
      <c r="D41" s="201" t="s">
        <v>349</v>
      </c>
      <c r="E41" s="105">
        <v>1200</v>
      </c>
      <c r="F41" s="197"/>
      <c r="G41" s="104"/>
    </row>
    <row r="42" spans="3:7" ht="18.75" customHeight="1">
      <c r="C42" s="102"/>
      <c r="D42" s="201" t="s">
        <v>411</v>
      </c>
      <c r="E42" s="105">
        <v>3800</v>
      </c>
      <c r="F42" s="197"/>
      <c r="G42" s="104"/>
    </row>
    <row r="43" spans="3:7" ht="18.75" customHeight="1">
      <c r="C43" s="102"/>
      <c r="D43" s="201" t="s">
        <v>348</v>
      </c>
      <c r="E43" s="105">
        <v>3500</v>
      </c>
      <c r="F43" s="197"/>
      <c r="G43" s="104"/>
    </row>
    <row r="44" spans="3:7" ht="18.75" customHeight="1">
      <c r="C44" s="102"/>
      <c r="D44" s="201" t="s">
        <v>235</v>
      </c>
      <c r="E44" s="105">
        <v>1200</v>
      </c>
      <c r="F44" s="197"/>
      <c r="G44" s="104"/>
    </row>
    <row r="45" spans="3:7" ht="18.75" customHeight="1">
      <c r="C45" s="102"/>
      <c r="D45" s="201" t="s">
        <v>351</v>
      </c>
      <c r="E45" s="105">
        <v>2500</v>
      </c>
      <c r="F45" s="197"/>
      <c r="G45" s="104"/>
    </row>
    <row r="46" spans="3:7" ht="18.75" customHeight="1">
      <c r="C46" s="102"/>
      <c r="D46" s="201" t="s">
        <v>401</v>
      </c>
      <c r="E46" s="105">
        <v>1153</v>
      </c>
      <c r="F46" s="199"/>
      <c r="G46" s="104"/>
    </row>
    <row r="47" spans="3:7" ht="18.75" customHeight="1">
      <c r="C47" s="102"/>
      <c r="D47" s="201" t="s">
        <v>440</v>
      </c>
      <c r="E47" s="105">
        <v>23</v>
      </c>
      <c r="F47" s="199"/>
      <c r="G47" s="104"/>
    </row>
    <row r="48" spans="3:7" ht="18.75" customHeight="1">
      <c r="C48" s="102"/>
      <c r="D48" s="201" t="s">
        <v>441</v>
      </c>
      <c r="E48" s="101"/>
      <c r="F48" s="197">
        <v>1000</v>
      </c>
      <c r="G48" s="104"/>
    </row>
    <row r="49" spans="3:8" ht="18.75" customHeight="1">
      <c r="C49" s="54"/>
      <c r="D49" s="201" t="s">
        <v>442</v>
      </c>
      <c r="E49" s="86"/>
      <c r="F49" s="57">
        <v>120</v>
      </c>
      <c r="G49" s="56"/>
    </row>
    <row r="50" spans="3:8" ht="18.75" customHeight="1">
      <c r="C50" s="54"/>
      <c r="D50" s="13" t="s">
        <v>443</v>
      </c>
      <c r="E50" s="86"/>
      <c r="F50" s="57">
        <v>33</v>
      </c>
      <c r="G50" s="56"/>
    </row>
    <row r="51" spans="3:8" ht="18.75" customHeight="1">
      <c r="C51" s="54"/>
      <c r="D51" s="13" t="s">
        <v>444</v>
      </c>
      <c r="E51" s="86"/>
      <c r="F51" s="57">
        <v>23</v>
      </c>
      <c r="G51" s="56"/>
    </row>
    <row r="52" spans="3:8" ht="18.75" customHeight="1">
      <c r="C52" s="54"/>
      <c r="D52" s="13" t="s">
        <v>445</v>
      </c>
      <c r="E52" s="86"/>
      <c r="F52" s="57">
        <v>1500</v>
      </c>
      <c r="G52" s="56"/>
    </row>
    <row r="53" spans="3:8" ht="18.75" customHeight="1">
      <c r="C53" s="54"/>
      <c r="D53" s="13" t="s">
        <v>446</v>
      </c>
      <c r="E53" s="86"/>
      <c r="F53" s="57">
        <v>1000</v>
      </c>
      <c r="G53" s="56"/>
    </row>
    <row r="54" spans="3:8" ht="18.75" customHeight="1">
      <c r="C54" s="54"/>
      <c r="D54" s="13" t="s">
        <v>447</v>
      </c>
      <c r="E54" s="86"/>
      <c r="F54" s="57">
        <v>800</v>
      </c>
      <c r="G54" s="56"/>
      <c r="H54" s="62"/>
    </row>
    <row r="55" spans="3:8" ht="18.75" customHeight="1">
      <c r="C55" s="54"/>
      <c r="D55" s="13" t="s">
        <v>448</v>
      </c>
      <c r="E55" s="86"/>
      <c r="F55" s="57">
        <v>2200</v>
      </c>
      <c r="G55" s="56"/>
      <c r="H55" s="62" t="s">
        <v>449</v>
      </c>
    </row>
    <row r="56" spans="3:8" ht="18.75" customHeight="1">
      <c r="C56" s="54"/>
      <c r="D56" s="13" t="s">
        <v>450</v>
      </c>
      <c r="E56" s="86"/>
      <c r="F56" s="57">
        <v>300</v>
      </c>
      <c r="G56" s="56"/>
    </row>
    <row r="57" spans="3:8" ht="24.75" customHeight="1">
      <c r="C57" s="54"/>
      <c r="D57" s="13"/>
      <c r="E57" s="106">
        <f t="shared" ref="E57:F57" si="0">SUM(E8:E56)</f>
        <v>415276</v>
      </c>
      <c r="F57" s="200">
        <f t="shared" si="0"/>
        <v>415276</v>
      </c>
      <c r="G57" s="56"/>
    </row>
    <row r="58" spans="3:8" ht="14.25">
      <c r="C58" s="74"/>
      <c r="D58" s="75"/>
      <c r="E58" s="75"/>
      <c r="F58" s="75"/>
      <c r="G58" s="76"/>
    </row>
    <row r="64" spans="3:8" ht="14.25">
      <c r="F64" s="62" t="s">
        <v>451</v>
      </c>
    </row>
  </sheetData>
  <mergeCells count="1">
    <mergeCell ref="C4:G6"/>
  </mergeCells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82"/>
  <sheetViews>
    <sheetView tabSelected="1" workbookViewId="0">
      <selection activeCell="F58" sqref="F58"/>
    </sheetView>
  </sheetViews>
  <sheetFormatPr defaultColWidth="12.625" defaultRowHeight="15" customHeight="1"/>
  <cols>
    <col min="3" max="3" width="37.875" customWidth="1"/>
    <col min="7" max="7" width="45.25" customWidth="1"/>
  </cols>
  <sheetData>
    <row r="1" spans="1:9" ht="15" customHeight="1">
      <c r="A1" s="233"/>
    </row>
    <row r="2" spans="1:9" ht="15" customHeight="1">
      <c r="A2" s="233"/>
    </row>
    <row r="3" spans="1:9" ht="15" customHeight="1">
      <c r="A3" s="233"/>
    </row>
    <row r="4" spans="1:9" ht="15" customHeight="1">
      <c r="A4" s="233"/>
      <c r="C4" s="247" t="s">
        <v>452</v>
      </c>
      <c r="D4" s="271"/>
      <c r="E4" s="272"/>
      <c r="G4" s="283" t="s">
        <v>453</v>
      </c>
      <c r="H4" s="271"/>
      <c r="I4" s="272"/>
    </row>
    <row r="5" spans="1:9" ht="14.25" customHeight="1">
      <c r="A5" s="233"/>
      <c r="C5" s="273"/>
      <c r="D5" s="274"/>
      <c r="E5" s="275"/>
      <c r="F5" s="107"/>
      <c r="G5" s="273"/>
      <c r="H5" s="274"/>
      <c r="I5" s="275"/>
    </row>
    <row r="6" spans="1:9" ht="14.25" customHeight="1">
      <c r="A6" s="233"/>
      <c r="C6" s="273"/>
      <c r="D6" s="274"/>
      <c r="E6" s="275"/>
      <c r="F6" s="107"/>
      <c r="G6" s="273"/>
      <c r="H6" s="274"/>
      <c r="I6" s="275"/>
    </row>
    <row r="7" spans="1:9" ht="18" customHeight="1">
      <c r="A7" s="233"/>
      <c r="C7" s="273"/>
      <c r="D7" s="274"/>
      <c r="E7" s="275"/>
      <c r="F7" s="107"/>
      <c r="G7" s="276"/>
      <c r="H7" s="277"/>
      <c r="I7" s="278"/>
    </row>
    <row r="8" spans="1:9" ht="18.75" customHeight="1">
      <c r="A8" s="233"/>
      <c r="C8" s="276"/>
      <c r="D8" s="277"/>
      <c r="E8" s="278"/>
      <c r="F8" s="107"/>
      <c r="G8" s="108" t="s">
        <v>454</v>
      </c>
      <c r="H8" s="109"/>
      <c r="I8" s="110">
        <v>0</v>
      </c>
    </row>
    <row r="9" spans="1:9">
      <c r="C9" s="108" t="s">
        <v>455</v>
      </c>
      <c r="D9" s="109"/>
      <c r="E9" s="111"/>
      <c r="F9" s="107"/>
      <c r="G9" s="112" t="s">
        <v>456</v>
      </c>
      <c r="H9" s="113">
        <v>150000</v>
      </c>
      <c r="I9" s="111"/>
    </row>
    <row r="10" spans="1:9" ht="14.25">
      <c r="C10" s="112" t="s">
        <v>204</v>
      </c>
      <c r="D10" s="109"/>
      <c r="E10" s="110">
        <v>122200</v>
      </c>
      <c r="F10" s="107"/>
      <c r="G10" s="112" t="s">
        <v>457</v>
      </c>
      <c r="H10" s="114" t="s">
        <v>458</v>
      </c>
      <c r="I10" s="115">
        <v>92716</v>
      </c>
    </row>
    <row r="11" spans="1:9" ht="14.25">
      <c r="C11" s="112" t="s">
        <v>459</v>
      </c>
      <c r="D11" s="116">
        <v>2600</v>
      </c>
      <c r="E11" s="111"/>
      <c r="F11" s="117"/>
      <c r="G11" s="118"/>
      <c r="H11" s="109"/>
      <c r="I11" s="119">
        <v>92716</v>
      </c>
    </row>
    <row r="12" spans="1:9" ht="14.25">
      <c r="C12" s="112" t="s">
        <v>460</v>
      </c>
      <c r="D12" s="113">
        <v>1258</v>
      </c>
      <c r="E12" s="110">
        <v>3858</v>
      </c>
      <c r="F12" s="107"/>
      <c r="G12" s="112" t="s">
        <v>461</v>
      </c>
      <c r="H12" s="109"/>
      <c r="I12" s="119">
        <v>9100</v>
      </c>
    </row>
    <row r="13" spans="1:9">
      <c r="C13" s="112" t="s">
        <v>462</v>
      </c>
      <c r="D13" s="120"/>
      <c r="E13" s="110">
        <v>118342</v>
      </c>
      <c r="F13" s="107"/>
      <c r="G13" s="108" t="s">
        <v>463</v>
      </c>
      <c r="H13" s="109"/>
      <c r="I13" s="121">
        <v>83616</v>
      </c>
    </row>
    <row r="14" spans="1:9">
      <c r="C14" s="108" t="s">
        <v>464</v>
      </c>
      <c r="D14" s="120"/>
      <c r="E14" s="110">
        <v>100200</v>
      </c>
      <c r="F14" s="107"/>
      <c r="G14" s="74"/>
      <c r="H14" s="75"/>
      <c r="I14" s="76"/>
    </row>
    <row r="15" spans="1:9">
      <c r="C15" s="108" t="s">
        <v>465</v>
      </c>
      <c r="D15" s="109"/>
      <c r="E15" s="110">
        <v>18142</v>
      </c>
      <c r="F15" s="107"/>
    </row>
    <row r="16" spans="1:9">
      <c r="C16" s="108" t="s">
        <v>466</v>
      </c>
      <c r="D16" s="109"/>
      <c r="E16" s="111"/>
      <c r="F16" s="107"/>
      <c r="G16" s="283" t="s">
        <v>467</v>
      </c>
      <c r="H16" s="271"/>
      <c r="I16" s="272"/>
    </row>
    <row r="17" spans="3:9" ht="14.25">
      <c r="C17" s="112" t="s">
        <v>468</v>
      </c>
      <c r="D17" s="122">
        <v>9500</v>
      </c>
      <c r="E17" s="111"/>
      <c r="F17" s="107"/>
      <c r="G17" s="273"/>
      <c r="H17" s="274"/>
      <c r="I17" s="275"/>
    </row>
    <row r="18" spans="3:9" ht="14.25">
      <c r="C18" s="112" t="s">
        <v>469</v>
      </c>
      <c r="D18" s="113">
        <v>10600</v>
      </c>
      <c r="E18" s="111"/>
      <c r="F18" s="107"/>
      <c r="G18" s="273"/>
      <c r="H18" s="274"/>
      <c r="I18" s="275"/>
    </row>
    <row r="19" spans="3:9" ht="14.25">
      <c r="C19" s="112" t="s">
        <v>470</v>
      </c>
      <c r="D19" s="113">
        <v>10400</v>
      </c>
      <c r="E19" s="111"/>
      <c r="F19" s="107"/>
      <c r="G19" s="276"/>
      <c r="H19" s="277"/>
      <c r="I19" s="278"/>
    </row>
    <row r="20" spans="3:9" ht="18.75">
      <c r="C20" s="112" t="s">
        <v>471</v>
      </c>
      <c r="D20" s="122">
        <v>550</v>
      </c>
      <c r="E20" s="123"/>
      <c r="F20" s="107"/>
      <c r="G20" s="284" t="s">
        <v>273</v>
      </c>
      <c r="H20" s="280"/>
      <c r="I20" s="281"/>
    </row>
    <row r="21" spans="3:9">
      <c r="C21" s="112" t="s">
        <v>472</v>
      </c>
      <c r="D21" s="113">
        <v>26000</v>
      </c>
      <c r="E21" s="123"/>
      <c r="F21" s="107"/>
      <c r="G21" s="124" t="s">
        <v>473</v>
      </c>
      <c r="H21" s="125"/>
      <c r="I21" s="126"/>
    </row>
    <row r="22" spans="3:9" ht="14.25">
      <c r="C22" s="112" t="s">
        <v>474</v>
      </c>
      <c r="D22" s="122">
        <v>5000</v>
      </c>
      <c r="E22" s="123"/>
      <c r="F22" s="107"/>
      <c r="G22" s="127" t="s">
        <v>177</v>
      </c>
      <c r="I22" s="128">
        <v>122442</v>
      </c>
    </row>
    <row r="23" spans="3:9" ht="14.25">
      <c r="C23" s="112" t="s">
        <v>475</v>
      </c>
      <c r="D23" s="122">
        <v>1200</v>
      </c>
      <c r="E23" s="123"/>
      <c r="F23" s="107"/>
      <c r="G23" s="127" t="s">
        <v>476</v>
      </c>
      <c r="I23" s="128">
        <v>14700</v>
      </c>
    </row>
    <row r="24" spans="3:9" ht="14.25">
      <c r="C24" s="112" t="s">
        <v>477</v>
      </c>
      <c r="D24" s="122">
        <v>3800</v>
      </c>
      <c r="E24" s="123"/>
      <c r="F24" s="107"/>
      <c r="G24" s="127" t="s">
        <v>478</v>
      </c>
      <c r="I24" s="128">
        <v>13500</v>
      </c>
    </row>
    <row r="25" spans="3:9" ht="14.25">
      <c r="C25" s="112" t="s">
        <v>479</v>
      </c>
      <c r="D25" s="122">
        <v>3500</v>
      </c>
      <c r="E25" s="123"/>
      <c r="F25" s="107"/>
      <c r="G25" s="127" t="s">
        <v>223</v>
      </c>
      <c r="I25" s="129">
        <v>4100</v>
      </c>
    </row>
    <row r="26" spans="3:9" ht="14.25">
      <c r="C26" s="112" t="s">
        <v>480</v>
      </c>
      <c r="D26" s="122">
        <v>1200</v>
      </c>
      <c r="E26" s="123"/>
      <c r="F26" s="107"/>
      <c r="G26" s="127" t="s">
        <v>189</v>
      </c>
      <c r="I26" s="128">
        <v>17000</v>
      </c>
    </row>
    <row r="27" spans="3:9" ht="14.25">
      <c r="C27" s="112" t="s">
        <v>481</v>
      </c>
      <c r="D27" s="122">
        <v>2500</v>
      </c>
      <c r="E27" s="111"/>
      <c r="F27" s="107"/>
      <c r="G27" s="127" t="s">
        <v>482</v>
      </c>
      <c r="I27" s="129">
        <v>7000</v>
      </c>
    </row>
    <row r="28" spans="3:9" ht="14.25">
      <c r="C28" s="112" t="s">
        <v>483</v>
      </c>
      <c r="D28" s="122">
        <v>1153</v>
      </c>
      <c r="E28" s="111"/>
      <c r="F28" s="107"/>
      <c r="G28" s="127" t="s">
        <v>484</v>
      </c>
      <c r="I28" s="129">
        <v>1900</v>
      </c>
    </row>
    <row r="29" spans="3:9" ht="14.25">
      <c r="C29" s="112" t="s">
        <v>485</v>
      </c>
      <c r="D29" s="109"/>
      <c r="E29" s="119">
        <f>SUM(D17,D18,D19,D20,D21,D22,D23,D24,D25,D26,D27,D28)</f>
        <v>75403</v>
      </c>
      <c r="F29" s="107"/>
      <c r="G29" s="127" t="s">
        <v>486</v>
      </c>
      <c r="I29" s="129">
        <v>3800</v>
      </c>
    </row>
    <row r="30" spans="3:9">
      <c r="C30" s="108" t="s">
        <v>487</v>
      </c>
      <c r="D30" s="109"/>
      <c r="E30" s="110">
        <v>-57261</v>
      </c>
      <c r="F30" s="107"/>
      <c r="G30" s="127" t="s">
        <v>488</v>
      </c>
      <c r="I30" s="129">
        <v>3000</v>
      </c>
    </row>
    <row r="31" spans="3:9">
      <c r="C31" s="108" t="s">
        <v>489</v>
      </c>
      <c r="D31" s="109"/>
      <c r="E31" s="123"/>
      <c r="F31" s="107"/>
      <c r="G31" s="127" t="s">
        <v>490</v>
      </c>
      <c r="I31" s="129">
        <v>5000</v>
      </c>
    </row>
    <row r="32" spans="3:9" ht="14.25">
      <c r="C32" s="112" t="s">
        <v>491</v>
      </c>
      <c r="D32" s="122">
        <v>23</v>
      </c>
      <c r="E32" s="110">
        <v>23</v>
      </c>
      <c r="F32" s="107"/>
      <c r="G32" s="127" t="s">
        <v>492</v>
      </c>
      <c r="I32" s="129">
        <v>5900</v>
      </c>
    </row>
    <row r="33" spans="3:9">
      <c r="C33" s="108" t="s">
        <v>493</v>
      </c>
      <c r="D33" s="109"/>
      <c r="E33" s="130">
        <v>-57284</v>
      </c>
      <c r="F33" s="107"/>
      <c r="G33" s="127" t="s">
        <v>494</v>
      </c>
      <c r="I33" s="129">
        <v>50</v>
      </c>
    </row>
    <row r="34" spans="3:9">
      <c r="C34" s="131"/>
      <c r="D34" s="132"/>
      <c r="E34" s="133"/>
      <c r="F34" s="107"/>
      <c r="G34" s="134" t="s">
        <v>495</v>
      </c>
      <c r="I34" s="135">
        <f>SUM(I22:I33)</f>
        <v>198392</v>
      </c>
    </row>
    <row r="35" spans="3:9">
      <c r="C35" s="107"/>
      <c r="D35" s="107"/>
      <c r="E35" s="107"/>
      <c r="F35" s="107"/>
      <c r="G35" s="136" t="s">
        <v>496</v>
      </c>
      <c r="I35" s="56"/>
    </row>
    <row r="36" spans="3:9" ht="14.25">
      <c r="C36" s="247" t="s">
        <v>497</v>
      </c>
      <c r="D36" s="271"/>
      <c r="E36" s="272"/>
      <c r="F36" s="107"/>
      <c r="G36" s="137" t="s">
        <v>498</v>
      </c>
      <c r="H36" s="62">
        <v>12000</v>
      </c>
      <c r="I36" s="135"/>
    </row>
    <row r="37" spans="3:9" ht="14.25">
      <c r="C37" s="273"/>
      <c r="D37" s="274"/>
      <c r="E37" s="275"/>
      <c r="F37" s="107"/>
      <c r="G37" s="137" t="s">
        <v>499</v>
      </c>
      <c r="H37" s="62">
        <v>1000</v>
      </c>
      <c r="I37" s="135">
        <v>11000</v>
      </c>
    </row>
    <row r="38" spans="3:9" ht="14.25">
      <c r="C38" s="273"/>
      <c r="D38" s="274"/>
      <c r="E38" s="275"/>
      <c r="F38" s="107"/>
      <c r="G38" s="137" t="s">
        <v>500</v>
      </c>
      <c r="I38" s="135">
        <v>4500</v>
      </c>
    </row>
    <row r="39" spans="3:9" ht="14.25">
      <c r="C39" s="273"/>
      <c r="D39" s="274"/>
      <c r="E39" s="275"/>
      <c r="F39" s="107"/>
      <c r="G39" s="137" t="s">
        <v>501</v>
      </c>
      <c r="H39" s="62">
        <v>1200</v>
      </c>
      <c r="I39" s="135"/>
    </row>
    <row r="40" spans="3:9" ht="14.25">
      <c r="C40" s="276"/>
      <c r="D40" s="277"/>
      <c r="E40" s="278"/>
      <c r="F40" s="107"/>
      <c r="G40" s="137" t="s">
        <v>502</v>
      </c>
      <c r="H40" s="62">
        <v>120</v>
      </c>
      <c r="I40" s="135">
        <v>1080</v>
      </c>
    </row>
    <row r="41" spans="3:9">
      <c r="C41" s="203" t="s">
        <v>503</v>
      </c>
      <c r="D41" s="138"/>
      <c r="E41" s="139"/>
      <c r="F41" s="107"/>
      <c r="G41" s="137" t="s">
        <v>504</v>
      </c>
      <c r="I41" s="135">
        <v>1000</v>
      </c>
    </row>
    <row r="42" spans="3:9">
      <c r="C42" s="140" t="s">
        <v>505</v>
      </c>
      <c r="D42" s="138"/>
      <c r="E42" s="141">
        <v>118342</v>
      </c>
      <c r="F42" s="107"/>
      <c r="G42" s="137" t="s">
        <v>506</v>
      </c>
      <c r="I42" s="135">
        <v>3500</v>
      </c>
    </row>
    <row r="43" spans="3:9">
      <c r="C43" s="140" t="s">
        <v>507</v>
      </c>
      <c r="D43" s="138"/>
      <c r="E43" s="141">
        <v>118342</v>
      </c>
      <c r="F43" s="107"/>
      <c r="G43" s="137" t="s">
        <v>508</v>
      </c>
      <c r="I43" s="135">
        <v>2500</v>
      </c>
    </row>
    <row r="44" spans="3:9">
      <c r="C44" s="203" t="s">
        <v>509</v>
      </c>
      <c r="D44" s="138"/>
      <c r="E44" s="139"/>
      <c r="F44" s="107"/>
      <c r="G44" s="137" t="s">
        <v>510</v>
      </c>
      <c r="H44" s="62">
        <v>3600</v>
      </c>
      <c r="I44" s="135"/>
    </row>
    <row r="45" spans="3:9">
      <c r="C45" s="140" t="s">
        <v>511</v>
      </c>
      <c r="D45" s="142">
        <v>100200</v>
      </c>
      <c r="E45" s="139"/>
      <c r="F45" s="107"/>
      <c r="G45" s="137" t="s">
        <v>512</v>
      </c>
      <c r="H45" s="62">
        <v>33</v>
      </c>
      <c r="I45" s="135">
        <v>3567</v>
      </c>
    </row>
    <row r="46" spans="3:9">
      <c r="C46" s="140" t="s">
        <v>513</v>
      </c>
      <c r="D46" s="142">
        <v>75403</v>
      </c>
      <c r="E46" s="139"/>
      <c r="G46" s="134" t="s">
        <v>514</v>
      </c>
      <c r="I46" s="135">
        <f>SUM(I36:I45)</f>
        <v>27147</v>
      </c>
    </row>
    <row r="47" spans="3:9">
      <c r="C47" s="140" t="s">
        <v>515</v>
      </c>
      <c r="D47" s="143">
        <v>23</v>
      </c>
      <c r="E47" s="139"/>
      <c r="G47" s="136" t="s">
        <v>516</v>
      </c>
      <c r="I47" s="144">
        <f>SUM(I34,I46)</f>
        <v>225539</v>
      </c>
    </row>
    <row r="48" spans="3:9">
      <c r="C48" s="140" t="s">
        <v>517</v>
      </c>
      <c r="D48" s="138"/>
      <c r="E48" s="141">
        <f>SUM(D45,D46,D47)</f>
        <v>175626</v>
      </c>
      <c r="G48" s="279" t="s">
        <v>518</v>
      </c>
      <c r="H48" s="280"/>
      <c r="I48" s="281"/>
    </row>
    <row r="49" spans="3:9">
      <c r="C49" s="203" t="s">
        <v>493</v>
      </c>
      <c r="D49" s="138"/>
      <c r="E49" s="145">
        <v>-57284</v>
      </c>
      <c r="G49" s="136" t="s">
        <v>519</v>
      </c>
      <c r="H49" s="86"/>
      <c r="I49" s="56"/>
    </row>
    <row r="50" spans="3:9">
      <c r="C50" s="146"/>
      <c r="D50" s="147"/>
      <c r="E50" s="148"/>
      <c r="G50" s="137" t="s">
        <v>520</v>
      </c>
      <c r="H50" s="86">
        <v>135100</v>
      </c>
      <c r="I50" s="56"/>
    </row>
    <row r="51" spans="3:9">
      <c r="C51" s="149"/>
      <c r="E51" s="150"/>
      <c r="G51" s="137" t="s">
        <v>521</v>
      </c>
      <c r="H51" s="86">
        <v>1000</v>
      </c>
      <c r="I51" s="56"/>
    </row>
    <row r="52" spans="3:9">
      <c r="C52" s="149"/>
      <c r="E52" s="150"/>
      <c r="G52" s="137" t="s">
        <v>522</v>
      </c>
      <c r="H52" s="86">
        <v>23</v>
      </c>
      <c r="I52" s="56"/>
    </row>
    <row r="53" spans="3:9">
      <c r="C53" s="149"/>
      <c r="E53" s="150"/>
      <c r="G53" s="137" t="s">
        <v>523</v>
      </c>
      <c r="H53" s="86">
        <v>1500</v>
      </c>
      <c r="I53" s="56"/>
    </row>
    <row r="54" spans="3:9">
      <c r="C54" s="151"/>
      <c r="G54" s="137" t="s">
        <v>524</v>
      </c>
      <c r="H54" s="86">
        <v>1000</v>
      </c>
      <c r="I54" s="56"/>
    </row>
    <row r="55" spans="3:9">
      <c r="C55" s="152"/>
      <c r="G55" s="137" t="s">
        <v>525</v>
      </c>
      <c r="H55" s="86">
        <v>800</v>
      </c>
      <c r="I55" s="56"/>
    </row>
    <row r="56" spans="3:9">
      <c r="C56" s="80"/>
      <c r="E56" s="86"/>
      <c r="F56" s="86"/>
      <c r="G56" s="137" t="s">
        <v>526</v>
      </c>
      <c r="H56" s="86">
        <v>2200</v>
      </c>
      <c r="I56" s="56"/>
    </row>
    <row r="57" spans="3:9">
      <c r="C57" s="80"/>
      <c r="E57" s="86"/>
      <c r="F57" s="86"/>
      <c r="G57" s="137" t="s">
        <v>527</v>
      </c>
      <c r="H57" s="86">
        <v>300</v>
      </c>
      <c r="I57" s="56"/>
    </row>
    <row r="58" spans="3:9">
      <c r="C58" s="80"/>
      <c r="E58" s="86"/>
      <c r="G58" s="134" t="s">
        <v>528</v>
      </c>
      <c r="I58" s="135">
        <f>SUM(H50:H57)</f>
        <v>141923</v>
      </c>
    </row>
    <row r="59" spans="3:9">
      <c r="C59" s="80"/>
      <c r="E59" s="86"/>
      <c r="G59" s="136" t="s">
        <v>529</v>
      </c>
      <c r="I59" s="56"/>
    </row>
    <row r="60" spans="3:9">
      <c r="C60" s="80"/>
      <c r="E60" s="86"/>
      <c r="G60" s="137" t="s">
        <v>530</v>
      </c>
      <c r="H60" s="153">
        <v>83616</v>
      </c>
      <c r="I60" s="56"/>
    </row>
    <row r="61" spans="3:9">
      <c r="C61" s="80"/>
      <c r="E61" s="86"/>
      <c r="F61" s="86"/>
      <c r="G61" s="136" t="s">
        <v>531</v>
      </c>
      <c r="I61" s="135">
        <v>83616</v>
      </c>
    </row>
    <row r="62" spans="3:9">
      <c r="C62" s="80"/>
      <c r="E62" s="86"/>
      <c r="G62" s="136" t="s">
        <v>532</v>
      </c>
      <c r="H62" s="86"/>
      <c r="I62" s="144">
        <f>SUM(I58,I61)</f>
        <v>225539</v>
      </c>
    </row>
    <row r="63" spans="3:9">
      <c r="C63" s="80"/>
      <c r="E63" s="86"/>
      <c r="G63" s="74"/>
      <c r="H63" s="75"/>
      <c r="I63" s="76"/>
    </row>
    <row r="64" spans="3:9">
      <c r="C64" s="80"/>
      <c r="E64" s="86"/>
    </row>
    <row r="65" spans="3:5">
      <c r="C65" s="80"/>
      <c r="E65" s="86"/>
    </row>
    <row r="66" spans="3:5">
      <c r="C66" s="151"/>
      <c r="E66" s="86"/>
    </row>
    <row r="67" spans="3:5">
      <c r="C67" s="152"/>
      <c r="E67" s="86"/>
    </row>
    <row r="68" spans="3:5">
      <c r="C68" s="282"/>
      <c r="D68" s="261"/>
      <c r="E68" s="261"/>
    </row>
    <row r="69" spans="3:5">
      <c r="C69" s="152"/>
      <c r="D69" s="86"/>
    </row>
    <row r="70" spans="3:5">
      <c r="C70" s="80"/>
      <c r="D70" s="86"/>
    </row>
    <row r="71" spans="3:5">
      <c r="C71" s="80"/>
      <c r="D71" s="86"/>
    </row>
    <row r="72" spans="3:5">
      <c r="C72" s="80"/>
      <c r="D72" s="86"/>
    </row>
    <row r="73" spans="3:5">
      <c r="C73" s="80"/>
      <c r="D73" s="86"/>
    </row>
    <row r="74" spans="3:5">
      <c r="C74" s="80"/>
      <c r="D74" s="86"/>
    </row>
    <row r="75" spans="3:5">
      <c r="C75" s="80"/>
      <c r="D75" s="86"/>
    </row>
    <row r="76" spans="3:5">
      <c r="C76" s="80"/>
      <c r="D76" s="86"/>
    </row>
    <row r="77" spans="3:5">
      <c r="C77" s="80"/>
      <c r="D77" s="86"/>
    </row>
    <row r="78" spans="3:5">
      <c r="C78" s="151"/>
      <c r="E78" s="86"/>
    </row>
    <row r="79" spans="3:5">
      <c r="C79" s="152"/>
    </row>
    <row r="80" spans="3:5">
      <c r="C80" s="80"/>
      <c r="D80" s="153"/>
    </row>
    <row r="81" spans="3:5">
      <c r="C81" s="152"/>
      <c r="E81" s="86"/>
    </row>
    <row r="82" spans="3:5">
      <c r="C82" s="152"/>
      <c r="D82" s="86"/>
      <c r="E82" s="86"/>
    </row>
  </sheetData>
  <mergeCells count="7">
    <mergeCell ref="C4:E8"/>
    <mergeCell ref="C36:E40"/>
    <mergeCell ref="G48:I48"/>
    <mergeCell ref="C68:E68"/>
    <mergeCell ref="G4:I7"/>
    <mergeCell ref="G16:I19"/>
    <mergeCell ref="G20:I20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2024-12-01T08:20:14Z</dcterms:created>
  <dcterms:modified xsi:type="dcterms:W3CDTF">2024-12-02T14:26:46Z</dcterms:modified>
  <cp:category/>
  <cp:contentStatus/>
</cp:coreProperties>
</file>