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xampp\htdocs\sim23\panduan\"/>
    </mc:Choice>
  </mc:AlternateContent>
  <xr:revisionPtr revIDLastSave="0" documentId="13_ncr:1_{63116FB1-E6B6-4D51-92B3-AA9E56F99E3F}" xr6:coauthVersionLast="47" xr6:coauthVersionMax="47" xr10:uidLastSave="{00000000-0000-0000-0000-000000000000}"/>
  <bookViews>
    <workbookView xWindow="7320" yWindow="-45" windowWidth="21600" windowHeight="11295" xr2:uid="{ADB28F7E-1517-4DD0-AC52-7FAE16330C3D}"/>
  </bookViews>
  <sheets>
    <sheet name="Dataset Original" sheetId="1" r:id="rId1"/>
    <sheet name="Data Mesin_dan_Waktupengamatan" sheetId="2" r:id="rId2"/>
    <sheet name="Dataset yang digunakan"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1" i="3" l="1"/>
  <c r="Q59" i="3"/>
  <c r="N69" i="3"/>
  <c r="M69" i="3"/>
  <c r="N70" i="3"/>
  <c r="Q60" i="3"/>
  <c r="B15" i="3"/>
  <c r="M12" i="2"/>
  <c r="C38" i="2"/>
  <c r="D38" i="2"/>
  <c r="E38" i="2"/>
  <c r="F38" i="2"/>
  <c r="G38" i="2"/>
  <c r="H38" i="2"/>
  <c r="I38" i="2"/>
  <c r="B38" i="2"/>
  <c r="C37" i="2"/>
  <c r="D37" i="2"/>
  <c r="E37" i="2"/>
  <c r="F37" i="2"/>
  <c r="G37" i="2"/>
  <c r="H37" i="2"/>
  <c r="I37" i="2"/>
  <c r="B37" i="2"/>
  <c r="B36" i="2"/>
  <c r="C35" i="2"/>
  <c r="D35" i="2"/>
  <c r="E35" i="2"/>
  <c r="F35" i="2"/>
  <c r="G35" i="2"/>
  <c r="H35" i="2"/>
  <c r="I35" i="2"/>
  <c r="B35" i="2"/>
  <c r="J12" i="2"/>
  <c r="L28" i="2"/>
  <c r="K28" i="2"/>
  <c r="J28" i="2"/>
  <c r="M28" i="2" s="1"/>
  <c r="K16" i="2"/>
  <c r="J16" i="2"/>
  <c r="J20" i="2"/>
  <c r="J13" i="2"/>
  <c r="J14" i="2"/>
  <c r="J17" i="2"/>
  <c r="J18" i="2"/>
  <c r="J19" i="2"/>
  <c r="L16" i="2" l="1"/>
  <c r="T68" i="3"/>
  <c r="N60" i="3"/>
  <c r="N61" i="3"/>
  <c r="N62" i="3"/>
  <c r="N63" i="3"/>
  <c r="N64" i="3"/>
  <c r="N65" i="3"/>
  <c r="N66" i="3"/>
  <c r="N67" i="3"/>
  <c r="N59" i="3"/>
  <c r="K13" i="2"/>
  <c r="L13" i="2" s="1"/>
  <c r="K14" i="2"/>
  <c r="L14" i="2" s="1"/>
  <c r="K17" i="2"/>
  <c r="L17" i="2" s="1"/>
  <c r="K18" i="2"/>
  <c r="L18" i="2" s="1"/>
  <c r="K19" i="2"/>
  <c r="L19" i="2" s="1"/>
  <c r="K20" i="2"/>
  <c r="L20" i="2" s="1"/>
  <c r="K12" i="2"/>
  <c r="L12" i="2" s="1"/>
  <c r="C15" i="3"/>
  <c r="C16" i="3"/>
  <c r="C17" i="3"/>
  <c r="C18" i="3"/>
  <c r="C19" i="3"/>
  <c r="C20" i="3"/>
  <c r="C21" i="3"/>
  <c r="C22" i="3"/>
  <c r="C23" i="3"/>
  <c r="B16" i="3"/>
  <c r="B17" i="3"/>
  <c r="B18" i="3"/>
  <c r="B19" i="3"/>
  <c r="B20" i="3"/>
  <c r="B21" i="3"/>
  <c r="B22" i="3"/>
  <c r="B23" i="3"/>
  <c r="F16" i="3"/>
  <c r="F17" i="3"/>
  <c r="F18" i="3"/>
  <c r="F19" i="3"/>
  <c r="F20" i="3"/>
  <c r="F21" i="3"/>
  <c r="F22" i="3"/>
  <c r="F23" i="3"/>
  <c r="E16" i="3"/>
  <c r="E17" i="3"/>
  <c r="E18" i="3"/>
  <c r="E19" i="3"/>
  <c r="E20" i="3"/>
  <c r="E21" i="3"/>
  <c r="E22" i="3"/>
  <c r="E23" i="3"/>
  <c r="D16" i="3"/>
  <c r="D17" i="3"/>
  <c r="D18" i="3"/>
  <c r="D19" i="3"/>
  <c r="D20" i="3"/>
  <c r="D21" i="3"/>
  <c r="D22" i="3"/>
  <c r="D23" i="3"/>
  <c r="D15" i="3"/>
  <c r="F15" i="3" l="1"/>
  <c r="E15" i="3"/>
  <c r="B28" i="3"/>
  <c r="J3" i="3" l="1"/>
  <c r="J4" i="3"/>
  <c r="J5" i="3"/>
  <c r="J6" i="3"/>
  <c r="J7" i="3"/>
  <c r="J8" i="3"/>
  <c r="J9" i="3"/>
  <c r="J10" i="3"/>
  <c r="J2" i="3"/>
  <c r="G16" i="3"/>
  <c r="G29" i="3" s="1"/>
  <c r="G17" i="3"/>
  <c r="G30" i="3" s="1"/>
  <c r="G18" i="3"/>
  <c r="G31" i="3" s="1"/>
  <c r="G19" i="3"/>
  <c r="G32" i="3" s="1"/>
  <c r="G20" i="3"/>
  <c r="G33" i="3" s="1"/>
  <c r="G21" i="3"/>
  <c r="G34" i="3" s="1"/>
  <c r="G22" i="3"/>
  <c r="G35" i="3" s="1"/>
  <c r="G23" i="3"/>
  <c r="G36" i="3" s="1"/>
  <c r="G15" i="3"/>
  <c r="G28" i="3" s="1"/>
  <c r="C36" i="3"/>
  <c r="D48" i="3" s="1"/>
  <c r="C32" i="3"/>
  <c r="D47" i="3" s="1"/>
  <c r="C33" i="3"/>
  <c r="D46" i="3" s="1"/>
  <c r="C34" i="3"/>
  <c r="D49" i="3" s="1"/>
  <c r="C35" i="3"/>
  <c r="D50" i="3" s="1"/>
  <c r="C29" i="3"/>
  <c r="C30" i="3"/>
  <c r="D43" i="3" s="1"/>
  <c r="C31" i="3"/>
  <c r="C28" i="3"/>
  <c r="D42" i="3" s="1"/>
  <c r="B32" i="3"/>
  <c r="C47" i="3" s="1"/>
  <c r="B29" i="3"/>
  <c r="B30" i="3"/>
  <c r="C43" i="3" s="1"/>
  <c r="B31" i="3"/>
  <c r="B33" i="3"/>
  <c r="C46" i="3" s="1"/>
  <c r="B34" i="3"/>
  <c r="C49" i="3" s="1"/>
  <c r="B35" i="3"/>
  <c r="C50" i="3" s="1"/>
  <c r="B36" i="3"/>
  <c r="C48" i="3" s="1"/>
  <c r="C42" i="3"/>
  <c r="H59" i="3" s="1"/>
  <c r="F34" i="3"/>
  <c r="G49" i="3" s="1"/>
  <c r="F35" i="3"/>
  <c r="G50" i="3" s="1"/>
  <c r="F36" i="3"/>
  <c r="G48" i="3" s="1"/>
  <c r="F33" i="3"/>
  <c r="G46" i="3" s="1"/>
  <c r="F32" i="3"/>
  <c r="G47" i="3" s="1"/>
  <c r="F29" i="3"/>
  <c r="F30" i="3"/>
  <c r="G43" i="3" s="1"/>
  <c r="F31" i="3"/>
  <c r="F28" i="3"/>
  <c r="G42" i="3" s="1"/>
  <c r="E34" i="3"/>
  <c r="F49" i="3" s="1"/>
  <c r="E35" i="3"/>
  <c r="F50" i="3" s="1"/>
  <c r="E36" i="3"/>
  <c r="F48" i="3" s="1"/>
  <c r="E32" i="3"/>
  <c r="F47" i="3" s="1"/>
  <c r="D33" i="3"/>
  <c r="E46" i="3" s="1"/>
  <c r="D32" i="3"/>
  <c r="E47" i="3" s="1"/>
  <c r="E33" i="3"/>
  <c r="F46" i="3" s="1"/>
  <c r="E29" i="3"/>
  <c r="E30" i="3"/>
  <c r="F43" i="3" s="1"/>
  <c r="E31" i="3"/>
  <c r="E28" i="3"/>
  <c r="F42" i="3" s="1"/>
  <c r="D34" i="3"/>
  <c r="E49" i="3" s="1"/>
  <c r="D35" i="3"/>
  <c r="E50" i="3" s="1"/>
  <c r="D36" i="3"/>
  <c r="E48" i="3" s="1"/>
  <c r="D29" i="3"/>
  <c r="D30" i="3"/>
  <c r="E43" i="3" s="1"/>
  <c r="D31" i="3"/>
  <c r="D28" i="3"/>
  <c r="E42" i="3" s="1"/>
  <c r="T15" i="3"/>
  <c r="U15" i="3" s="1"/>
  <c r="T19" i="2"/>
  <c r="S19" i="2"/>
  <c r="Q19" i="2"/>
  <c r="R19" i="2"/>
  <c r="P19" i="2"/>
  <c r="T14" i="2"/>
  <c r="S14" i="2"/>
  <c r="Q14" i="2"/>
  <c r="R14" i="2"/>
  <c r="P14" i="2"/>
  <c r="J10" i="1"/>
  <c r="J9" i="1"/>
  <c r="J8" i="1"/>
  <c r="J7" i="1"/>
  <c r="J5" i="1"/>
  <c r="J6" i="1"/>
  <c r="J4" i="1"/>
  <c r="J3" i="1"/>
  <c r="J2" i="1"/>
  <c r="F45" i="3" l="1"/>
  <c r="F44" i="3"/>
  <c r="C45" i="3"/>
  <c r="C44" i="3"/>
  <c r="E45" i="3"/>
  <c r="E44" i="3"/>
  <c r="G45" i="3"/>
  <c r="G44" i="3"/>
  <c r="D45" i="3"/>
  <c r="D44" i="3"/>
  <c r="C60" i="3"/>
  <c r="H60" i="3" s="1"/>
  <c r="D59" i="3"/>
  <c r="I59" i="3" l="1"/>
  <c r="E59" i="3" s="1"/>
  <c r="J59" i="3" s="1"/>
  <c r="J68" i="3" s="1"/>
  <c r="C61" i="3"/>
  <c r="H61" i="3" s="1"/>
  <c r="D60" i="3" l="1"/>
  <c r="I60" i="3" s="1"/>
  <c r="F59" i="3"/>
  <c r="K59" i="3" s="1"/>
  <c r="K68" i="3" s="1"/>
  <c r="E60" i="3"/>
  <c r="J60" i="3" s="1"/>
  <c r="H62" i="3"/>
  <c r="D61" i="3" l="1"/>
  <c r="I61" i="3" s="1"/>
  <c r="D62" i="3"/>
  <c r="I62" i="3" s="1"/>
  <c r="F60" i="3"/>
  <c r="K60" i="3" s="1"/>
  <c r="F61" i="3" s="1"/>
  <c r="K61" i="3" s="1"/>
  <c r="G59" i="3"/>
  <c r="L59" i="3" s="1"/>
  <c r="E61" i="3"/>
  <c r="J61" i="3" s="1"/>
  <c r="C63" i="3"/>
  <c r="H63" i="3" s="1"/>
  <c r="M59" i="3" l="1"/>
  <c r="O59" i="3" s="1"/>
  <c r="P59" i="3" s="1"/>
  <c r="L68" i="3"/>
  <c r="E62" i="3"/>
  <c r="C64" i="3"/>
  <c r="H64" i="3" s="1"/>
  <c r="D63" i="3"/>
  <c r="I63" i="3" s="1"/>
  <c r="D64" i="3" s="1"/>
  <c r="I64" i="3" s="1"/>
  <c r="G60" i="3"/>
  <c r="L60" i="3" s="1"/>
  <c r="M70" i="3" l="1"/>
  <c r="M60" i="3"/>
  <c r="M71" i="3" s="1"/>
  <c r="G61" i="3"/>
  <c r="L61" i="3" s="1"/>
  <c r="H65" i="3"/>
  <c r="O60" i="3" l="1"/>
  <c r="M61" i="3"/>
  <c r="O61" i="3" s="1"/>
  <c r="D65" i="3"/>
  <c r="I65" i="3" s="1"/>
  <c r="C66" i="3"/>
  <c r="H66" i="3" s="1"/>
  <c r="C67" i="3" s="1"/>
  <c r="H67" i="3" s="1"/>
  <c r="E65" i="3"/>
  <c r="D66" i="3" l="1"/>
  <c r="I66" i="3" s="1"/>
  <c r="D67" i="3" s="1"/>
  <c r="I67" i="3" s="1"/>
  <c r="M72" i="3"/>
  <c r="J62" i="3"/>
  <c r="E63" i="3"/>
  <c r="J63" i="3"/>
  <c r="F62" i="3" l="1"/>
  <c r="K62" i="3" s="1"/>
  <c r="G62" i="3" s="1"/>
  <c r="L62" i="3" s="1"/>
  <c r="E64" i="3"/>
  <c r="J64" i="3" s="1"/>
  <c r="F63" i="3"/>
  <c r="K63" i="3" s="1"/>
  <c r="F64" i="3" s="1"/>
  <c r="K64" i="3" s="1"/>
  <c r="J65" i="3"/>
  <c r="M62" i="3" l="1"/>
  <c r="M73" i="3" s="1"/>
  <c r="F65" i="3"/>
  <c r="K65" i="3" s="1"/>
  <c r="G63" i="3"/>
  <c r="L63" i="3" s="1"/>
  <c r="O62" i="3"/>
  <c r="E66" i="3"/>
  <c r="J66" i="3" s="1"/>
  <c r="M63" i="3" l="1"/>
  <c r="M74" i="3" s="1"/>
  <c r="G65" i="3"/>
  <c r="L65" i="3" s="1"/>
  <c r="M65" i="3" s="1"/>
  <c r="F66" i="3"/>
  <c r="K66" i="3" s="1"/>
  <c r="F67" i="3" s="1"/>
  <c r="K67" i="3" s="1"/>
  <c r="G64" i="3"/>
  <c r="L64" i="3" s="1"/>
  <c r="M64" i="3" s="1"/>
  <c r="O63" i="3"/>
  <c r="E67" i="3"/>
  <c r="J67" i="3" s="1"/>
  <c r="O64" i="3" l="1"/>
  <c r="M75" i="3"/>
  <c r="G66" i="3"/>
  <c r="L66" i="3" s="1"/>
  <c r="M66" i="3" s="1"/>
  <c r="M76" i="3"/>
  <c r="G67" i="3" l="1"/>
  <c r="L67" i="3" s="1"/>
  <c r="M67" i="3" s="1"/>
  <c r="O65" i="3"/>
  <c r="M78" i="3" l="1"/>
  <c r="O67" i="3"/>
  <c r="M77" i="3"/>
  <c r="O66" i="3"/>
  <c r="O68" i="3" s="1"/>
</calcChain>
</file>

<file path=xl/sharedStrings.xml><?xml version="1.0" encoding="utf-8"?>
<sst xmlns="http://schemas.openxmlformats.org/spreadsheetml/2006/main" count="265" uniqueCount="109">
  <si>
    <t>TANGGAL ORDER</t>
  </si>
  <si>
    <t>TEMA DESIGN</t>
  </si>
  <si>
    <t>J.PESANAN</t>
  </si>
  <si>
    <t>PRODUK</t>
  </si>
  <si>
    <t>BAHAN</t>
  </si>
  <si>
    <t>J.PRODUK</t>
  </si>
  <si>
    <t>DATELINE</t>
  </si>
  <si>
    <t>FINISHING</t>
  </si>
  <si>
    <t>STATUS</t>
  </si>
  <si>
    <t>6332_BANG RACHMAN DIKCAB (DONNY-DIAN)(TOMKET)</t>
  </si>
  <si>
    <t>MILANO</t>
  </si>
  <si>
    <t>6333_PO LETDA GANI ARTA DADU 3121-2 (DANI)</t>
  </si>
  <si>
    <t>POLYMESS</t>
  </si>
  <si>
    <t>ENLISTED</t>
  </si>
  <si>
    <t>BILABONG</t>
  </si>
  <si>
    <t>6342_PO BANG ANDRIS_MARINE2_OGI (TOMKET)</t>
  </si>
  <si>
    <t>JERSEY</t>
  </si>
  <si>
    <t>LYCRA</t>
  </si>
  <si>
    <t>6345_PO BANG TIRTA (DONNY)(TOMKET)</t>
  </si>
  <si>
    <t>JAKET</t>
  </si>
  <si>
    <t>LOTTO</t>
  </si>
  <si>
    <t>SHARK TEAM</t>
  </si>
  <si>
    <t>6350_PO BANG ANGGA_PASPAMPRESS 3(MADI)(TOMKET)</t>
  </si>
  <si>
    <t>6351_PO BANG IKO(madi)(TOMKET)</t>
  </si>
  <si>
    <t>6352_PO BAPA AGAN_MUTIARA STREET STELL (SABLON)</t>
  </si>
  <si>
    <t>Nama Mesin</t>
  </si>
  <si>
    <t>Jumlah</t>
  </si>
  <si>
    <t>Kapasitas</t>
  </si>
  <si>
    <t>Kapasitas/Mesin</t>
  </si>
  <si>
    <t>Jam Operasi</t>
  </si>
  <si>
    <t>Jahit</t>
  </si>
  <si>
    <t>16 jam</t>
  </si>
  <si>
    <t>Overdeck</t>
  </si>
  <si>
    <t>Obras</t>
  </si>
  <si>
    <t>Printer</t>
  </si>
  <si>
    <t>Press</t>
  </si>
  <si>
    <t>Waktu Pengamatan Pembuatan Jersey (Menit)</t>
  </si>
  <si>
    <t>No</t>
  </si>
  <si>
    <t>Desain</t>
  </si>
  <si>
    <t>Print</t>
  </si>
  <si>
    <t>Cutting</t>
  </si>
  <si>
    <t>QC</t>
  </si>
  <si>
    <t>Rata-rata</t>
  </si>
  <si>
    <t>Waktu Pengamatan Pembuatan Jaket (Menit)</t>
  </si>
  <si>
    <t>Waktu Mesin</t>
  </si>
  <si>
    <t>DATELINE (Menit)</t>
  </si>
  <si>
    <t>Mesin Jahit</t>
  </si>
  <si>
    <t>Setrika</t>
  </si>
  <si>
    <t>Gunting</t>
  </si>
  <si>
    <t>Mesin</t>
  </si>
  <si>
    <t>Non-Mesin</t>
  </si>
  <si>
    <t>Dari Pernyataan di atas bisa dikatakan terdapat 6 Mesin dan 1 Non-Mesin</t>
  </si>
  <si>
    <t>Jam</t>
  </si>
  <si>
    <t>1 Jam</t>
  </si>
  <si>
    <t>Menit</t>
  </si>
  <si>
    <t>Kategori</t>
  </si>
  <si>
    <t>Tepat Waktu</t>
  </si>
  <si>
    <t>Tidak Tepat Waktu</t>
  </si>
  <si>
    <t>Jersey</t>
  </si>
  <si>
    <t>Jaket</t>
  </si>
  <si>
    <t>Sorting</t>
  </si>
  <si>
    <t>SUM Mesin Per Mesin dan hitung lateness</t>
  </si>
  <si>
    <t>Ci</t>
  </si>
  <si>
    <t>Waktu Mesin (Mulai)</t>
  </si>
  <si>
    <t>Waktu Mesin (Selesai)</t>
  </si>
  <si>
    <t>1 Hari Kerja</t>
  </si>
  <si>
    <t>Lateness</t>
  </si>
  <si>
    <t>Perhitungan di atas tidak memperdulikan pekerjaan yang non-mesin seperti QC dan Cutting</t>
  </si>
  <si>
    <t>Nj</t>
  </si>
  <si>
    <t>No PO</t>
  </si>
  <si>
    <t>13/3/2021</t>
  </si>
  <si>
    <t>14/3/2021</t>
  </si>
  <si>
    <t>M1 (Printer)</t>
  </si>
  <si>
    <t>M2 (Press)</t>
  </si>
  <si>
    <t>M3 (Jahit)</t>
  </si>
  <si>
    <t>M4 (Overdeck)</t>
  </si>
  <si>
    <t>M5 (Obras)</t>
  </si>
  <si>
    <t>Order</t>
  </si>
  <si>
    <t>Order 1</t>
  </si>
  <si>
    <t>Order 3</t>
  </si>
  <si>
    <t>Order 2</t>
  </si>
  <si>
    <t>Order 4</t>
  </si>
  <si>
    <t>Order 6</t>
  </si>
  <si>
    <t>Order 5</t>
  </si>
  <si>
    <t>Order 9</t>
  </si>
  <si>
    <t>Order 7</t>
  </si>
  <si>
    <t>Order 8</t>
  </si>
  <si>
    <t xml:space="preserve">TANGGAL Order </t>
  </si>
  <si>
    <t>Order  1</t>
  </si>
  <si>
    <t>Jika Lj ≤ 0, artinya saat penyelesaian memenuhi batas akhir. 
Jika Lj &gt; 0, artinya saat penyelesaian melewati batas akhir (Terlambat). Jika Order j pertama kali terlambat (saat penyelesaian melewati batas akhir (Lj &gt; 0)), maka 
cari Order a sebelum Order j yang mempunyai waktu total pengerjaan paling lama. 
Kemudian hilangkan Order a tersebut, untuk dikerjakaan setelah semua Order tidak ada 
lagi yang terlambat setelah semuanya diproses</t>
  </si>
  <si>
    <t>Order  3</t>
  </si>
  <si>
    <t>Order  2</t>
  </si>
  <si>
    <t>Order  4</t>
  </si>
  <si>
    <t>Order  6</t>
  </si>
  <si>
    <t>Order  5</t>
  </si>
  <si>
    <t>Order  9</t>
  </si>
  <si>
    <t>Order  7</t>
  </si>
  <si>
    <t>Order  8</t>
  </si>
  <si>
    <t>Kesimpulan: Ternyata menggunakan algoritma Hudgson, jika mengurutkan terlebih dahulu dateline yang paling dekat. Dapat mengurangi sistem keterlambatan yang terjadi, hal ini dilihat dari waktu standar dan jumlah barang (jumlah produk) yang dimiliki serta tipe waktu pengataman yang berbeda tiap produk. Perhatikan bahwasanya dengan terdapat barang yang memiliki jumlah barang yang kurang dari jumlah produk yang dimiliki. Dengan Algoritma Hudgson yang mengurutkan deadline terkecil dan menghitung waktu mesin yang diletakkan sebagai Order  pertama dapat disimpulkan bahwasanya dapat mengurangi keterlambatan penyelesaian produk. Hal ini dikarenakan diliat dari Latenes yang dimiliki, semua deadline bersifat negatif yang mengartikan bahwasanya nilai tersebut tidak melebihi batas waktu deadline</t>
  </si>
  <si>
    <t>Start Time</t>
  </si>
  <si>
    <t xml:space="preserve">Task Name </t>
  </si>
  <si>
    <t>Duration</t>
  </si>
  <si>
    <t>Maret 2021</t>
  </si>
  <si>
    <t>Waktu Total QC</t>
  </si>
  <si>
    <t>Waktu Total Desain</t>
  </si>
  <si>
    <t>Waktu Total Cutting</t>
  </si>
  <si>
    <t xml:space="preserve">Waktu Total </t>
  </si>
  <si>
    <t>DATELINE (per hari)</t>
  </si>
  <si>
    <t>diurut kan berdasarkan deadline terkecil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</si>
</sst>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1"/>
      <color theme="1"/>
      <name val="Calibri"/>
      <family val="2"/>
      <scheme val="minor"/>
    </font>
    <font>
      <b/>
      <sz val="11"/>
      <color theme="1"/>
      <name val="Calibri"/>
      <family val="2"/>
      <scheme val="minor"/>
    </font>
    <font>
      <b/>
      <sz val="11"/>
      <color rgb="FF000000"/>
      <name val="Calibri"/>
      <family val="2"/>
    </font>
    <font>
      <b/>
      <sz val="11"/>
      <color theme="1"/>
      <name val="Calibri"/>
      <family val="2"/>
    </font>
    <font>
      <b/>
      <sz val="11"/>
      <name val="Calibri"/>
      <family val="2"/>
    </font>
    <font>
      <b/>
      <sz val="11"/>
      <name val="Calibri"/>
      <family val="2"/>
      <scheme val="minor"/>
    </font>
    <font>
      <b/>
      <sz val="10"/>
      <name val="Calibri"/>
      <family val="2"/>
      <scheme val="minor"/>
    </font>
    <font>
      <sz val="11"/>
      <color rgb="FF000000"/>
      <name val="Calibri"/>
      <family val="2"/>
    </font>
    <font>
      <sz val="11"/>
      <name val="Calibri"/>
      <family val="2"/>
    </font>
    <font>
      <b/>
      <sz val="18"/>
      <color theme="1"/>
      <name val="Calibri"/>
      <family val="2"/>
      <scheme val="minor"/>
    </font>
    <font>
      <b/>
      <sz val="20"/>
      <color theme="1"/>
      <name val="Calibri"/>
      <family val="2"/>
      <scheme val="minor"/>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bgColor rgb="FFD9D9D9"/>
      </patternFill>
    </fill>
    <fill>
      <patternFill patternType="solid">
        <fgColor theme="0"/>
        <bgColor rgb="FFA6A6A6"/>
      </patternFill>
    </fill>
    <fill>
      <patternFill patternType="solid">
        <fgColor rgb="FFFFC000"/>
        <bgColor rgb="FFA6A6A6"/>
      </patternFill>
    </fill>
    <fill>
      <patternFill patternType="solid">
        <fgColor rgb="FFFFC000"/>
        <bgColor rgb="FFD9D9D9"/>
      </patternFill>
    </fill>
    <fill>
      <patternFill patternType="solid">
        <fgColor theme="7"/>
        <bgColor indexed="64"/>
      </patternFill>
    </fill>
    <fill>
      <patternFill patternType="solid">
        <fgColor rgb="FFFFC000"/>
        <bgColor indexed="64"/>
      </patternFill>
    </fill>
    <fill>
      <patternFill patternType="solid">
        <fgColor theme="7"/>
        <bgColor rgb="FFA6A6A6"/>
      </patternFill>
    </fill>
    <fill>
      <patternFill patternType="solid">
        <fgColor theme="7"/>
        <bgColor rgb="FFD9D9D9"/>
      </patternFill>
    </fill>
  </fills>
  <borders count="34">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142">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37" fontId="1" fillId="2" borderId="1" xfId="0" applyNumberFormat="1" applyFont="1" applyFill="1" applyBorder="1" applyAlignment="1">
      <alignment horizontal="center" vertical="center"/>
    </xf>
    <xf numFmtId="164" fontId="2" fillId="3" borderId="1" xfId="0" applyNumberFormat="1" applyFont="1" applyFill="1" applyBorder="1" applyAlignment="1">
      <alignment horizontal="center"/>
    </xf>
    <xf numFmtId="37" fontId="2" fillId="3" borderId="1" xfId="0" applyNumberFormat="1" applyFont="1" applyFill="1" applyBorder="1" applyAlignment="1">
      <alignment horizontal="center"/>
    </xf>
    <xf numFmtId="0" fontId="3" fillId="0" borderId="1" xfId="0" applyFont="1" applyBorder="1" applyAlignment="1">
      <alignment horizontal="left" vertical="center"/>
    </xf>
    <xf numFmtId="0" fontId="0" fillId="2" borderId="1" xfId="0" applyFill="1" applyBorder="1"/>
    <xf numFmtId="164" fontId="2" fillId="4" borderId="1" xfId="0" applyNumberFormat="1" applyFont="1" applyFill="1" applyBorder="1" applyAlignment="1">
      <alignment horizontal="center"/>
    </xf>
    <xf numFmtId="37"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37"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0" fontId="4" fillId="7" borderId="1" xfId="0" applyFont="1" applyFill="1" applyBorder="1" applyAlignment="1">
      <alignment horizontal="left" vertical="center"/>
    </xf>
    <xf numFmtId="0" fontId="0" fillId="8" borderId="1" xfId="0" applyFill="1" applyBorder="1"/>
    <xf numFmtId="164" fontId="4" fillId="0" borderId="1" xfId="0" applyNumberFormat="1" applyFont="1" applyBorder="1" applyAlignment="1">
      <alignment horizontal="center"/>
    </xf>
    <xf numFmtId="37" fontId="4" fillId="0" borderId="1" xfId="0" applyNumberFormat="1" applyFont="1" applyBorder="1" applyAlignment="1">
      <alignment horizontal="center"/>
    </xf>
    <xf numFmtId="0" fontId="4" fillId="0" borderId="1" xfId="0" applyFont="1" applyBorder="1" applyAlignment="1">
      <alignment horizontal="left" vertical="center"/>
    </xf>
    <xf numFmtId="164" fontId="4" fillId="9" borderId="1" xfId="0" applyNumberFormat="1" applyFont="1" applyFill="1" applyBorder="1" applyAlignment="1">
      <alignment horizontal="center"/>
    </xf>
    <xf numFmtId="0" fontId="4" fillId="9" borderId="1" xfId="0" applyFont="1" applyFill="1" applyBorder="1" applyAlignment="1">
      <alignment horizontal="center"/>
    </xf>
    <xf numFmtId="164" fontId="2" fillId="10" borderId="1" xfId="0" applyNumberFormat="1" applyFont="1" applyFill="1" applyBorder="1" applyAlignment="1">
      <alignment horizontal="center"/>
    </xf>
    <xf numFmtId="0" fontId="3" fillId="7" borderId="1" xfId="0" applyFont="1" applyFill="1" applyBorder="1" applyAlignment="1">
      <alignment horizontal="left" vertical="center"/>
    </xf>
    <xf numFmtId="164" fontId="4" fillId="10" borderId="1" xfId="0" applyNumberFormat="1" applyFont="1" applyFill="1" applyBorder="1" applyAlignment="1">
      <alignment horizontal="center"/>
    </xf>
    <xf numFmtId="0" fontId="4" fillId="10" borderId="1" xfId="0" applyFont="1" applyFill="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vertical="center" wrapText="1"/>
    </xf>
    <xf numFmtId="16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37" fontId="5" fillId="2" borderId="1" xfId="0" applyNumberFormat="1" applyFont="1" applyFill="1" applyBorder="1" applyAlignment="1">
      <alignment horizontal="center" vertical="center"/>
    </xf>
    <xf numFmtId="1" fontId="0" fillId="0" borderId="1" xfId="0" applyNumberFormat="1" applyBorder="1"/>
    <xf numFmtId="0" fontId="0" fillId="0" borderId="1" xfId="0" applyBorder="1"/>
    <xf numFmtId="37" fontId="0" fillId="0" borderId="1" xfId="0" applyNumberFormat="1" applyBorder="1"/>
    <xf numFmtId="0" fontId="1" fillId="0" borderId="0" xfId="0" applyFont="1"/>
    <xf numFmtId="0" fontId="1" fillId="0" borderId="0" xfId="0" applyFont="1" applyAlignment="1">
      <alignment vertical="center"/>
    </xf>
    <xf numFmtId="0" fontId="0" fillId="0" borderId="11" xfId="0" applyBorder="1"/>
    <xf numFmtId="37" fontId="0" fillId="0" borderId="11" xfId="0" applyNumberFormat="1" applyBorder="1"/>
    <xf numFmtId="0" fontId="1" fillId="0" borderId="1" xfId="0" applyFont="1" applyBorder="1"/>
    <xf numFmtId="164" fontId="7" fillId="0" borderId="1" xfId="0" applyNumberFormat="1" applyFont="1" applyBorder="1" applyAlignment="1">
      <alignment horizontal="center"/>
    </xf>
    <xf numFmtId="164" fontId="8" fillId="0" borderId="1" xfId="0" applyNumberFormat="1" applyFont="1" applyBorder="1" applyAlignment="1">
      <alignment horizontal="center"/>
    </xf>
    <xf numFmtId="0" fontId="0" fillId="0" borderId="12" xfId="0" applyBorder="1"/>
    <xf numFmtId="0" fontId="0" fillId="0" borderId="1" xfId="0" applyBorder="1" applyAlignment="1">
      <alignment horizontal="center"/>
    </xf>
    <xf numFmtId="0" fontId="0" fillId="0" borderId="12" xfId="0" applyBorder="1" applyAlignment="1">
      <alignment horizontal="center"/>
    </xf>
    <xf numFmtId="0" fontId="11" fillId="0" borderId="0" xfId="0" applyFont="1" applyAlignment="1">
      <alignment horizontal="center" vertic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4" fillId="0" borderId="1" xfId="0" applyFont="1" applyBorder="1" applyAlignment="1">
      <alignment horizontal="center"/>
    </xf>
    <xf numFmtId="0" fontId="0" fillId="0" borderId="21" xfId="0" applyBorder="1"/>
    <xf numFmtId="0" fontId="0" fillId="0" borderId="22" xfId="0" applyBorder="1"/>
    <xf numFmtId="0" fontId="0" fillId="0" borderId="23" xfId="0" applyBorder="1"/>
    <xf numFmtId="0" fontId="0" fillId="0" borderId="24" xfId="0" applyBorder="1"/>
    <xf numFmtId="0" fontId="0" fillId="7" borderId="1" xfId="0" applyFill="1" applyBorder="1"/>
    <xf numFmtId="0" fontId="2" fillId="9" borderId="1" xfId="0" applyFont="1" applyFill="1" applyBorder="1" applyAlignment="1">
      <alignment horizontal="center"/>
    </xf>
    <xf numFmtId="164" fontId="2" fillId="9" borderId="1" xfId="0" applyNumberFormat="1" applyFont="1" applyFill="1" applyBorder="1" applyAlignment="1">
      <alignment horizontal="center"/>
    </xf>
    <xf numFmtId="37" fontId="2" fillId="9" borderId="1" xfId="0" applyNumberFormat="1" applyFont="1" applyFill="1" applyBorder="1" applyAlignment="1">
      <alignment horizontal="center"/>
    </xf>
    <xf numFmtId="0" fontId="1" fillId="0" borderId="0" xfId="0" applyFont="1" applyAlignment="1">
      <alignment horizontal="center" wrapText="1"/>
    </xf>
    <xf numFmtId="0" fontId="6" fillId="0" borderId="12" xfId="0" applyFont="1" applyBorder="1" applyAlignment="1">
      <alignment horizontal="center"/>
    </xf>
    <xf numFmtId="0" fontId="6" fillId="0" borderId="13" xfId="0" applyFont="1" applyBorder="1" applyAlignment="1">
      <alignment horizontal="center"/>
    </xf>
    <xf numFmtId="0" fontId="5" fillId="2" borderId="0" xfId="0" applyFont="1" applyFill="1" applyAlignment="1">
      <alignment horizontal="center" vertical="center"/>
    </xf>
    <xf numFmtId="2" fontId="0" fillId="0" borderId="11" xfId="0" applyNumberFormat="1" applyBorder="1"/>
    <xf numFmtId="2" fontId="0" fillId="0" borderId="1" xfId="0" applyNumberFormat="1" applyBorder="1"/>
    <xf numFmtId="164" fontId="2" fillId="0" borderId="14" xfId="0" applyNumberFormat="1" applyFont="1" applyBorder="1" applyAlignment="1">
      <alignment horizontal="center" vertical="center"/>
    </xf>
    <xf numFmtId="164" fontId="2" fillId="0" borderId="16" xfId="0" applyNumberFormat="1" applyFont="1" applyBorder="1" applyAlignment="1">
      <alignment horizontal="center" vertical="center"/>
    </xf>
    <xf numFmtId="164" fontId="2" fillId="0" borderId="11" xfId="0" applyNumberFormat="1" applyFont="1" applyBorder="1" applyAlignment="1">
      <alignment horizontal="center" vertical="center"/>
    </xf>
    <xf numFmtId="164" fontId="5" fillId="2" borderId="0" xfId="0" applyNumberFormat="1" applyFont="1" applyFill="1" applyAlignment="1">
      <alignment vertical="center"/>
    </xf>
    <xf numFmtId="1" fontId="0" fillId="0" borderId="0" xfId="0" applyNumberFormat="1"/>
    <xf numFmtId="14" fontId="0" fillId="0" borderId="0" xfId="0" applyNumberFormat="1"/>
    <xf numFmtId="14" fontId="0" fillId="0" borderId="11" xfId="0" applyNumberFormat="1" applyBorder="1"/>
    <xf numFmtId="14" fontId="0" fillId="0" borderId="1" xfId="0" applyNumberFormat="1" applyBorder="1"/>
    <xf numFmtId="2" fontId="0" fillId="0" borderId="16" xfId="0" applyNumberFormat="1" applyBorder="1"/>
    <xf numFmtId="14" fontId="5" fillId="0" borderId="6" xfId="0" applyNumberFormat="1" applyFont="1" applyBorder="1" applyAlignment="1">
      <alignment horizontal="center" wrapText="1"/>
    </xf>
    <xf numFmtId="14" fontId="4" fillId="0" borderId="1" xfId="0" applyNumberFormat="1" applyFont="1" applyBorder="1" applyAlignment="1">
      <alignment horizontal="center"/>
    </xf>
    <xf numFmtId="14" fontId="8" fillId="3" borderId="1" xfId="0" applyNumberFormat="1" applyFont="1" applyFill="1" applyBorder="1" applyAlignment="1">
      <alignment horizontal="center"/>
    </xf>
    <xf numFmtId="164" fontId="7" fillId="3" borderId="1" xfId="0" applyNumberFormat="1" applyFont="1" applyFill="1" applyBorder="1" applyAlignment="1">
      <alignment horizontal="center"/>
    </xf>
    <xf numFmtId="164" fontId="7" fillId="4" borderId="1" xfId="0" applyNumberFormat="1" applyFont="1" applyFill="1" applyBorder="1" applyAlignment="1">
      <alignment horizontal="center"/>
    </xf>
    <xf numFmtId="164" fontId="8" fillId="2" borderId="1" xfId="0" applyNumberFormat="1" applyFont="1" applyFill="1" applyBorder="1" applyAlignment="1">
      <alignment horizontal="center"/>
    </xf>
    <xf numFmtId="164" fontId="8" fillId="4" borderId="1"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0" borderId="1" xfId="0" applyFont="1" applyBorder="1" applyAlignment="1">
      <alignment horizontal="center" vertical="center" wrapText="1"/>
    </xf>
    <xf numFmtId="14" fontId="1" fillId="0" borderId="7" xfId="0" applyNumberFormat="1" applyFont="1" applyBorder="1" applyAlignment="1">
      <alignment horizontal="center" wrapText="1"/>
    </xf>
    <xf numFmtId="14" fontId="1" fillId="7" borderId="7" xfId="0" applyNumberFormat="1" applyFont="1" applyFill="1" applyBorder="1" applyAlignment="1">
      <alignment horizontal="center" wrapText="1"/>
    </xf>
    <xf numFmtId="164" fontId="2" fillId="2" borderId="1" xfId="0" applyNumberFormat="1" applyFont="1" applyFill="1" applyBorder="1" applyAlignment="1">
      <alignment horizontal="center"/>
    </xf>
    <xf numFmtId="0" fontId="3" fillId="2" borderId="1" xfId="0" applyFont="1" applyFill="1" applyBorder="1" applyAlignment="1">
      <alignment horizontal="left" vertical="center"/>
    </xf>
    <xf numFmtId="14" fontId="5" fillId="2" borderId="2" xfId="0" applyNumberFormat="1" applyFont="1" applyFill="1" applyBorder="1" applyAlignment="1">
      <alignment horizontal="center" wrapText="1"/>
    </xf>
    <xf numFmtId="14" fontId="1" fillId="2" borderId="3" xfId="0" applyNumberFormat="1" applyFont="1" applyFill="1" applyBorder="1" applyAlignment="1">
      <alignment horizontal="center" wrapText="1"/>
    </xf>
    <xf numFmtId="14" fontId="2" fillId="3" borderId="1" xfId="0" applyNumberFormat="1" applyFont="1" applyFill="1" applyBorder="1" applyAlignment="1">
      <alignment horizontal="center"/>
    </xf>
    <xf numFmtId="14" fontId="2" fillId="10" borderId="1" xfId="0" applyNumberFormat="1" applyFont="1" applyFill="1" applyBorder="1" applyAlignment="1">
      <alignment horizontal="center"/>
    </xf>
    <xf numFmtId="14" fontId="2" fillId="4" borderId="1" xfId="0" applyNumberFormat="1" applyFont="1" applyFill="1" applyBorder="1" applyAlignment="1">
      <alignment horizontal="center"/>
    </xf>
    <xf numFmtId="14" fontId="4" fillId="10" borderId="1" xfId="0" applyNumberFormat="1" applyFont="1" applyFill="1" applyBorder="1" applyAlignment="1">
      <alignment horizontal="center"/>
    </xf>
    <xf numFmtId="0" fontId="0" fillId="0" borderId="29" xfId="0" applyBorder="1" applyAlignment="1">
      <alignment wrapText="1"/>
    </xf>
    <xf numFmtId="0" fontId="0" fillId="0" borderId="30" xfId="0" applyBorder="1" applyAlignment="1">
      <alignment wrapText="1"/>
    </xf>
    <xf numFmtId="0" fontId="0" fillId="0" borderId="1" xfId="0" applyBorder="1" applyAlignment="1">
      <alignment wrapText="1"/>
    </xf>
    <xf numFmtId="0" fontId="0" fillId="0" borderId="1" xfId="0" applyBorder="1" applyAlignment="1">
      <alignment horizontal="right" wrapText="1"/>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vertical="center"/>
    </xf>
    <xf numFmtId="2" fontId="0" fillId="0" borderId="0" xfId="0" applyNumberFormat="1"/>
    <xf numFmtId="0" fontId="0" fillId="0" borderId="31"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1" fillId="0" borderId="0" xfId="0" applyFont="1" applyAlignment="1">
      <alignment horizontal="center" vertical="center"/>
    </xf>
    <xf numFmtId="0" fontId="0" fillId="0" borderId="0" xfId="0" applyAlignment="1">
      <alignment horizontal="center" wrapText="1"/>
    </xf>
    <xf numFmtId="0" fontId="0" fillId="0" borderId="15"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10"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xf>
    <xf numFmtId="164" fontId="5" fillId="2" borderId="1" xfId="0" applyNumberFormat="1" applyFont="1" applyFill="1" applyBorder="1" applyAlignment="1">
      <alignment horizontal="center" vertical="center"/>
    </xf>
    <xf numFmtId="0" fontId="6" fillId="0" borderId="12" xfId="0" applyFont="1" applyBorder="1" applyAlignment="1">
      <alignment horizontal="center"/>
    </xf>
    <xf numFmtId="0" fontId="6" fillId="0" borderId="13" xfId="0" applyFont="1" applyBorder="1" applyAlignment="1">
      <alignment horizontal="center"/>
    </xf>
    <xf numFmtId="0" fontId="9" fillId="0" borderId="15" xfId="0" applyFont="1" applyBorder="1" applyAlignment="1">
      <alignment horizontal="center"/>
    </xf>
    <xf numFmtId="164" fontId="5" fillId="2" borderId="28" xfId="0" applyNumberFormat="1" applyFont="1" applyFill="1" applyBorder="1" applyAlignment="1">
      <alignment horizontal="center" vertical="center"/>
    </xf>
    <xf numFmtId="164" fontId="5" fillId="2" borderId="26" xfId="0" applyNumberFormat="1" applyFont="1" applyFill="1" applyBorder="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6" fillId="0" borderId="27" xfId="0" applyFont="1" applyBorder="1" applyAlignment="1">
      <alignment horizontal="center"/>
    </xf>
    <xf numFmtId="0" fontId="1" fillId="0" borderId="1" xfId="0" applyFont="1" applyBorder="1" applyAlignment="1">
      <alignment horizontal="center" vertical="center"/>
    </xf>
    <xf numFmtId="0" fontId="0" fillId="0" borderId="15" xfId="0" applyBorder="1" applyAlignment="1">
      <alignment horizontal="center" vertic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0" xfId="0" applyFont="1" applyAlignment="1">
      <alignment horizontal="center" wrapText="1"/>
    </xf>
    <xf numFmtId="0" fontId="0" fillId="0" borderId="0" xfId="0" applyAlignment="1">
      <alignment horizontal="center"/>
    </xf>
    <xf numFmtId="164" fontId="5" fillId="2" borderId="0" xfId="0" applyNumberFormat="1" applyFont="1" applyFill="1" applyAlignment="1">
      <alignment horizontal="center" vertical="center"/>
    </xf>
    <xf numFmtId="164" fontId="5" fillId="2" borderId="15" xfId="0" applyNumberFormat="1" applyFont="1" applyFill="1" applyBorder="1" applyAlignment="1">
      <alignment horizontal="center" vertical="center"/>
    </xf>
    <xf numFmtId="164" fontId="5" fillId="2" borderId="25" xfId="0" applyNumberFormat="1" applyFont="1" applyFill="1" applyBorder="1" applyAlignment="1">
      <alignment horizontal="center" vertical="center"/>
    </xf>
    <xf numFmtId="164" fontId="2" fillId="0" borderId="14" xfId="0" applyNumberFormat="1" applyFont="1" applyBorder="1" applyAlignment="1">
      <alignment horizontal="center" vertical="center"/>
    </xf>
    <xf numFmtId="164" fontId="2" fillId="0" borderId="16" xfId="0" applyNumberFormat="1" applyFont="1" applyBorder="1" applyAlignment="1">
      <alignment horizontal="center" vertical="center"/>
    </xf>
    <xf numFmtId="164" fontId="2" fillId="0" borderId="1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Waktu</a:t>
            </a:r>
            <a:r>
              <a:rPr lang="en-ID" baseline="0"/>
              <a:t> Mesin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stacked"/>
        <c:varyColors val="0"/>
        <c:ser>
          <c:idx val="0"/>
          <c:order val="0"/>
          <c:tx>
            <c:v>Job5</c:v>
          </c:tx>
          <c:spPr>
            <a:solidFill>
              <a:schemeClr val="accent1"/>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digunakan'!$C$59:$L$59</c:f>
              <c:numCache>
                <c:formatCode>0.00</c:formatCode>
                <c:ptCount val="10"/>
                <c:pt idx="0">
                  <c:v>0</c:v>
                </c:pt>
                <c:pt idx="1">
                  <c:v>251.61750000000001</c:v>
                </c:pt>
                <c:pt idx="2">
                  <c:v>301.30500000000001</c:v>
                </c:pt>
                <c:pt idx="3">
                  <c:v>587.10750000000007</c:v>
                </c:pt>
                <c:pt idx="4">
                  <c:v>940.61750000000006</c:v>
                </c:pt>
                <c:pt idx="5">
                  <c:v>251.61750000000001</c:v>
                </c:pt>
                <c:pt idx="6">
                  <c:v>301.30500000000001</c:v>
                </c:pt>
                <c:pt idx="7">
                  <c:v>587.10750000000007</c:v>
                </c:pt>
                <c:pt idx="8">
                  <c:v>940.61750000000006</c:v>
                </c:pt>
                <c:pt idx="9">
                  <c:v>1203.365</c:v>
                </c:pt>
              </c:numCache>
            </c:numRef>
          </c:val>
          <c:extLst>
            <c:ext xmlns:c16="http://schemas.microsoft.com/office/drawing/2014/chart" uri="{C3380CC4-5D6E-409C-BE32-E72D297353CC}">
              <c16:uniqueId val="{00000000-E54A-4523-ACC5-33EF6CAEEDE4}"/>
            </c:ext>
          </c:extLst>
        </c:ser>
        <c:ser>
          <c:idx val="1"/>
          <c:order val="1"/>
          <c:tx>
            <c:v>Job 1</c:v>
          </c:tx>
          <c:spPr>
            <a:solidFill>
              <a:schemeClr val="accent2"/>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digunakan'!$C$60:$L$60</c:f>
              <c:numCache>
                <c:formatCode>0.00</c:formatCode>
                <c:ptCount val="10"/>
                <c:pt idx="0">
                  <c:v>251.61750000000001</c:v>
                </c:pt>
                <c:pt idx="1">
                  <c:v>301.30500000000001</c:v>
                </c:pt>
                <c:pt idx="2">
                  <c:v>587.10750000000007</c:v>
                </c:pt>
                <c:pt idx="3">
                  <c:v>940.61750000000006</c:v>
                </c:pt>
                <c:pt idx="4">
                  <c:v>1203.365</c:v>
                </c:pt>
                <c:pt idx="5">
                  <c:v>362.39250000000004</c:v>
                </c:pt>
                <c:pt idx="6">
                  <c:v>323.18</c:v>
                </c:pt>
                <c:pt idx="7">
                  <c:v>712.93250000000012</c:v>
                </c:pt>
                <c:pt idx="8">
                  <c:v>1096.2508333333335</c:v>
                </c:pt>
                <c:pt idx="9">
                  <c:v>1319.04</c:v>
                </c:pt>
              </c:numCache>
            </c:numRef>
          </c:val>
          <c:extLst>
            <c:ext xmlns:c16="http://schemas.microsoft.com/office/drawing/2014/chart" uri="{C3380CC4-5D6E-409C-BE32-E72D297353CC}">
              <c16:uniqueId val="{00000001-E54A-4523-ACC5-33EF6CAEEDE4}"/>
            </c:ext>
          </c:extLst>
        </c:ser>
        <c:ser>
          <c:idx val="2"/>
          <c:order val="2"/>
          <c:tx>
            <c:v>Job 6</c:v>
          </c:tx>
          <c:spPr>
            <a:solidFill>
              <a:schemeClr val="accent3"/>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digunakan'!$C$61:$L$61</c:f>
              <c:numCache>
                <c:formatCode>0.00</c:formatCode>
                <c:ptCount val="10"/>
                <c:pt idx="0">
                  <c:v>362.39250000000004</c:v>
                </c:pt>
                <c:pt idx="1">
                  <c:v>323.18</c:v>
                </c:pt>
                <c:pt idx="2">
                  <c:v>712.93250000000012</c:v>
                </c:pt>
                <c:pt idx="3">
                  <c:v>1096.2508333333335</c:v>
                </c:pt>
                <c:pt idx="4">
                  <c:v>1319.04</c:v>
                </c:pt>
                <c:pt idx="5">
                  <c:v>470.00250000000005</c:v>
                </c:pt>
                <c:pt idx="6">
                  <c:v>344.43</c:v>
                </c:pt>
                <c:pt idx="7">
                  <c:v>835.16250000000014</c:v>
                </c:pt>
                <c:pt idx="8">
                  <c:v>1247.4375000000002</c:v>
                </c:pt>
                <c:pt idx="9">
                  <c:v>1431.4099999999999</c:v>
                </c:pt>
              </c:numCache>
            </c:numRef>
          </c:val>
          <c:extLst>
            <c:ext xmlns:c16="http://schemas.microsoft.com/office/drawing/2014/chart" uri="{C3380CC4-5D6E-409C-BE32-E72D297353CC}">
              <c16:uniqueId val="{00000002-E54A-4523-ACC5-33EF6CAEEDE4}"/>
            </c:ext>
          </c:extLst>
        </c:ser>
        <c:ser>
          <c:idx val="3"/>
          <c:order val="3"/>
          <c:tx>
            <c:v>Job 9</c:v>
          </c:tx>
          <c:spPr>
            <a:solidFill>
              <a:schemeClr val="accent4"/>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digunakan'!$C$62:$L$62</c:f>
              <c:numCache>
                <c:formatCode>0.00</c:formatCode>
                <c:ptCount val="10"/>
                <c:pt idx="0">
                  <c:v>0</c:v>
                </c:pt>
                <c:pt idx="1">
                  <c:v>107.61</c:v>
                </c:pt>
                <c:pt idx="2">
                  <c:v>128.86000000000001</c:v>
                </c:pt>
                <c:pt idx="3">
                  <c:v>251.09000000000003</c:v>
                </c:pt>
                <c:pt idx="4">
                  <c:v>402.2766666666667</c:v>
                </c:pt>
                <c:pt idx="5">
                  <c:v>107.61</c:v>
                </c:pt>
                <c:pt idx="6">
                  <c:v>128.86000000000001</c:v>
                </c:pt>
                <c:pt idx="7">
                  <c:v>251.09000000000003</c:v>
                </c:pt>
                <c:pt idx="8">
                  <c:v>402.2766666666667</c:v>
                </c:pt>
                <c:pt idx="9">
                  <c:v>514.64666666666676</c:v>
                </c:pt>
              </c:numCache>
            </c:numRef>
          </c:val>
          <c:extLst>
            <c:ext xmlns:c16="http://schemas.microsoft.com/office/drawing/2014/chart" uri="{C3380CC4-5D6E-409C-BE32-E72D297353CC}">
              <c16:uniqueId val="{00000003-E54A-4523-ACC5-33EF6CAEEDE4}"/>
            </c:ext>
          </c:extLst>
        </c:ser>
        <c:ser>
          <c:idx val="4"/>
          <c:order val="4"/>
          <c:tx>
            <c:v>Job 3</c:v>
          </c:tx>
          <c:spPr>
            <a:solidFill>
              <a:schemeClr val="accent5"/>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digunakan'!$C$63:$L$63</c:f>
              <c:numCache>
                <c:formatCode>0.00</c:formatCode>
                <c:ptCount val="10"/>
                <c:pt idx="0">
                  <c:v>107.61</c:v>
                </c:pt>
                <c:pt idx="1">
                  <c:v>128.86000000000001</c:v>
                </c:pt>
                <c:pt idx="2">
                  <c:v>251.09000000000003</c:v>
                </c:pt>
                <c:pt idx="3">
                  <c:v>402.2766666666667</c:v>
                </c:pt>
                <c:pt idx="4">
                  <c:v>514.64666666666676</c:v>
                </c:pt>
                <c:pt idx="5">
                  <c:v>218.38499999999999</c:v>
                </c:pt>
                <c:pt idx="6">
                  <c:v>150.73500000000001</c:v>
                </c:pt>
                <c:pt idx="7">
                  <c:v>376.91500000000002</c:v>
                </c:pt>
                <c:pt idx="8">
                  <c:v>557.91000000000008</c:v>
                </c:pt>
                <c:pt idx="9">
                  <c:v>630.32166666666672</c:v>
                </c:pt>
              </c:numCache>
            </c:numRef>
          </c:val>
          <c:extLst>
            <c:ext xmlns:c16="http://schemas.microsoft.com/office/drawing/2014/chart" uri="{C3380CC4-5D6E-409C-BE32-E72D297353CC}">
              <c16:uniqueId val="{00000004-E54A-4523-ACC5-33EF6CAEEDE4}"/>
            </c:ext>
          </c:extLst>
        </c:ser>
        <c:ser>
          <c:idx val="5"/>
          <c:order val="5"/>
          <c:tx>
            <c:v>Job 7</c:v>
          </c:tx>
          <c:spPr>
            <a:solidFill>
              <a:schemeClr val="accent6"/>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digunakan'!$C$64:$L$64</c:f>
              <c:numCache>
                <c:formatCode>0.00</c:formatCode>
                <c:ptCount val="10"/>
                <c:pt idx="0">
                  <c:v>218.38499999999999</c:v>
                </c:pt>
                <c:pt idx="1">
                  <c:v>150.73500000000001</c:v>
                </c:pt>
                <c:pt idx="2">
                  <c:v>376.91500000000002</c:v>
                </c:pt>
                <c:pt idx="3">
                  <c:v>557.91000000000008</c:v>
                </c:pt>
                <c:pt idx="4">
                  <c:v>630.32166666666672</c:v>
                </c:pt>
                <c:pt idx="5">
                  <c:v>360.81</c:v>
                </c:pt>
                <c:pt idx="6">
                  <c:v>178.86</c:v>
                </c:pt>
                <c:pt idx="7">
                  <c:v>538.69000000000005</c:v>
                </c:pt>
                <c:pt idx="8">
                  <c:v>758.0100000000001</c:v>
                </c:pt>
                <c:pt idx="9">
                  <c:v>779.04666666666674</c:v>
                </c:pt>
              </c:numCache>
            </c:numRef>
          </c:val>
          <c:extLst>
            <c:ext xmlns:c16="http://schemas.microsoft.com/office/drawing/2014/chart" uri="{C3380CC4-5D6E-409C-BE32-E72D297353CC}">
              <c16:uniqueId val="{00000005-E54A-4523-ACC5-33EF6CAEEDE4}"/>
            </c:ext>
          </c:extLst>
        </c:ser>
        <c:ser>
          <c:idx val="6"/>
          <c:order val="6"/>
          <c:tx>
            <c:v>Job 8</c:v>
          </c:tx>
          <c:spPr>
            <a:solidFill>
              <a:schemeClr val="accent1">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digunakan'!$C$65:$L$65</c:f>
              <c:numCache>
                <c:formatCode>0.00</c:formatCode>
                <c:ptCount val="10"/>
                <c:pt idx="0">
                  <c:v>0</c:v>
                </c:pt>
                <c:pt idx="1">
                  <c:v>18.990000000000002</c:v>
                </c:pt>
                <c:pt idx="2">
                  <c:v>22.740000000000002</c:v>
                </c:pt>
                <c:pt idx="3">
                  <c:v>44.31</c:v>
                </c:pt>
                <c:pt idx="4">
                  <c:v>70.989999999999995</c:v>
                </c:pt>
                <c:pt idx="5">
                  <c:v>18.990000000000002</c:v>
                </c:pt>
                <c:pt idx="6">
                  <c:v>22.740000000000002</c:v>
                </c:pt>
                <c:pt idx="7">
                  <c:v>44.31</c:v>
                </c:pt>
                <c:pt idx="8">
                  <c:v>70.989999999999995</c:v>
                </c:pt>
                <c:pt idx="9">
                  <c:v>90.82</c:v>
                </c:pt>
              </c:numCache>
            </c:numRef>
          </c:val>
          <c:extLst>
            <c:ext xmlns:c16="http://schemas.microsoft.com/office/drawing/2014/chart" uri="{C3380CC4-5D6E-409C-BE32-E72D297353CC}">
              <c16:uniqueId val="{00000006-E54A-4523-ACC5-33EF6CAEEDE4}"/>
            </c:ext>
          </c:extLst>
        </c:ser>
        <c:ser>
          <c:idx val="7"/>
          <c:order val="7"/>
          <c:tx>
            <c:v>Job 4</c:v>
          </c:tx>
          <c:spPr>
            <a:solidFill>
              <a:schemeClr val="accent2">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digunakan'!$C$66:$L$66</c:f>
              <c:numCache>
                <c:formatCode>0.00</c:formatCode>
                <c:ptCount val="10"/>
                <c:pt idx="0">
                  <c:v>18.990000000000002</c:v>
                </c:pt>
                <c:pt idx="1">
                  <c:v>22.740000000000002</c:v>
                </c:pt>
                <c:pt idx="2">
                  <c:v>44.31</c:v>
                </c:pt>
                <c:pt idx="3">
                  <c:v>70.989999999999995</c:v>
                </c:pt>
                <c:pt idx="4">
                  <c:v>90.82</c:v>
                </c:pt>
                <c:pt idx="5">
                  <c:v>33.232500000000002</c:v>
                </c:pt>
                <c:pt idx="6">
                  <c:v>25.552500000000002</c:v>
                </c:pt>
                <c:pt idx="7">
                  <c:v>60.487500000000004</c:v>
                </c:pt>
                <c:pt idx="8">
                  <c:v>91</c:v>
                </c:pt>
                <c:pt idx="9">
                  <c:v>105.6925</c:v>
                </c:pt>
              </c:numCache>
            </c:numRef>
          </c:val>
          <c:extLst>
            <c:ext xmlns:c16="http://schemas.microsoft.com/office/drawing/2014/chart" uri="{C3380CC4-5D6E-409C-BE32-E72D297353CC}">
              <c16:uniqueId val="{00000007-E54A-4523-ACC5-33EF6CAEEDE4}"/>
            </c:ext>
          </c:extLst>
        </c:ser>
        <c:ser>
          <c:idx val="8"/>
          <c:order val="8"/>
          <c:tx>
            <c:v>Job 2</c:v>
          </c:tx>
          <c:spPr>
            <a:solidFill>
              <a:schemeClr val="accent3">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digunakan'!$C$67:$L$67</c:f>
              <c:numCache>
                <c:formatCode>0.00</c:formatCode>
                <c:ptCount val="10"/>
                <c:pt idx="0">
                  <c:v>33.232500000000002</c:v>
                </c:pt>
                <c:pt idx="1">
                  <c:v>25.552500000000002</c:v>
                </c:pt>
                <c:pt idx="2">
                  <c:v>60.487500000000004</c:v>
                </c:pt>
                <c:pt idx="3">
                  <c:v>91</c:v>
                </c:pt>
                <c:pt idx="4">
                  <c:v>105.6925</c:v>
                </c:pt>
                <c:pt idx="5">
                  <c:v>36.397500000000001</c:v>
                </c:pt>
                <c:pt idx="6">
                  <c:v>26.177500000000002</c:v>
                </c:pt>
                <c:pt idx="7">
                  <c:v>64.08250000000001</c:v>
                </c:pt>
                <c:pt idx="8">
                  <c:v>95.446666666666673</c:v>
                </c:pt>
                <c:pt idx="9">
                  <c:v>108.9975</c:v>
                </c:pt>
              </c:numCache>
            </c:numRef>
          </c:val>
          <c:extLst>
            <c:ext xmlns:c16="http://schemas.microsoft.com/office/drawing/2014/chart" uri="{C3380CC4-5D6E-409C-BE32-E72D297353CC}">
              <c16:uniqueId val="{00000008-E54A-4523-ACC5-33EF6CAEEDE4}"/>
            </c:ext>
          </c:extLst>
        </c:ser>
        <c:dLbls>
          <c:showLegendKey val="0"/>
          <c:showVal val="0"/>
          <c:showCatName val="0"/>
          <c:showSerName val="0"/>
          <c:showPercent val="0"/>
          <c:showBubbleSize val="0"/>
        </c:dLbls>
        <c:gapWidth val="150"/>
        <c:overlap val="100"/>
        <c:axId val="767500463"/>
        <c:axId val="767510031"/>
      </c:barChart>
      <c:catAx>
        <c:axId val="7675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67510031"/>
        <c:crosses val="autoZero"/>
        <c:auto val="1"/>
        <c:lblAlgn val="ctr"/>
        <c:lblOffset val="100"/>
        <c:noMultiLvlLbl val="0"/>
      </c:catAx>
      <c:valAx>
        <c:axId val="7675100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6750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a:t>
            </a:r>
            <a:r>
              <a:rPr lang="en-ID" baseline="0"/>
              <a:t> Dateline dan Waktu Hasil Algoritma Hudgson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v>Estimasi Waktu Selesai</c:v>
          </c:tx>
          <c:spPr>
            <a:solidFill>
              <a:schemeClr val="accent1"/>
            </a:solidFill>
            <a:ln>
              <a:noFill/>
            </a:ln>
            <a:effectLst/>
          </c:spPr>
          <c:invertIfNegative val="0"/>
          <c:cat>
            <c:strRef>
              <c:f>'Dataset yang digunakan'!$B$59:$B$67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digunakan'!$M$59:$M$67</c:f>
              <c:numCache>
                <c:formatCode>0</c:formatCode>
                <c:ptCount val="9"/>
                <c:pt idx="0">
                  <c:v>5.1440026041666673</c:v>
                </c:pt>
                <c:pt idx="1">
                  <c:v>4.7280373263888889</c:v>
                </c:pt>
                <c:pt idx="2">
                  <c:v>5.2853984375000005</c:v>
                </c:pt>
                <c:pt idx="3">
                  <c:v>4.4817534722222225</c:v>
                </c:pt>
                <c:pt idx="4">
                  <c:v>2.473069444444445</c:v>
                </c:pt>
                <c:pt idx="5">
                  <c:v>3.5009965277777781</c:v>
                </c:pt>
                <c:pt idx="6">
                  <c:v>0.38602083333333331</c:v>
                </c:pt>
                <c:pt idx="7">
                  <c:v>0.38252604166666671</c:v>
                </c:pt>
                <c:pt idx="8">
                  <c:v>0.50464756944444444</c:v>
                </c:pt>
              </c:numCache>
            </c:numRef>
          </c:val>
          <c:extLst>
            <c:ext xmlns:c16="http://schemas.microsoft.com/office/drawing/2014/chart" uri="{C3380CC4-5D6E-409C-BE32-E72D297353CC}">
              <c16:uniqueId val="{00000000-F123-4FF8-B587-CDCAB1116D04}"/>
            </c:ext>
          </c:extLst>
        </c:ser>
        <c:ser>
          <c:idx val="1"/>
          <c:order val="1"/>
          <c:tx>
            <c:v>Dateline</c:v>
          </c:tx>
          <c:spPr>
            <a:solidFill>
              <a:schemeClr val="accent2"/>
            </a:solidFill>
            <a:ln>
              <a:noFill/>
            </a:ln>
            <a:effectLst/>
          </c:spPr>
          <c:invertIfNegative val="0"/>
          <c:cat>
            <c:strRef>
              <c:f>'Dataset yang digunakan'!$B$59:$B$67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digunakan'!$N$59:$N$67</c:f>
              <c:numCache>
                <c:formatCode>0</c:formatCode>
                <c:ptCount val="9"/>
                <c:pt idx="0">
                  <c:v>7</c:v>
                </c:pt>
                <c:pt idx="1">
                  <c:v>9</c:v>
                </c:pt>
                <c:pt idx="2">
                  <c:v>13</c:v>
                </c:pt>
                <c:pt idx="3">
                  <c:v>2</c:v>
                </c:pt>
                <c:pt idx="4">
                  <c:v>8</c:v>
                </c:pt>
                <c:pt idx="5">
                  <c:v>11</c:v>
                </c:pt>
                <c:pt idx="6">
                  <c:v>8</c:v>
                </c:pt>
                <c:pt idx="7">
                  <c:v>9</c:v>
                </c:pt>
                <c:pt idx="8">
                  <c:v>10</c:v>
                </c:pt>
              </c:numCache>
            </c:numRef>
          </c:val>
          <c:extLst>
            <c:ext xmlns:c16="http://schemas.microsoft.com/office/drawing/2014/chart" uri="{C3380CC4-5D6E-409C-BE32-E72D297353CC}">
              <c16:uniqueId val="{00000001-F123-4FF8-B587-CDCAB1116D04}"/>
            </c:ext>
          </c:extLst>
        </c:ser>
        <c:dLbls>
          <c:showLegendKey val="0"/>
          <c:showVal val="0"/>
          <c:showCatName val="0"/>
          <c:showSerName val="0"/>
          <c:showPercent val="0"/>
          <c:showBubbleSize val="0"/>
        </c:dLbls>
        <c:gapWidth val="219"/>
        <c:overlap val="-27"/>
        <c:axId val="589187423"/>
        <c:axId val="589184511"/>
      </c:barChart>
      <c:catAx>
        <c:axId val="58918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89184511"/>
        <c:crosses val="autoZero"/>
        <c:auto val="1"/>
        <c:lblAlgn val="ctr"/>
        <c:lblOffset val="100"/>
        <c:noMultiLvlLbl val="0"/>
      </c:catAx>
      <c:valAx>
        <c:axId val="58918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8918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48268230180854"/>
          <c:y val="8.8356680748979954E-2"/>
          <c:w val="0.81825021872265968"/>
          <c:h val="0.8416746864975212"/>
        </c:manualLayout>
      </c:layout>
      <c:barChart>
        <c:barDir val="bar"/>
        <c:grouping val="stacked"/>
        <c:varyColors val="0"/>
        <c:ser>
          <c:idx val="0"/>
          <c:order val="0"/>
          <c:tx>
            <c:strRef>
              <c:f>'Dataset yang digunakan'!$S$57:$S$58</c:f>
              <c:strCache>
                <c:ptCount val="2"/>
                <c:pt idx="0">
                  <c:v>Start Time</c:v>
                </c:pt>
              </c:strCache>
            </c:strRef>
          </c:tx>
          <c:spPr>
            <a:noFill/>
            <a:ln>
              <a:noFill/>
            </a:ln>
            <a:effectLst/>
          </c:spPr>
          <c:invertIfNegative val="0"/>
          <c:cat>
            <c:strRef>
              <c:f>'Dataset yang digunakan'!$R$59:$R$67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digunakan'!$S$59:$S$67</c:f>
              <c:numCache>
                <c:formatCode>m/d/yyyy</c:formatCode>
                <c:ptCount val="9"/>
                <c:pt idx="0">
                  <c:v>44256</c:v>
                </c:pt>
                <c:pt idx="1">
                  <c:v>44256</c:v>
                </c:pt>
                <c:pt idx="2">
                  <c:v>44256</c:v>
                </c:pt>
                <c:pt idx="3">
                  <c:v>44257</c:v>
                </c:pt>
                <c:pt idx="4">
                  <c:v>44257</c:v>
                </c:pt>
                <c:pt idx="5">
                  <c:v>44257</c:v>
                </c:pt>
                <c:pt idx="6">
                  <c:v>44258</c:v>
                </c:pt>
                <c:pt idx="7">
                  <c:v>44258</c:v>
                </c:pt>
                <c:pt idx="8">
                  <c:v>44258</c:v>
                </c:pt>
              </c:numCache>
            </c:numRef>
          </c:val>
          <c:extLst>
            <c:ext xmlns:c16="http://schemas.microsoft.com/office/drawing/2014/chart" uri="{C3380CC4-5D6E-409C-BE32-E72D297353CC}">
              <c16:uniqueId val="{0000004A-5B62-44DB-8700-037454C3A32C}"/>
            </c:ext>
          </c:extLst>
        </c:ser>
        <c:ser>
          <c:idx val="1"/>
          <c:order val="1"/>
          <c:tx>
            <c:strRef>
              <c:f>'Dataset yang digunakan'!$T$57:$T$58</c:f>
              <c:strCache>
                <c:ptCount val="2"/>
                <c:pt idx="0">
                  <c:v>Duration</c:v>
                </c:pt>
              </c:strCache>
            </c:strRef>
          </c:tx>
          <c:spPr>
            <a:solidFill>
              <a:schemeClr val="accent2"/>
            </a:solidFill>
            <a:ln>
              <a:noFill/>
            </a:ln>
            <a:effectLst/>
          </c:spPr>
          <c:invertIfNegative val="0"/>
          <c:cat>
            <c:strRef>
              <c:f>'Dataset yang digunakan'!$R$59:$R$67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digunakan'!$T$59:$T$67</c:f>
              <c:numCache>
                <c:formatCode>0</c:formatCode>
                <c:ptCount val="9"/>
                <c:pt idx="0">
                  <c:v>5</c:v>
                </c:pt>
                <c:pt idx="1">
                  <c:v>5</c:v>
                </c:pt>
                <c:pt idx="2">
                  <c:v>5</c:v>
                </c:pt>
                <c:pt idx="3">
                  <c:v>4</c:v>
                </c:pt>
                <c:pt idx="4">
                  <c:v>2</c:v>
                </c:pt>
                <c:pt idx="5">
                  <c:v>4</c:v>
                </c:pt>
                <c:pt idx="6">
                  <c:v>1</c:v>
                </c:pt>
                <c:pt idx="7">
                  <c:v>1</c:v>
                </c:pt>
                <c:pt idx="8">
                  <c:v>1</c:v>
                </c:pt>
              </c:numCache>
            </c:numRef>
          </c:val>
          <c:extLst>
            <c:ext xmlns:c16="http://schemas.microsoft.com/office/drawing/2014/chart" uri="{C3380CC4-5D6E-409C-BE32-E72D297353CC}">
              <c16:uniqueId val="{0000004B-5B62-44DB-8700-037454C3A32C}"/>
            </c:ext>
          </c:extLst>
        </c:ser>
        <c:dLbls>
          <c:showLegendKey val="0"/>
          <c:showVal val="0"/>
          <c:showCatName val="0"/>
          <c:showSerName val="0"/>
          <c:showPercent val="0"/>
          <c:showBubbleSize val="0"/>
        </c:dLbls>
        <c:gapWidth val="150"/>
        <c:overlap val="100"/>
        <c:axId val="1323574896"/>
        <c:axId val="1229829728"/>
      </c:barChart>
      <c:catAx>
        <c:axId val="132357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229829728"/>
        <c:crosses val="autoZero"/>
        <c:auto val="1"/>
        <c:lblAlgn val="ctr"/>
        <c:lblOffset val="100"/>
        <c:noMultiLvlLbl val="0"/>
      </c:catAx>
      <c:valAx>
        <c:axId val="1229829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Gantt Chart Estimasi dan Penjadwalan</a:t>
                </a:r>
              </a:p>
            </c:rich>
          </c:tx>
          <c:layout>
            <c:manualLayout>
              <c:xMode val="edge"/>
              <c:yMode val="edge"/>
              <c:x val="0.35161874432248991"/>
              <c:y val="1.653507652139564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235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1120</xdr:colOff>
      <xdr:row>78</xdr:row>
      <xdr:rowOff>119063</xdr:rowOff>
    </xdr:from>
    <xdr:to>
      <xdr:col>8</xdr:col>
      <xdr:colOff>515470</xdr:colOff>
      <xdr:row>105</xdr:row>
      <xdr:rowOff>57150</xdr:rowOff>
    </xdr:to>
    <xdr:graphicFrame macro="">
      <xdr:nvGraphicFramePr>
        <xdr:cNvPr id="3" name="Chart 2">
          <a:extLst>
            <a:ext uri="{FF2B5EF4-FFF2-40B4-BE49-F238E27FC236}">
              <a16:creationId xmlns:a16="http://schemas.microsoft.com/office/drawing/2014/main" id="{3EC048E1-120D-520C-BC91-8258A92BE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66954</xdr:colOff>
      <xdr:row>78</xdr:row>
      <xdr:rowOff>165006</xdr:rowOff>
    </xdr:from>
    <xdr:to>
      <xdr:col>19</xdr:col>
      <xdr:colOff>153520</xdr:colOff>
      <xdr:row>101</xdr:row>
      <xdr:rowOff>169768</xdr:rowOff>
    </xdr:to>
    <xdr:graphicFrame macro="">
      <xdr:nvGraphicFramePr>
        <xdr:cNvPr id="5" name="Chart 4">
          <a:extLst>
            <a:ext uri="{FF2B5EF4-FFF2-40B4-BE49-F238E27FC236}">
              <a16:creationId xmlns:a16="http://schemas.microsoft.com/office/drawing/2014/main" id="{BCD19F7F-77BB-E664-D9F3-3F879C98C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506506</xdr:colOff>
      <xdr:row>81</xdr:row>
      <xdr:rowOff>58270</xdr:rowOff>
    </xdr:from>
    <xdr:to>
      <xdr:col>30</xdr:col>
      <xdr:colOff>331694</xdr:colOff>
      <xdr:row>99</xdr:row>
      <xdr:rowOff>152400</xdr:rowOff>
    </xdr:to>
    <xdr:graphicFrame macro="">
      <xdr:nvGraphicFramePr>
        <xdr:cNvPr id="4" name="Chart 3">
          <a:extLst>
            <a:ext uri="{FF2B5EF4-FFF2-40B4-BE49-F238E27FC236}">
              <a16:creationId xmlns:a16="http://schemas.microsoft.com/office/drawing/2014/main" id="{8CA5A451-5699-46AB-A5D8-BF024B7E0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94F3-0249-45CE-B303-FAEDC5DA2481}">
  <dimension ref="A1:J10"/>
  <sheetViews>
    <sheetView tabSelected="1" workbookViewId="0">
      <selection activeCell="C22" sqref="C22"/>
    </sheetView>
  </sheetViews>
  <sheetFormatPr defaultColWidth="9.28515625" defaultRowHeight="15" x14ac:dyDescent="0.25"/>
  <cols>
    <col min="2" max="2" width="16.28515625" bestFit="1" customWidth="1"/>
    <col min="3" max="3" width="53.7109375" bestFit="1" customWidth="1"/>
    <col min="4" max="4" width="10.7109375" bestFit="1" customWidth="1"/>
    <col min="5" max="5" width="10" bestFit="1" customWidth="1"/>
    <col min="6" max="6" width="10.42578125" bestFit="1" customWidth="1"/>
    <col min="7" max="7" width="9.7109375" bestFit="1" customWidth="1"/>
    <col min="8" max="9" width="10.7109375" bestFit="1" customWidth="1"/>
    <col min="10" max="10" width="12.140625" bestFit="1" customWidth="1"/>
  </cols>
  <sheetData>
    <row r="1" spans="1:10" ht="15.75" thickBot="1" x14ac:dyDescent="0.3">
      <c r="A1" s="39" t="s">
        <v>69</v>
      </c>
      <c r="B1" s="1" t="s">
        <v>0</v>
      </c>
      <c r="C1" s="1" t="s">
        <v>1</v>
      </c>
      <c r="D1" s="2" t="s">
        <v>2</v>
      </c>
      <c r="E1" s="1" t="s">
        <v>3</v>
      </c>
      <c r="F1" s="2" t="s">
        <v>4</v>
      </c>
      <c r="G1" s="3" t="s">
        <v>5</v>
      </c>
      <c r="H1" s="33" t="s">
        <v>6</v>
      </c>
      <c r="I1" s="1" t="s">
        <v>7</v>
      </c>
      <c r="J1" s="2" t="s">
        <v>8</v>
      </c>
    </row>
    <row r="2" spans="1:10" ht="14.45" customHeight="1" thickBot="1" x14ac:dyDescent="0.3">
      <c r="A2" s="50">
        <v>6332</v>
      </c>
      <c r="B2" s="80">
        <v>44256</v>
      </c>
      <c r="C2" s="4" t="s">
        <v>9</v>
      </c>
      <c r="D2" s="5">
        <v>159</v>
      </c>
      <c r="E2" s="88" t="s">
        <v>16</v>
      </c>
      <c r="F2" s="89" t="s">
        <v>10</v>
      </c>
      <c r="G2" s="5">
        <v>159</v>
      </c>
      <c r="H2" s="90">
        <v>44262</v>
      </c>
      <c r="I2" s="91">
        <v>44261</v>
      </c>
      <c r="J2" s="7" t="str">
        <f>IF(I2&lt;=H2,"Tepat Waktu","Terlambat")</f>
        <v>Tepat Waktu</v>
      </c>
    </row>
    <row r="3" spans="1:10" ht="13.9" customHeight="1" thickBot="1" x14ac:dyDescent="0.3">
      <c r="A3" s="51">
        <v>6333</v>
      </c>
      <c r="B3" s="81">
        <v>44256</v>
      </c>
      <c r="C3" s="8" t="s">
        <v>11</v>
      </c>
      <c r="D3" s="9">
        <v>68</v>
      </c>
      <c r="E3" s="4" t="s">
        <v>16</v>
      </c>
      <c r="F3" s="6" t="s">
        <v>12</v>
      </c>
      <c r="G3" s="9">
        <v>68</v>
      </c>
      <c r="H3" s="77" t="s">
        <v>70</v>
      </c>
      <c r="I3" s="86">
        <v>44267</v>
      </c>
      <c r="J3" s="7" t="str">
        <f t="shared" ref="J3:J10" si="0">IF(I3&lt;=H3,"Tepat Waktu","Terlambat")</f>
        <v>Tepat Waktu</v>
      </c>
    </row>
    <row r="4" spans="1:10" ht="15.75" thickBot="1" x14ac:dyDescent="0.3">
      <c r="A4" s="59">
        <v>6337</v>
      </c>
      <c r="B4" s="81">
        <v>44256</v>
      </c>
      <c r="C4" s="60" t="s">
        <v>13</v>
      </c>
      <c r="D4" s="61">
        <v>70</v>
      </c>
      <c r="E4" s="20" t="s">
        <v>16</v>
      </c>
      <c r="F4" s="21" t="s">
        <v>14</v>
      </c>
      <c r="G4" s="61">
        <v>70</v>
      </c>
      <c r="H4" s="77">
        <v>44264</v>
      </c>
      <c r="I4" s="87" t="s">
        <v>71</v>
      </c>
      <c r="J4" s="58" t="str">
        <f t="shared" si="0"/>
        <v>Terlambat</v>
      </c>
    </row>
    <row r="5" spans="1:10" x14ac:dyDescent="0.25">
      <c r="A5" s="52">
        <v>6345</v>
      </c>
      <c r="B5" s="81">
        <v>44257</v>
      </c>
      <c r="C5" s="10" t="s">
        <v>18</v>
      </c>
      <c r="D5" s="11">
        <v>90</v>
      </c>
      <c r="E5" s="12" t="s">
        <v>19</v>
      </c>
      <c r="F5" s="13" t="s">
        <v>20</v>
      </c>
      <c r="G5" s="11">
        <v>90</v>
      </c>
      <c r="H5" s="78">
        <v>44267</v>
      </c>
      <c r="I5" s="93">
        <v>44269</v>
      </c>
      <c r="J5" s="14" t="str">
        <f>IF(I5&lt;=H5,"Tepat Waktu","Terlambat")</f>
        <v>Terlambat</v>
      </c>
    </row>
    <row r="6" spans="1:10" x14ac:dyDescent="0.25">
      <c r="A6" s="50">
        <v>6342</v>
      </c>
      <c r="B6" s="80">
        <v>44257</v>
      </c>
      <c r="C6" s="4" t="s">
        <v>15</v>
      </c>
      <c r="D6" s="5">
        <v>8</v>
      </c>
      <c r="E6" s="4" t="s">
        <v>16</v>
      </c>
      <c r="F6" s="6" t="s">
        <v>17</v>
      </c>
      <c r="G6" s="5">
        <v>8</v>
      </c>
      <c r="H6" s="78">
        <v>44258</v>
      </c>
      <c r="I6" s="92">
        <v>44258</v>
      </c>
      <c r="J6" s="7" t="str">
        <f>IF(I6&lt;=H6,"Tepat Waktu","Terlambat")</f>
        <v>Tepat Waktu</v>
      </c>
    </row>
    <row r="7" spans="1:10" x14ac:dyDescent="0.25">
      <c r="A7" s="53">
        <v>6348</v>
      </c>
      <c r="B7" s="82">
        <v>44257</v>
      </c>
      <c r="C7" s="15" t="s">
        <v>21</v>
      </c>
      <c r="D7" s="16">
        <v>70</v>
      </c>
      <c r="E7" s="15" t="s">
        <v>16</v>
      </c>
      <c r="F7" s="17" t="s">
        <v>10</v>
      </c>
      <c r="G7" s="16">
        <v>70</v>
      </c>
      <c r="H7" s="78">
        <v>44264</v>
      </c>
      <c r="I7" s="78">
        <v>44260</v>
      </c>
      <c r="J7" s="7" t="str">
        <f t="shared" si="0"/>
        <v>Tepat Waktu</v>
      </c>
    </row>
    <row r="8" spans="1:10" x14ac:dyDescent="0.25">
      <c r="A8" s="50">
        <v>6350</v>
      </c>
      <c r="B8" s="80">
        <v>44258</v>
      </c>
      <c r="C8" s="4" t="s">
        <v>22</v>
      </c>
      <c r="D8" s="5">
        <v>9</v>
      </c>
      <c r="E8" s="4" t="s">
        <v>16</v>
      </c>
      <c r="F8" s="17" t="s">
        <v>12</v>
      </c>
      <c r="G8" s="5">
        <v>9</v>
      </c>
      <c r="H8" s="78">
        <v>44266</v>
      </c>
      <c r="I8" s="94">
        <v>44263</v>
      </c>
      <c r="J8" s="7" t="str">
        <f t="shared" si="0"/>
        <v>Tepat Waktu</v>
      </c>
    </row>
    <row r="9" spans="1:10" x14ac:dyDescent="0.25">
      <c r="A9" s="19">
        <v>6351</v>
      </c>
      <c r="B9" s="83">
        <v>44258</v>
      </c>
      <c r="C9" s="18" t="s">
        <v>23</v>
      </c>
      <c r="D9" s="19">
        <v>2</v>
      </c>
      <c r="E9" s="20" t="s">
        <v>16</v>
      </c>
      <c r="F9" s="21" t="s">
        <v>14</v>
      </c>
      <c r="G9" s="19">
        <v>2</v>
      </c>
      <c r="H9" s="78">
        <v>44267</v>
      </c>
      <c r="I9" s="95">
        <v>44268</v>
      </c>
      <c r="J9" s="58" t="str">
        <f t="shared" si="0"/>
        <v>Terlambat</v>
      </c>
    </row>
    <row r="10" spans="1:10" x14ac:dyDescent="0.25">
      <c r="A10" s="23">
        <v>6352</v>
      </c>
      <c r="B10" s="84">
        <v>44258</v>
      </c>
      <c r="C10" s="22" t="s">
        <v>24</v>
      </c>
      <c r="D10" s="23">
        <v>12</v>
      </c>
      <c r="E10" s="20" t="s">
        <v>16</v>
      </c>
      <c r="F10" s="21" t="s">
        <v>17</v>
      </c>
      <c r="G10" s="23">
        <v>12</v>
      </c>
      <c r="H10" s="78">
        <v>44265</v>
      </c>
      <c r="I10" s="79">
        <v>44266</v>
      </c>
      <c r="J10" s="58" t="str">
        <f t="shared" si="0"/>
        <v>Terlambat</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9668-E5DA-46A3-8B0F-95D731655E1C}">
  <dimension ref="A1:T38"/>
  <sheetViews>
    <sheetView topLeftCell="A11" workbookViewId="0">
      <selection activeCell="C33" sqref="C33"/>
    </sheetView>
  </sheetViews>
  <sheetFormatPr defaultColWidth="8.7109375" defaultRowHeight="15" x14ac:dyDescent="0.25"/>
  <cols>
    <col min="13" max="13" width="12.42578125" bestFit="1" customWidth="1"/>
    <col min="15" max="15" width="9.42578125" bestFit="1" customWidth="1"/>
    <col min="16" max="16" width="11" bestFit="1" customWidth="1"/>
    <col min="20" max="20" width="11" bestFit="1" customWidth="1"/>
  </cols>
  <sheetData>
    <row r="1" spans="1:20" ht="30.75" thickBot="1" x14ac:dyDescent="0.3">
      <c r="A1" s="24" t="s">
        <v>25</v>
      </c>
      <c r="B1" s="25" t="s">
        <v>26</v>
      </c>
      <c r="C1" s="25" t="s">
        <v>27</v>
      </c>
      <c r="D1" s="25" t="s">
        <v>28</v>
      </c>
      <c r="E1" s="25" t="s">
        <v>29</v>
      </c>
      <c r="F1" s="26"/>
      <c r="G1" s="27"/>
      <c r="H1" s="27"/>
      <c r="I1" s="27"/>
    </row>
    <row r="2" spans="1:20" ht="15.75" thickBot="1" x14ac:dyDescent="0.3">
      <c r="A2" s="28" t="s">
        <v>30</v>
      </c>
      <c r="B2" s="29">
        <v>4</v>
      </c>
      <c r="C2" s="29">
        <v>300</v>
      </c>
      <c r="D2" s="29">
        <v>1</v>
      </c>
      <c r="E2" s="29" t="s">
        <v>31</v>
      </c>
      <c r="F2" s="26"/>
      <c r="G2" s="27"/>
      <c r="H2" s="27"/>
      <c r="I2" s="27"/>
    </row>
    <row r="3" spans="1:20" ht="30.75" thickBot="1" x14ac:dyDescent="0.3">
      <c r="A3" s="28" t="s">
        <v>32</v>
      </c>
      <c r="B3" s="29">
        <v>3</v>
      </c>
      <c r="C3" s="29">
        <v>300</v>
      </c>
      <c r="D3" s="29">
        <v>1</v>
      </c>
      <c r="E3" s="29" t="s">
        <v>31</v>
      </c>
      <c r="F3" s="26"/>
      <c r="G3" s="27"/>
      <c r="H3" s="27"/>
      <c r="I3" s="27"/>
      <c r="N3" s="107" t="s">
        <v>49</v>
      </c>
      <c r="O3" s="107"/>
      <c r="P3" s="107"/>
      <c r="Q3" s="107"/>
      <c r="R3" s="107"/>
      <c r="T3" s="40" t="s">
        <v>50</v>
      </c>
    </row>
    <row r="4" spans="1:20" ht="15.75" thickBot="1" x14ac:dyDescent="0.3">
      <c r="A4" s="28" t="s">
        <v>33</v>
      </c>
      <c r="B4" s="29">
        <v>4</v>
      </c>
      <c r="C4" s="29">
        <v>300</v>
      </c>
      <c r="D4" s="29">
        <v>1</v>
      </c>
      <c r="E4" s="29" t="s">
        <v>31</v>
      </c>
      <c r="F4" s="26"/>
      <c r="G4" s="27"/>
      <c r="H4" s="27"/>
      <c r="I4" s="27"/>
      <c r="P4" s="39" t="s">
        <v>30</v>
      </c>
      <c r="R4" s="39" t="s">
        <v>41</v>
      </c>
      <c r="T4" s="39" t="s">
        <v>40</v>
      </c>
    </row>
    <row r="5" spans="1:20" ht="15.75" thickBot="1" x14ac:dyDescent="0.3">
      <c r="A5" s="28" t="s">
        <v>34</v>
      </c>
      <c r="B5" s="29">
        <v>4</v>
      </c>
      <c r="C5" s="29">
        <v>300</v>
      </c>
      <c r="D5" s="29">
        <v>1</v>
      </c>
      <c r="E5" s="29" t="s">
        <v>31</v>
      </c>
      <c r="F5" s="26"/>
      <c r="G5" s="27"/>
      <c r="H5" s="27"/>
      <c r="I5" s="27"/>
      <c r="N5" t="s">
        <v>35</v>
      </c>
      <c r="P5" t="s">
        <v>46</v>
      </c>
      <c r="R5" t="s">
        <v>47</v>
      </c>
      <c r="T5" t="s">
        <v>48</v>
      </c>
    </row>
    <row r="6" spans="1:20" ht="15.75" thickBot="1" x14ac:dyDescent="0.3">
      <c r="A6" s="28" t="s">
        <v>35</v>
      </c>
      <c r="B6" s="29">
        <v>2</v>
      </c>
      <c r="C6" s="29">
        <v>300</v>
      </c>
      <c r="D6" s="29">
        <v>2</v>
      </c>
      <c r="E6" s="29" t="s">
        <v>31</v>
      </c>
      <c r="F6" s="26"/>
      <c r="G6" s="27"/>
      <c r="H6" s="27"/>
      <c r="I6" s="27"/>
      <c r="N6" t="s">
        <v>38</v>
      </c>
      <c r="P6" t="s">
        <v>32</v>
      </c>
    </row>
    <row r="7" spans="1:20" ht="15.75" thickBot="1" x14ac:dyDescent="0.3">
      <c r="A7" s="30"/>
      <c r="B7" s="31"/>
      <c r="C7" s="31"/>
      <c r="D7" s="31"/>
      <c r="E7" s="31"/>
      <c r="F7" s="32"/>
      <c r="G7" s="27"/>
      <c r="H7" s="27"/>
      <c r="I7" s="27"/>
      <c r="N7" t="s">
        <v>30</v>
      </c>
      <c r="P7" t="s">
        <v>33</v>
      </c>
    </row>
    <row r="8" spans="1:20" ht="15.75" thickBot="1" x14ac:dyDescent="0.3">
      <c r="A8" s="30"/>
      <c r="B8" s="31"/>
      <c r="C8" s="31"/>
      <c r="D8" s="31"/>
      <c r="E8" s="31"/>
      <c r="F8" s="32"/>
      <c r="G8" s="27"/>
      <c r="H8" s="27"/>
      <c r="I8" s="27"/>
    </row>
    <row r="9" spans="1:20" x14ac:dyDescent="0.25">
      <c r="A9" s="96"/>
      <c r="B9" s="96"/>
      <c r="C9" s="96"/>
      <c r="D9" s="96"/>
      <c r="E9" s="96"/>
      <c r="F9" s="96"/>
      <c r="G9" s="96"/>
      <c r="H9" s="96"/>
      <c r="I9" s="96"/>
      <c r="N9" s="108" t="s">
        <v>51</v>
      </c>
      <c r="O9" s="108"/>
      <c r="P9" s="108"/>
      <c r="Q9" s="108"/>
      <c r="R9" s="108"/>
      <c r="S9" s="108"/>
    </row>
    <row r="10" spans="1:20" ht="15.75" customHeight="1" x14ac:dyDescent="0.25">
      <c r="A10" s="110" t="s">
        <v>36</v>
      </c>
      <c r="B10" s="110"/>
      <c r="C10" s="110"/>
      <c r="D10" s="110"/>
      <c r="E10" s="110"/>
      <c r="F10" s="110"/>
      <c r="G10" s="110"/>
      <c r="H10" s="110"/>
      <c r="I10" s="110"/>
      <c r="J10" s="110"/>
      <c r="K10" s="110"/>
      <c r="L10" s="110"/>
      <c r="N10" s="108"/>
      <c r="O10" s="108"/>
      <c r="P10" s="108"/>
      <c r="Q10" s="108"/>
      <c r="R10" s="108"/>
      <c r="S10" s="108"/>
    </row>
    <row r="11" spans="1:20" ht="45" x14ac:dyDescent="0.25">
      <c r="A11" s="98" t="s">
        <v>37</v>
      </c>
      <c r="B11" s="98" t="s">
        <v>38</v>
      </c>
      <c r="C11" s="98" t="s">
        <v>39</v>
      </c>
      <c r="D11" s="98" t="s">
        <v>40</v>
      </c>
      <c r="E11" s="98" t="s">
        <v>35</v>
      </c>
      <c r="F11" s="98" t="s">
        <v>30</v>
      </c>
      <c r="G11" s="98" t="s">
        <v>32</v>
      </c>
      <c r="H11" s="98" t="s">
        <v>33</v>
      </c>
      <c r="I11" s="98" t="s">
        <v>41</v>
      </c>
      <c r="J11" s="98" t="s">
        <v>105</v>
      </c>
      <c r="K11" s="98" t="s">
        <v>103</v>
      </c>
      <c r="L11" s="98" t="s">
        <v>106</v>
      </c>
    </row>
    <row r="12" spans="1:20" x14ac:dyDescent="0.25">
      <c r="A12" s="99">
        <v>1</v>
      </c>
      <c r="B12" s="99">
        <v>30.5</v>
      </c>
      <c r="C12" s="99">
        <v>5.9</v>
      </c>
      <c r="D12" s="99">
        <v>4.8</v>
      </c>
      <c r="E12" s="99">
        <v>1.25</v>
      </c>
      <c r="F12" s="99">
        <v>5.42</v>
      </c>
      <c r="G12" s="99">
        <v>6.2</v>
      </c>
      <c r="H12" s="99">
        <v>8.02</v>
      </c>
      <c r="I12" s="99">
        <v>4.8899999999999997</v>
      </c>
      <c r="J12" s="37">
        <f>$D$21*'Dataset Original'!D2</f>
        <v>783.87</v>
      </c>
      <c r="K12" s="37">
        <f>$I$21*'Dataset Original'!G2</f>
        <v>839.5200000000001</v>
      </c>
      <c r="L12" s="37">
        <f>SUM(K12,$B$21,J12)</f>
        <v>1654.23</v>
      </c>
      <c r="M12">
        <f>SUM(B12:B19)</f>
        <v>244.75</v>
      </c>
      <c r="O12" s="109" t="s">
        <v>58</v>
      </c>
      <c r="P12" s="109"/>
      <c r="Q12" s="109"/>
      <c r="R12" s="109"/>
      <c r="S12" s="109"/>
      <c r="T12" s="109"/>
    </row>
    <row r="13" spans="1:20" x14ac:dyDescent="0.25">
      <c r="A13" s="99">
        <v>2</v>
      </c>
      <c r="B13" s="99">
        <v>27.6</v>
      </c>
      <c r="C13" s="99">
        <v>7.3</v>
      </c>
      <c r="D13" s="99">
        <v>3.9</v>
      </c>
      <c r="E13" s="99">
        <v>1.25</v>
      </c>
      <c r="F13" s="99">
        <v>9.6</v>
      </c>
      <c r="G13" s="99">
        <v>5.0999999999999996</v>
      </c>
      <c r="H13" s="99">
        <v>7.3</v>
      </c>
      <c r="I13" s="99">
        <v>5.51</v>
      </c>
      <c r="J13" s="37">
        <f>$D$21*'Dataset Original'!D3</f>
        <v>335.24</v>
      </c>
      <c r="K13" s="37">
        <f>$I$21*'Dataset Original'!G3</f>
        <v>359.04</v>
      </c>
      <c r="L13" s="37">
        <f t="shared" ref="L13:L20" si="0">SUM(K13,$B$21,J13)</f>
        <v>725.12</v>
      </c>
      <c r="O13" s="37"/>
      <c r="P13" s="37" t="s">
        <v>30</v>
      </c>
      <c r="Q13" s="37" t="s">
        <v>32</v>
      </c>
      <c r="R13" s="37" t="s">
        <v>33</v>
      </c>
      <c r="S13" s="37" t="s">
        <v>34</v>
      </c>
      <c r="T13" s="37" t="s">
        <v>35</v>
      </c>
    </row>
    <row r="14" spans="1:20" x14ac:dyDescent="0.25">
      <c r="A14" s="99">
        <v>3</v>
      </c>
      <c r="B14" s="99">
        <v>34.25</v>
      </c>
      <c r="C14" s="99">
        <v>6.25</v>
      </c>
      <c r="D14" s="99">
        <v>5.7</v>
      </c>
      <c r="E14" s="99">
        <v>1.25</v>
      </c>
      <c r="F14" s="99">
        <v>7.27</v>
      </c>
      <c r="G14" s="99">
        <v>6.15</v>
      </c>
      <c r="H14" s="99">
        <v>5.1100000000000003</v>
      </c>
      <c r="I14" s="99">
        <v>5.77</v>
      </c>
      <c r="J14" s="37">
        <f>$D$21*'Dataset Original'!D4</f>
        <v>345.09999999999997</v>
      </c>
      <c r="K14" s="37">
        <f>$I$21*'Dataset Original'!G4</f>
        <v>369.6</v>
      </c>
      <c r="L14" s="37">
        <f t="shared" si="0"/>
        <v>745.54</v>
      </c>
      <c r="O14" s="37" t="s">
        <v>44</v>
      </c>
      <c r="P14" s="37">
        <f>F21</f>
        <v>7.19</v>
      </c>
      <c r="Q14" s="37">
        <f>G21</f>
        <v>6.67</v>
      </c>
      <c r="R14" s="37">
        <f>H21</f>
        <v>6.61</v>
      </c>
      <c r="S14" s="37">
        <f>C21</f>
        <v>6.33</v>
      </c>
      <c r="T14" s="37">
        <f>E21</f>
        <v>1.25</v>
      </c>
    </row>
    <row r="15" spans="1:20" x14ac:dyDescent="0.25">
      <c r="A15" s="99">
        <v>4</v>
      </c>
      <c r="B15" s="99">
        <v>29.6</v>
      </c>
      <c r="C15" s="99">
        <v>4.75</v>
      </c>
      <c r="D15" s="99">
        <v>4.4000000000000004</v>
      </c>
      <c r="E15" s="99">
        <v>1.25</v>
      </c>
      <c r="F15" s="99">
        <v>7.52</v>
      </c>
      <c r="G15" s="99">
        <v>7.25</v>
      </c>
      <c r="H15" s="99">
        <v>5.14</v>
      </c>
      <c r="I15" s="99">
        <v>5.12</v>
      </c>
      <c r="J15" s="37"/>
      <c r="K15" s="37"/>
      <c r="L15" s="37"/>
    </row>
    <row r="16" spans="1:20" x14ac:dyDescent="0.25">
      <c r="A16" s="99">
        <v>5</v>
      </c>
      <c r="B16" s="99">
        <v>31.35</v>
      </c>
      <c r="C16" s="99">
        <v>8.6300000000000008</v>
      </c>
      <c r="D16" s="99">
        <v>6.27</v>
      </c>
      <c r="E16" s="99">
        <v>1.25</v>
      </c>
      <c r="F16" s="99">
        <v>8.1999999999999993</v>
      </c>
      <c r="G16" s="99">
        <v>7</v>
      </c>
      <c r="H16" s="99">
        <v>7.05</v>
      </c>
      <c r="I16" s="99">
        <v>5.65</v>
      </c>
      <c r="J16" s="37">
        <f>$D$21*'Dataset Original'!D6</f>
        <v>39.44</v>
      </c>
      <c r="K16" s="37">
        <f>$I$21*'Dataset Original'!G7</f>
        <v>369.6</v>
      </c>
      <c r="L16" s="37">
        <f>SUM(K16,$B$21,J16)</f>
        <v>439.88</v>
      </c>
    </row>
    <row r="17" spans="1:20" x14ac:dyDescent="0.25">
      <c r="A17" s="99">
        <v>6</v>
      </c>
      <c r="B17" s="99">
        <v>25.4</v>
      </c>
      <c r="C17" s="99">
        <v>5.5</v>
      </c>
      <c r="D17" s="99">
        <v>5.73</v>
      </c>
      <c r="E17" s="99">
        <v>1.25</v>
      </c>
      <c r="F17" s="99">
        <v>5.67</v>
      </c>
      <c r="G17" s="99">
        <v>8.32</v>
      </c>
      <c r="H17" s="99">
        <v>8.2200000000000006</v>
      </c>
      <c r="I17" s="99">
        <v>5.34</v>
      </c>
      <c r="J17" s="37">
        <f>$D$21*'Dataset Original'!D7</f>
        <v>345.09999999999997</v>
      </c>
      <c r="K17" s="37">
        <f>$I$21*'Dataset Original'!G7</f>
        <v>369.6</v>
      </c>
      <c r="L17" s="37">
        <f t="shared" si="0"/>
        <v>745.54</v>
      </c>
      <c r="O17" s="109" t="s">
        <v>59</v>
      </c>
      <c r="P17" s="109"/>
      <c r="Q17" s="109"/>
      <c r="R17" s="109"/>
      <c r="S17" s="109"/>
      <c r="T17" s="109"/>
    </row>
    <row r="18" spans="1:20" x14ac:dyDescent="0.25">
      <c r="A18" s="99">
        <v>7</v>
      </c>
      <c r="B18" s="99">
        <v>37.5</v>
      </c>
      <c r="C18" s="99">
        <v>4.0999999999999996</v>
      </c>
      <c r="D18" s="99">
        <v>3.27</v>
      </c>
      <c r="E18" s="99">
        <v>1.25</v>
      </c>
      <c r="F18" s="99">
        <v>6.77</v>
      </c>
      <c r="G18" s="99">
        <v>5.0999999999999996</v>
      </c>
      <c r="H18" s="99">
        <v>5.43</v>
      </c>
      <c r="I18" s="99">
        <v>4.92</v>
      </c>
      <c r="J18" s="37">
        <f>$D$21*'Dataset Original'!D8</f>
        <v>44.37</v>
      </c>
      <c r="K18" s="37">
        <f>$I$21*'Dataset Original'!G8</f>
        <v>47.52</v>
      </c>
      <c r="L18" s="37">
        <f t="shared" si="0"/>
        <v>122.72999999999999</v>
      </c>
      <c r="O18" s="37"/>
      <c r="P18" s="37" t="s">
        <v>30</v>
      </c>
      <c r="Q18" s="37" t="s">
        <v>32</v>
      </c>
      <c r="R18" s="37" t="s">
        <v>33</v>
      </c>
      <c r="S18" s="37" t="s">
        <v>34</v>
      </c>
      <c r="T18" s="37" t="s">
        <v>35</v>
      </c>
    </row>
    <row r="19" spans="1:20" x14ac:dyDescent="0.25">
      <c r="A19" s="99">
        <v>8</v>
      </c>
      <c r="B19" s="99">
        <v>28.55</v>
      </c>
      <c r="C19" s="99">
        <v>7.9</v>
      </c>
      <c r="D19" s="99">
        <v>4.7699999999999996</v>
      </c>
      <c r="E19" s="99">
        <v>1.25</v>
      </c>
      <c r="F19" s="99">
        <v>8.4600000000000009</v>
      </c>
      <c r="G19" s="99">
        <v>6.23</v>
      </c>
      <c r="H19" s="99">
        <v>6.1</v>
      </c>
      <c r="I19" s="99">
        <v>5.4</v>
      </c>
      <c r="J19" s="37">
        <f>$D$21*'Dataset Original'!D9</f>
        <v>9.86</v>
      </c>
      <c r="K19" s="37">
        <f>$I$21*'Dataset Original'!G9</f>
        <v>10.56</v>
      </c>
      <c r="L19" s="37">
        <f t="shared" si="0"/>
        <v>51.26</v>
      </c>
      <c r="O19" s="37" t="s">
        <v>44</v>
      </c>
      <c r="P19" s="37">
        <f>F34</f>
        <v>6.99</v>
      </c>
      <c r="Q19" s="37">
        <f>G34</f>
        <v>6.33</v>
      </c>
      <c r="R19" s="37">
        <f>H34</f>
        <v>88.36</v>
      </c>
      <c r="S19" s="37">
        <f>C34</f>
        <v>6.57</v>
      </c>
      <c r="T19" s="37">
        <f>E34</f>
        <v>1.25</v>
      </c>
    </row>
    <row r="20" spans="1:20" x14ac:dyDescent="0.25">
      <c r="A20" s="99">
        <v>9</v>
      </c>
      <c r="B20" s="99">
        <v>32.82</v>
      </c>
      <c r="C20" s="99">
        <v>6.6</v>
      </c>
      <c r="D20" s="99">
        <v>5.5</v>
      </c>
      <c r="E20" s="99">
        <v>1.25</v>
      </c>
      <c r="F20" s="99">
        <v>5.81</v>
      </c>
      <c r="G20" s="99">
        <v>8.66</v>
      </c>
      <c r="H20" s="99">
        <v>7.12</v>
      </c>
      <c r="I20" s="99">
        <v>4.93</v>
      </c>
      <c r="J20" s="37">
        <f>$D$21*'Dataset Original'!D10</f>
        <v>59.16</v>
      </c>
      <c r="K20" s="37">
        <f>$I$21*'Dataset Original'!G10</f>
        <v>63.36</v>
      </c>
      <c r="L20" s="37">
        <f t="shared" si="0"/>
        <v>153.36000000000001</v>
      </c>
    </row>
    <row r="21" spans="1:20" ht="30" x14ac:dyDescent="0.25">
      <c r="A21" s="98" t="s">
        <v>42</v>
      </c>
      <c r="B21" s="99">
        <v>30.84</v>
      </c>
      <c r="C21" s="99">
        <v>6.33</v>
      </c>
      <c r="D21" s="99">
        <v>4.93</v>
      </c>
      <c r="E21" s="99">
        <v>1.25</v>
      </c>
      <c r="F21" s="99">
        <v>7.19</v>
      </c>
      <c r="G21" s="99">
        <v>6.67</v>
      </c>
      <c r="H21" s="99">
        <v>6.61</v>
      </c>
      <c r="I21" s="99">
        <v>5.28</v>
      </c>
      <c r="J21" s="37"/>
      <c r="K21" s="37"/>
      <c r="L21" s="37"/>
    </row>
    <row r="22" spans="1:20" ht="15.75" thickBot="1" x14ac:dyDescent="0.3">
      <c r="A22" s="97"/>
      <c r="B22" s="97"/>
      <c r="C22" s="97"/>
      <c r="D22" s="97"/>
      <c r="E22" s="97"/>
      <c r="F22" s="97"/>
      <c r="G22" s="97"/>
      <c r="H22" s="97"/>
      <c r="I22" s="97"/>
    </row>
    <row r="23" spans="1:20" x14ac:dyDescent="0.25">
      <c r="A23" s="104" t="s">
        <v>43</v>
      </c>
      <c r="B23" s="105"/>
      <c r="C23" s="105"/>
      <c r="D23" s="105"/>
      <c r="E23" s="105"/>
      <c r="F23" s="105"/>
      <c r="G23" s="105"/>
      <c r="H23" s="105"/>
      <c r="I23" s="106"/>
    </row>
    <row r="24" spans="1:20" ht="45" x14ac:dyDescent="0.25">
      <c r="A24" s="100" t="s">
        <v>37</v>
      </c>
      <c r="B24" s="100" t="s">
        <v>38</v>
      </c>
      <c r="C24" s="100" t="s">
        <v>39</v>
      </c>
      <c r="D24" s="100" t="s">
        <v>40</v>
      </c>
      <c r="E24" s="100" t="s">
        <v>35</v>
      </c>
      <c r="F24" s="100" t="s">
        <v>30</v>
      </c>
      <c r="G24" s="100" t="s">
        <v>32</v>
      </c>
      <c r="H24" s="100" t="s">
        <v>33</v>
      </c>
      <c r="I24" s="100" t="s">
        <v>41</v>
      </c>
      <c r="J24" s="100" t="s">
        <v>105</v>
      </c>
      <c r="K24" s="100" t="s">
        <v>103</v>
      </c>
      <c r="L24" s="100" t="s">
        <v>104</v>
      </c>
    </row>
    <row r="25" spans="1:20" x14ac:dyDescent="0.25">
      <c r="A25" s="101">
        <v>1</v>
      </c>
      <c r="B25" s="101">
        <v>31.5</v>
      </c>
      <c r="C25" s="101">
        <v>6.9</v>
      </c>
      <c r="D25" s="101">
        <v>6.57</v>
      </c>
      <c r="E25" s="101">
        <v>1.25</v>
      </c>
      <c r="F25" s="101">
        <v>7.52</v>
      </c>
      <c r="G25" s="101">
        <v>6.2</v>
      </c>
      <c r="H25" s="101">
        <v>8.02</v>
      </c>
      <c r="I25" s="101">
        <v>5.32</v>
      </c>
      <c r="J25" s="102"/>
      <c r="K25" s="102"/>
      <c r="L25" s="102"/>
    </row>
    <row r="26" spans="1:20" x14ac:dyDescent="0.25">
      <c r="A26" s="101">
        <v>2</v>
      </c>
      <c r="B26" s="101">
        <v>29.6</v>
      </c>
      <c r="C26" s="101">
        <v>7.23</v>
      </c>
      <c r="D26" s="101">
        <v>5.81</v>
      </c>
      <c r="E26" s="101">
        <v>1.25</v>
      </c>
      <c r="F26" s="101">
        <v>8.6</v>
      </c>
      <c r="G26" s="101">
        <v>7.1</v>
      </c>
      <c r="H26" s="101">
        <v>5.3</v>
      </c>
      <c r="I26" s="101">
        <v>5.61</v>
      </c>
      <c r="J26" s="102"/>
      <c r="K26" s="102"/>
      <c r="L26" s="102"/>
    </row>
    <row r="27" spans="1:20" x14ac:dyDescent="0.25">
      <c r="A27" s="101">
        <v>3</v>
      </c>
      <c r="B27" s="101">
        <v>37.25</v>
      </c>
      <c r="C27" s="101">
        <v>6.33</v>
      </c>
      <c r="D27" s="101">
        <v>6.32</v>
      </c>
      <c r="E27" s="101">
        <v>1.25</v>
      </c>
      <c r="F27" s="101">
        <v>6.27</v>
      </c>
      <c r="G27" s="101">
        <v>5.15</v>
      </c>
      <c r="H27" s="101">
        <v>5.1100000000000003</v>
      </c>
      <c r="I27" s="101">
        <v>5.27</v>
      </c>
      <c r="J27" s="102"/>
      <c r="K27" s="102"/>
      <c r="L27" s="102"/>
    </row>
    <row r="28" spans="1:20" x14ac:dyDescent="0.25">
      <c r="A28" s="101">
        <v>4</v>
      </c>
      <c r="B28" s="101">
        <v>30.32</v>
      </c>
      <c r="C28" s="101">
        <v>5.8</v>
      </c>
      <c r="D28" s="101">
        <v>5.47</v>
      </c>
      <c r="E28" s="101">
        <v>1.25</v>
      </c>
      <c r="F28" s="101">
        <v>8.6199999999999992</v>
      </c>
      <c r="G28" s="101">
        <v>6.25</v>
      </c>
      <c r="H28" s="101">
        <v>7.14</v>
      </c>
      <c r="I28" s="101">
        <v>5.72</v>
      </c>
      <c r="J28" s="102">
        <f>D34*'Dataset Original'!D5</f>
        <v>568.80000000000007</v>
      </c>
      <c r="K28" s="102">
        <f>I34*'Dataset Original'!D5</f>
        <v>485.09999999999997</v>
      </c>
      <c r="L28" s="102">
        <f>B34*'Dataset Original'!D5</f>
        <v>2898.0000000000005</v>
      </c>
      <c r="M28">
        <f>J28+K28+B34</f>
        <v>1086.1000000000001</v>
      </c>
    </row>
    <row r="29" spans="1:20" x14ac:dyDescent="0.25">
      <c r="A29" s="101">
        <v>5</v>
      </c>
      <c r="B29" s="101">
        <v>29.3</v>
      </c>
      <c r="C29" s="101">
        <v>7.53</v>
      </c>
      <c r="D29" s="101">
        <v>7.27</v>
      </c>
      <c r="E29" s="101">
        <v>1.25</v>
      </c>
      <c r="F29" s="101">
        <v>5.2</v>
      </c>
      <c r="G29" s="101">
        <v>7</v>
      </c>
      <c r="H29" s="101">
        <v>5.05</v>
      </c>
      <c r="I29" s="101">
        <v>5.75</v>
      </c>
      <c r="J29" s="102"/>
      <c r="K29" s="102"/>
      <c r="L29" s="102"/>
    </row>
    <row r="30" spans="1:20" x14ac:dyDescent="0.25">
      <c r="A30" s="101">
        <v>6</v>
      </c>
      <c r="B30" s="101">
        <v>30.77</v>
      </c>
      <c r="C30" s="101">
        <v>6.27</v>
      </c>
      <c r="D30" s="101">
        <v>6.53</v>
      </c>
      <c r="E30" s="101">
        <v>1.25</v>
      </c>
      <c r="F30" s="101">
        <v>7.67</v>
      </c>
      <c r="G30" s="101">
        <v>7.32</v>
      </c>
      <c r="H30" s="101">
        <v>722</v>
      </c>
      <c r="I30" s="101">
        <v>5.3</v>
      </c>
      <c r="J30" s="102"/>
      <c r="K30" s="102"/>
      <c r="L30" s="102"/>
    </row>
    <row r="31" spans="1:20" x14ac:dyDescent="0.25">
      <c r="A31" s="101">
        <v>7</v>
      </c>
      <c r="B31" s="101">
        <v>39.5</v>
      </c>
      <c r="C31" s="101">
        <v>5.14</v>
      </c>
      <c r="D31" s="101">
        <v>6.58</v>
      </c>
      <c r="E31" s="101">
        <v>1.25</v>
      </c>
      <c r="F31" s="101">
        <v>6.78</v>
      </c>
      <c r="G31" s="101">
        <v>6.1</v>
      </c>
      <c r="H31" s="101">
        <v>6.43</v>
      </c>
      <c r="I31" s="101">
        <v>5.2</v>
      </c>
      <c r="J31" s="102"/>
      <c r="K31" s="102"/>
      <c r="L31" s="102"/>
    </row>
    <row r="32" spans="1:20" x14ac:dyDescent="0.25">
      <c r="A32" s="101">
        <v>8</v>
      </c>
      <c r="B32" s="101">
        <v>30.23</v>
      </c>
      <c r="C32" s="101">
        <v>7.57</v>
      </c>
      <c r="D32" s="101">
        <v>6.77</v>
      </c>
      <c r="E32" s="101">
        <v>1.25</v>
      </c>
      <c r="F32" s="101">
        <v>5.46</v>
      </c>
      <c r="G32" s="101">
        <v>6.23</v>
      </c>
      <c r="H32" s="101">
        <v>7.1</v>
      </c>
      <c r="I32" s="101">
        <v>5.4</v>
      </c>
      <c r="J32" s="102"/>
      <c r="K32" s="102"/>
      <c r="L32" s="102"/>
    </row>
    <row r="33" spans="1:12" x14ac:dyDescent="0.25">
      <c r="A33" s="101">
        <v>9</v>
      </c>
      <c r="B33" s="101">
        <v>31.32</v>
      </c>
      <c r="C33" s="101">
        <v>6.37</v>
      </c>
      <c r="D33" s="101">
        <v>5.54</v>
      </c>
      <c r="E33" s="101">
        <v>1.25</v>
      </c>
      <c r="F33" s="101">
        <v>6.81</v>
      </c>
      <c r="G33" s="101">
        <v>5.66</v>
      </c>
      <c r="H33" s="101">
        <v>29.12</v>
      </c>
      <c r="I33" s="101">
        <v>4.93</v>
      </c>
      <c r="J33" s="102"/>
      <c r="K33" s="102"/>
      <c r="L33" s="102"/>
    </row>
    <row r="34" spans="1:12" ht="30" x14ac:dyDescent="0.25">
      <c r="A34" s="85" t="s">
        <v>42</v>
      </c>
      <c r="B34" s="101">
        <v>32.200000000000003</v>
      </c>
      <c r="C34" s="101">
        <v>6.57</v>
      </c>
      <c r="D34" s="101">
        <v>6.32</v>
      </c>
      <c r="E34" s="101">
        <v>1.25</v>
      </c>
      <c r="F34" s="101">
        <v>6.99</v>
      </c>
      <c r="G34" s="101">
        <v>6.33</v>
      </c>
      <c r="H34" s="101">
        <v>88.36</v>
      </c>
      <c r="I34" s="101">
        <v>5.39</v>
      </c>
      <c r="J34" s="102"/>
      <c r="K34" s="102"/>
      <c r="L34" s="102"/>
    </row>
    <row r="35" spans="1:12" x14ac:dyDescent="0.25">
      <c r="B35">
        <f>SUM(B25:B33)/9</f>
        <v>32.198888888888888</v>
      </c>
      <c r="C35">
        <f t="shared" ref="C35:I35" si="1">SUM(C25:C33)/9</f>
        <v>6.5711111111111116</v>
      </c>
      <c r="D35">
        <f t="shared" si="1"/>
        <v>6.3177777777777768</v>
      </c>
      <c r="E35">
        <f t="shared" si="1"/>
        <v>1.25</v>
      </c>
      <c r="F35">
        <f t="shared" si="1"/>
        <v>6.9922222222222228</v>
      </c>
      <c r="G35">
        <f t="shared" si="1"/>
        <v>6.3344444444444452</v>
      </c>
      <c r="H35">
        <f t="shared" si="1"/>
        <v>88.36333333333333</v>
      </c>
      <c r="I35">
        <f t="shared" si="1"/>
        <v>5.3888888888888893</v>
      </c>
    </row>
    <row r="36" spans="1:12" x14ac:dyDescent="0.25">
      <c r="B36">
        <f>SUM(B25:B32)/8</f>
        <v>32.308750000000003</v>
      </c>
    </row>
    <row r="37" spans="1:12" x14ac:dyDescent="0.25">
      <c r="B37">
        <f>SUM(B25:B33)</f>
        <v>289.79000000000002</v>
      </c>
      <c r="C37">
        <f t="shared" ref="C37:I37" si="2">SUM(C25:C33)</f>
        <v>59.14</v>
      </c>
      <c r="D37">
        <f t="shared" si="2"/>
        <v>56.859999999999992</v>
      </c>
      <c r="E37">
        <f t="shared" si="2"/>
        <v>11.25</v>
      </c>
      <c r="F37">
        <f t="shared" si="2"/>
        <v>62.930000000000007</v>
      </c>
      <c r="G37">
        <f t="shared" si="2"/>
        <v>57.010000000000005</v>
      </c>
      <c r="H37">
        <f t="shared" si="2"/>
        <v>795.27</v>
      </c>
      <c r="I37">
        <f t="shared" si="2"/>
        <v>48.5</v>
      </c>
    </row>
    <row r="38" spans="1:12" x14ac:dyDescent="0.25">
      <c r="B38">
        <f>SUM(B25:B32)</f>
        <v>258.47000000000003</v>
      </c>
      <c r="C38">
        <f t="shared" ref="C38:I38" si="3">SUM(C25:C32)</f>
        <v>52.77</v>
      </c>
      <c r="D38">
        <f t="shared" si="3"/>
        <v>51.319999999999993</v>
      </c>
      <c r="E38">
        <f t="shared" si="3"/>
        <v>10</v>
      </c>
      <c r="F38">
        <f t="shared" si="3"/>
        <v>56.120000000000005</v>
      </c>
      <c r="G38">
        <f t="shared" si="3"/>
        <v>51.350000000000009</v>
      </c>
      <c r="H38">
        <f t="shared" si="3"/>
        <v>766.15</v>
      </c>
      <c r="I38">
        <f t="shared" si="3"/>
        <v>43.57</v>
      </c>
    </row>
  </sheetData>
  <mergeCells count="6">
    <mergeCell ref="A23:I23"/>
    <mergeCell ref="N3:R3"/>
    <mergeCell ref="N9:S10"/>
    <mergeCell ref="O12:T12"/>
    <mergeCell ref="O17:T17"/>
    <mergeCell ref="A10: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D4331-9426-4836-971D-2307E197523C}">
  <dimension ref="A1:AY78"/>
  <sheetViews>
    <sheetView topLeftCell="A46" zoomScale="115" zoomScaleNormal="115" workbookViewId="0">
      <selection activeCell="A62" sqref="A62:XFD62"/>
    </sheetView>
  </sheetViews>
  <sheetFormatPr defaultColWidth="8.7109375" defaultRowHeight="15" x14ac:dyDescent="0.25"/>
  <cols>
    <col min="1" max="2" width="16.28515625" bestFit="1" customWidth="1"/>
    <col min="3" max="3" width="20.42578125" bestFit="1" customWidth="1"/>
    <col min="4" max="4" width="14.140625" bestFit="1" customWidth="1"/>
    <col min="5" max="5" width="15.7109375" bestFit="1" customWidth="1"/>
    <col min="6" max="6" width="14.140625" bestFit="1" customWidth="1"/>
    <col min="7" max="7" width="10.28515625" bestFit="1" customWidth="1"/>
    <col min="8" max="8" width="16.7109375" bestFit="1" customWidth="1"/>
    <col min="9" max="9" width="14.140625" bestFit="1" customWidth="1"/>
    <col min="10" max="10" width="10.7109375" bestFit="1" customWidth="1"/>
    <col min="11" max="11" width="14.140625" bestFit="1" customWidth="1"/>
    <col min="12" max="12" width="17.42578125" bestFit="1" customWidth="1"/>
    <col min="13" max="13" width="12.42578125" bestFit="1" customWidth="1"/>
    <col min="14" max="14" width="10.28515625" bestFit="1" customWidth="1"/>
    <col min="15" max="15" width="13" bestFit="1" customWidth="1"/>
    <col min="16" max="16" width="16.85546875" customWidth="1"/>
    <col min="18" max="18" width="11.7109375" bestFit="1" customWidth="1"/>
    <col min="19" max="19" width="11.85546875" bestFit="1" customWidth="1"/>
  </cols>
  <sheetData>
    <row r="1" spans="1:21" x14ac:dyDescent="0.25">
      <c r="A1" s="33" t="s">
        <v>87</v>
      </c>
      <c r="B1" s="33" t="s">
        <v>77</v>
      </c>
      <c r="C1" s="43" t="s">
        <v>55</v>
      </c>
      <c r="D1" s="34" t="s">
        <v>2</v>
      </c>
      <c r="E1" s="35" t="s">
        <v>5</v>
      </c>
      <c r="F1" s="33" t="s">
        <v>6</v>
      </c>
      <c r="G1" s="33" t="s">
        <v>7</v>
      </c>
      <c r="I1" s="65"/>
    </row>
    <row r="2" spans="1:21" x14ac:dyDescent="0.25">
      <c r="A2" s="74">
        <v>44256</v>
      </c>
      <c r="B2" s="41" t="s">
        <v>88</v>
      </c>
      <c r="C2" s="44" t="s">
        <v>16</v>
      </c>
      <c r="D2" s="42">
        <v>159</v>
      </c>
      <c r="E2" s="42">
        <v>159</v>
      </c>
      <c r="F2" s="41">
        <v>7</v>
      </c>
      <c r="G2" s="41">
        <v>6</v>
      </c>
      <c r="J2">
        <f t="shared" ref="J2:J10" si="0">G2 * $N$3</f>
        <v>114</v>
      </c>
    </row>
    <row r="3" spans="1:21" x14ac:dyDescent="0.25">
      <c r="A3" s="74">
        <v>44256</v>
      </c>
      <c r="B3" s="37" t="s">
        <v>80</v>
      </c>
      <c r="C3" s="44" t="s">
        <v>16</v>
      </c>
      <c r="D3" s="38">
        <v>68</v>
      </c>
      <c r="E3" s="38">
        <v>68</v>
      </c>
      <c r="F3" s="37">
        <v>13</v>
      </c>
      <c r="G3" s="37">
        <v>13</v>
      </c>
      <c r="J3">
        <f t="shared" si="0"/>
        <v>247</v>
      </c>
      <c r="M3" s="37" t="s">
        <v>65</v>
      </c>
      <c r="N3" s="37">
        <v>19</v>
      </c>
      <c r="O3" s="37" t="s">
        <v>52</v>
      </c>
    </row>
    <row r="4" spans="1:21" x14ac:dyDescent="0.25">
      <c r="A4" s="74">
        <v>44256</v>
      </c>
      <c r="B4" s="37" t="s">
        <v>79</v>
      </c>
      <c r="C4" s="44" t="s">
        <v>16</v>
      </c>
      <c r="D4" s="38">
        <v>70</v>
      </c>
      <c r="E4" s="38">
        <v>70</v>
      </c>
      <c r="F4" s="37">
        <v>9</v>
      </c>
      <c r="G4" s="37">
        <v>9</v>
      </c>
      <c r="J4">
        <f t="shared" si="0"/>
        <v>171</v>
      </c>
      <c r="M4" s="37" t="s">
        <v>53</v>
      </c>
      <c r="N4" s="37">
        <v>60</v>
      </c>
      <c r="O4" s="37" t="s">
        <v>54</v>
      </c>
    </row>
    <row r="5" spans="1:21" x14ac:dyDescent="0.25">
      <c r="A5" s="75">
        <v>44257</v>
      </c>
      <c r="B5" s="37" t="s">
        <v>81</v>
      </c>
      <c r="C5" s="44" t="s">
        <v>16</v>
      </c>
      <c r="D5" s="38">
        <v>8</v>
      </c>
      <c r="E5" s="38">
        <v>8</v>
      </c>
      <c r="F5" s="37">
        <v>11</v>
      </c>
      <c r="G5" s="37">
        <v>9</v>
      </c>
      <c r="J5">
        <f t="shared" si="0"/>
        <v>171</v>
      </c>
    </row>
    <row r="6" spans="1:21" ht="14.45" customHeight="1" x14ac:dyDescent="0.25">
      <c r="A6" s="75">
        <v>44257</v>
      </c>
      <c r="B6" s="37" t="s">
        <v>83</v>
      </c>
      <c r="C6" s="44" t="s">
        <v>19</v>
      </c>
      <c r="D6" s="38">
        <v>90</v>
      </c>
      <c r="E6" s="38">
        <v>90</v>
      </c>
      <c r="F6" s="37">
        <v>2</v>
      </c>
      <c r="G6" s="37">
        <v>5</v>
      </c>
      <c r="J6">
        <f t="shared" si="0"/>
        <v>95</v>
      </c>
      <c r="N6" s="118" t="s">
        <v>89</v>
      </c>
      <c r="O6" s="118"/>
      <c r="P6" s="118"/>
      <c r="Q6" s="118"/>
      <c r="R6" s="118"/>
      <c r="S6" s="118"/>
      <c r="T6" s="118"/>
      <c r="U6" s="118"/>
    </row>
    <row r="7" spans="1:21" x14ac:dyDescent="0.25">
      <c r="A7" s="75">
        <v>44257</v>
      </c>
      <c r="B7" s="37" t="s">
        <v>82</v>
      </c>
      <c r="C7" s="45" t="s">
        <v>16</v>
      </c>
      <c r="D7" s="38">
        <v>70</v>
      </c>
      <c r="E7" s="38">
        <v>70</v>
      </c>
      <c r="F7" s="37">
        <v>8</v>
      </c>
      <c r="G7" s="37">
        <v>5</v>
      </c>
      <c r="J7">
        <f t="shared" si="0"/>
        <v>95</v>
      </c>
      <c r="K7" s="37">
        <v>1</v>
      </c>
      <c r="L7" s="37" t="s">
        <v>56</v>
      </c>
      <c r="N7" s="118"/>
      <c r="O7" s="118"/>
      <c r="P7" s="118"/>
      <c r="Q7" s="118"/>
      <c r="R7" s="118"/>
      <c r="S7" s="118"/>
      <c r="T7" s="118"/>
      <c r="U7" s="118"/>
    </row>
    <row r="8" spans="1:21" x14ac:dyDescent="0.25">
      <c r="A8" s="75">
        <v>44258</v>
      </c>
      <c r="B8" s="37" t="s">
        <v>85</v>
      </c>
      <c r="C8" s="44" t="s">
        <v>16</v>
      </c>
      <c r="D8" s="38">
        <v>9</v>
      </c>
      <c r="E8" s="38">
        <v>9</v>
      </c>
      <c r="F8" s="37">
        <v>9</v>
      </c>
      <c r="G8" s="37">
        <v>8</v>
      </c>
      <c r="J8">
        <f t="shared" si="0"/>
        <v>152</v>
      </c>
      <c r="K8" s="37">
        <v>0</v>
      </c>
      <c r="L8" s="37" t="s">
        <v>57</v>
      </c>
      <c r="N8" s="118"/>
      <c r="O8" s="118"/>
      <c r="P8" s="118"/>
      <c r="Q8" s="118"/>
      <c r="R8" s="118"/>
      <c r="S8" s="118"/>
      <c r="T8" s="118"/>
      <c r="U8" s="118"/>
    </row>
    <row r="9" spans="1:21" x14ac:dyDescent="0.25">
      <c r="A9" s="75">
        <v>44258</v>
      </c>
      <c r="B9" s="37" t="s">
        <v>86</v>
      </c>
      <c r="C9" s="44" t="s">
        <v>16</v>
      </c>
      <c r="D9" s="38">
        <v>2</v>
      </c>
      <c r="E9" s="38">
        <v>2</v>
      </c>
      <c r="F9" s="37">
        <v>10</v>
      </c>
      <c r="G9" s="37">
        <v>11</v>
      </c>
      <c r="J9">
        <f t="shared" si="0"/>
        <v>209</v>
      </c>
      <c r="N9" s="118"/>
      <c r="O9" s="118"/>
      <c r="P9" s="118"/>
      <c r="Q9" s="118"/>
      <c r="R9" s="118"/>
      <c r="S9" s="118"/>
      <c r="T9" s="118"/>
      <c r="U9" s="118"/>
    </row>
    <row r="10" spans="1:21" x14ac:dyDescent="0.25">
      <c r="A10" s="75">
        <v>44258</v>
      </c>
      <c r="B10" s="37" t="s">
        <v>84</v>
      </c>
      <c r="C10" s="44" t="s">
        <v>16</v>
      </c>
      <c r="D10" s="38">
        <v>12</v>
      </c>
      <c r="E10" s="38">
        <v>12</v>
      </c>
      <c r="F10" s="37">
        <v>8</v>
      </c>
      <c r="G10" s="37">
        <v>12</v>
      </c>
      <c r="J10">
        <f t="shared" si="0"/>
        <v>228</v>
      </c>
      <c r="N10" s="118"/>
      <c r="O10" s="118"/>
      <c r="P10" s="118"/>
      <c r="Q10" s="118"/>
      <c r="R10" s="118"/>
      <c r="S10" s="118"/>
      <c r="T10" s="118"/>
      <c r="U10" s="118"/>
    </row>
    <row r="11" spans="1:21" x14ac:dyDescent="0.25">
      <c r="N11" s="118"/>
      <c r="O11" s="118"/>
      <c r="P11" s="118"/>
      <c r="Q11" s="118"/>
      <c r="R11" s="118"/>
      <c r="S11" s="118"/>
      <c r="T11" s="118"/>
      <c r="U11" s="118"/>
    </row>
    <row r="12" spans="1:21" ht="15.75" thickBot="1" x14ac:dyDescent="0.3">
      <c r="N12" s="118"/>
      <c r="O12" s="118"/>
      <c r="P12" s="118"/>
      <c r="Q12" s="118"/>
      <c r="R12" s="118"/>
      <c r="S12" s="118"/>
      <c r="T12" s="118"/>
      <c r="U12" s="118"/>
    </row>
    <row r="13" spans="1:21" x14ac:dyDescent="0.25">
      <c r="A13" s="33" t="s">
        <v>77</v>
      </c>
      <c r="B13" s="63" t="s">
        <v>44</v>
      </c>
      <c r="C13" s="64"/>
      <c r="D13" s="64"/>
      <c r="E13" s="64"/>
      <c r="F13" s="64"/>
      <c r="G13" s="117" t="s">
        <v>45</v>
      </c>
      <c r="I13" s="40"/>
      <c r="M13" s="112"/>
      <c r="N13" s="132" t="s">
        <v>58</v>
      </c>
      <c r="O13" s="132"/>
      <c r="P13" s="132"/>
      <c r="Q13" s="132"/>
      <c r="R13" s="133"/>
    </row>
    <row r="14" spans="1:21" x14ac:dyDescent="0.25">
      <c r="A14" s="33"/>
      <c r="B14" s="47" t="s">
        <v>72</v>
      </c>
      <c r="C14" s="48" t="s">
        <v>73</v>
      </c>
      <c r="D14" s="47" t="s">
        <v>74</v>
      </c>
      <c r="E14" s="47" t="s">
        <v>75</v>
      </c>
      <c r="F14" s="47" t="s">
        <v>76</v>
      </c>
      <c r="G14" s="117"/>
      <c r="I14" s="40"/>
      <c r="M14" s="113"/>
      <c r="N14" s="37" t="s">
        <v>30</v>
      </c>
      <c r="O14" s="37" t="s">
        <v>32</v>
      </c>
      <c r="P14" s="37" t="s">
        <v>33</v>
      </c>
      <c r="Q14" s="37" t="s">
        <v>34</v>
      </c>
      <c r="R14" s="54" t="s">
        <v>35</v>
      </c>
    </row>
    <row r="15" spans="1:21" ht="15.75" thickBot="1" x14ac:dyDescent="0.3">
      <c r="A15" s="37" t="s">
        <v>78</v>
      </c>
      <c r="B15" s="66">
        <f>($Q$15 * D2) / ($N$32 * $P$32)</f>
        <v>251.61750000000001</v>
      </c>
      <c r="C15" s="66">
        <f t="shared" ref="C15:C23" si="1">($R$15 * D2) / ($N$33 * $P$33)</f>
        <v>49.6875</v>
      </c>
      <c r="D15" s="66">
        <f t="shared" ref="D15:D23" si="2">($N$15 * D2) / ($N$29 * $P$29)</f>
        <v>285.80250000000001</v>
      </c>
      <c r="E15" s="66">
        <f t="shared" ref="E15:E23" si="3">($O$15 * D2) / ($N$30 * $P$30)</f>
        <v>353.51</v>
      </c>
      <c r="F15" s="66">
        <f t="shared" ref="F15:F23" si="4">($P$15 * D2) / ($N$31 * $P$31)</f>
        <v>262.7475</v>
      </c>
      <c r="G15" s="37">
        <f t="shared" ref="G15:G23" si="5">F2</f>
        <v>7</v>
      </c>
      <c r="M15" s="55" t="s">
        <v>44</v>
      </c>
      <c r="N15" s="56">
        <v>7.19</v>
      </c>
      <c r="O15" s="56">
        <v>6.67</v>
      </c>
      <c r="P15" s="56">
        <v>6.61</v>
      </c>
      <c r="Q15" s="56">
        <v>6.33</v>
      </c>
      <c r="R15" s="57">
        <v>1.25</v>
      </c>
      <c r="T15">
        <f>SUM(N15:R15)</f>
        <v>28.049999999999997</v>
      </c>
      <c r="U15">
        <f>T15 *E2</f>
        <v>4459.95</v>
      </c>
    </row>
    <row r="16" spans="1:21" x14ac:dyDescent="0.25">
      <c r="A16" s="37" t="s">
        <v>80</v>
      </c>
      <c r="B16" s="66">
        <f t="shared" ref="B16:B23" si="6">($Q$15 * D3) / ($N$32 * $P$32)</f>
        <v>107.61</v>
      </c>
      <c r="C16" s="66">
        <f t="shared" si="1"/>
        <v>21.25</v>
      </c>
      <c r="D16" s="66">
        <f t="shared" si="2"/>
        <v>122.23</v>
      </c>
      <c r="E16" s="66">
        <f t="shared" si="3"/>
        <v>151.18666666666667</v>
      </c>
      <c r="F16" s="66">
        <f t="shared" si="4"/>
        <v>112.37</v>
      </c>
      <c r="G16" s="37">
        <f t="shared" si="5"/>
        <v>13</v>
      </c>
    </row>
    <row r="17" spans="1:18" x14ac:dyDescent="0.25">
      <c r="A17" s="37" t="s">
        <v>79</v>
      </c>
      <c r="B17" s="66">
        <f t="shared" si="6"/>
        <v>110.77500000000001</v>
      </c>
      <c r="C17" s="66">
        <f t="shared" si="1"/>
        <v>21.875</v>
      </c>
      <c r="D17" s="66">
        <f t="shared" si="2"/>
        <v>125.825</v>
      </c>
      <c r="E17" s="66">
        <f t="shared" si="3"/>
        <v>155.63333333333333</v>
      </c>
      <c r="F17" s="66">
        <f t="shared" si="4"/>
        <v>115.67500000000001</v>
      </c>
      <c r="G17" s="37">
        <f t="shared" si="5"/>
        <v>9</v>
      </c>
      <c r="M17" s="114"/>
      <c r="N17" s="111" t="s">
        <v>59</v>
      </c>
      <c r="O17" s="111"/>
      <c r="P17" s="111"/>
      <c r="Q17" s="111"/>
      <c r="R17" s="111"/>
    </row>
    <row r="18" spans="1:18" x14ac:dyDescent="0.25">
      <c r="A18" s="37" t="s">
        <v>81</v>
      </c>
      <c r="B18" s="66">
        <f t="shared" si="6"/>
        <v>12.66</v>
      </c>
      <c r="C18" s="66">
        <f t="shared" si="1"/>
        <v>2.5</v>
      </c>
      <c r="D18" s="66">
        <f t="shared" si="2"/>
        <v>14.38</v>
      </c>
      <c r="E18" s="66">
        <f t="shared" si="3"/>
        <v>17.786666666666665</v>
      </c>
      <c r="F18" s="66">
        <f t="shared" si="4"/>
        <v>13.22</v>
      </c>
      <c r="G18" s="37">
        <f t="shared" si="5"/>
        <v>11</v>
      </c>
      <c r="M18" s="115"/>
      <c r="N18" s="37" t="s">
        <v>30</v>
      </c>
      <c r="O18" s="37" t="s">
        <v>32</v>
      </c>
      <c r="P18" s="37" t="s">
        <v>33</v>
      </c>
      <c r="Q18" s="37" t="s">
        <v>34</v>
      </c>
      <c r="R18" s="37" t="s">
        <v>35</v>
      </c>
    </row>
    <row r="19" spans="1:18" x14ac:dyDescent="0.25">
      <c r="A19" s="37" t="s">
        <v>83</v>
      </c>
      <c r="B19" s="66">
        <f t="shared" si="6"/>
        <v>142.42500000000001</v>
      </c>
      <c r="C19" s="66">
        <f t="shared" si="1"/>
        <v>28.125</v>
      </c>
      <c r="D19" s="66">
        <f t="shared" si="2"/>
        <v>161.77500000000001</v>
      </c>
      <c r="E19" s="66">
        <f t="shared" si="3"/>
        <v>200.1</v>
      </c>
      <c r="F19" s="66">
        <f t="shared" si="4"/>
        <v>148.72499999999999</v>
      </c>
      <c r="G19" s="37">
        <f t="shared" si="5"/>
        <v>2</v>
      </c>
      <c r="M19" s="37" t="s">
        <v>44</v>
      </c>
      <c r="N19" s="37">
        <v>6.99</v>
      </c>
      <c r="O19" s="37">
        <v>6.33</v>
      </c>
      <c r="P19" s="37">
        <v>88.36</v>
      </c>
      <c r="Q19" s="37">
        <v>6.57</v>
      </c>
      <c r="R19" s="37">
        <v>1.25</v>
      </c>
    </row>
    <row r="20" spans="1:18" x14ac:dyDescent="0.25">
      <c r="A20" s="37" t="s">
        <v>82</v>
      </c>
      <c r="B20" s="66">
        <f t="shared" si="6"/>
        <v>110.77500000000001</v>
      </c>
      <c r="C20" s="66">
        <f t="shared" si="1"/>
        <v>21.875</v>
      </c>
      <c r="D20" s="66">
        <f t="shared" si="2"/>
        <v>125.825</v>
      </c>
      <c r="E20" s="66">
        <f t="shared" si="3"/>
        <v>155.63333333333333</v>
      </c>
      <c r="F20" s="66">
        <f t="shared" si="4"/>
        <v>115.67500000000001</v>
      </c>
      <c r="G20" s="37">
        <f t="shared" si="5"/>
        <v>8</v>
      </c>
    </row>
    <row r="21" spans="1:18" x14ac:dyDescent="0.25">
      <c r="A21" s="37" t="s">
        <v>85</v>
      </c>
      <c r="B21" s="66">
        <f t="shared" si="6"/>
        <v>14.2425</v>
      </c>
      <c r="C21" s="66">
        <f t="shared" si="1"/>
        <v>2.8125</v>
      </c>
      <c r="D21" s="66">
        <f t="shared" si="2"/>
        <v>16.177500000000002</v>
      </c>
      <c r="E21" s="66">
        <f t="shared" si="3"/>
        <v>20.010000000000002</v>
      </c>
      <c r="F21" s="66">
        <f t="shared" si="4"/>
        <v>14.8725</v>
      </c>
      <c r="G21" s="37">
        <f t="shared" si="5"/>
        <v>9</v>
      </c>
    </row>
    <row r="22" spans="1:18" x14ac:dyDescent="0.25">
      <c r="A22" s="37" t="s">
        <v>86</v>
      </c>
      <c r="B22" s="66">
        <f t="shared" si="6"/>
        <v>3.165</v>
      </c>
      <c r="C22" s="66">
        <f t="shared" si="1"/>
        <v>0.625</v>
      </c>
      <c r="D22" s="66">
        <f t="shared" si="2"/>
        <v>3.5950000000000002</v>
      </c>
      <c r="E22" s="66">
        <f t="shared" si="3"/>
        <v>4.4466666666666663</v>
      </c>
      <c r="F22" s="66">
        <f t="shared" si="4"/>
        <v>3.3050000000000002</v>
      </c>
      <c r="G22" s="37">
        <f t="shared" si="5"/>
        <v>10</v>
      </c>
    </row>
    <row r="23" spans="1:18" x14ac:dyDescent="0.25">
      <c r="A23" s="37" t="s">
        <v>84</v>
      </c>
      <c r="B23" s="66">
        <f t="shared" si="6"/>
        <v>18.990000000000002</v>
      </c>
      <c r="C23" s="66">
        <f t="shared" si="1"/>
        <v>3.75</v>
      </c>
      <c r="D23" s="66">
        <f t="shared" si="2"/>
        <v>21.57</v>
      </c>
      <c r="E23" s="66">
        <f t="shared" si="3"/>
        <v>26.679999999999996</v>
      </c>
      <c r="F23" s="66">
        <f t="shared" si="4"/>
        <v>19.830000000000002</v>
      </c>
      <c r="G23" s="37">
        <f t="shared" si="5"/>
        <v>8</v>
      </c>
    </row>
    <row r="26" spans="1:18" ht="15" customHeight="1" x14ac:dyDescent="0.25">
      <c r="A26" s="33" t="s">
        <v>77</v>
      </c>
      <c r="B26" s="63" t="s">
        <v>44</v>
      </c>
      <c r="C26" s="64"/>
      <c r="D26" s="64"/>
      <c r="E26" s="64"/>
      <c r="F26" s="64"/>
      <c r="G26" s="117" t="s">
        <v>6</v>
      </c>
      <c r="I26" s="62"/>
    </row>
    <row r="27" spans="1:18" ht="15.75" thickBot="1" x14ac:dyDescent="0.3">
      <c r="A27" s="33"/>
      <c r="B27" s="47" t="s">
        <v>72</v>
      </c>
      <c r="C27" s="48" t="s">
        <v>73</v>
      </c>
      <c r="D27" s="47" t="s">
        <v>74</v>
      </c>
      <c r="E27" s="47" t="s">
        <v>75</v>
      </c>
      <c r="F27" s="47" t="s">
        <v>76</v>
      </c>
      <c r="G27" s="117"/>
    </row>
    <row r="28" spans="1:18" ht="13.15" customHeight="1" thickBot="1" x14ac:dyDescent="0.3">
      <c r="A28" s="37" t="s">
        <v>78</v>
      </c>
      <c r="B28" s="67">
        <f t="shared" ref="B28:G36" si="7">B15</f>
        <v>251.61750000000001</v>
      </c>
      <c r="C28" s="67">
        <f t="shared" si="7"/>
        <v>49.6875</v>
      </c>
      <c r="D28" s="67">
        <f t="shared" si="7"/>
        <v>285.80250000000001</v>
      </c>
      <c r="E28" s="67">
        <f t="shared" si="7"/>
        <v>353.51</v>
      </c>
      <c r="F28" s="67">
        <f t="shared" si="7"/>
        <v>262.7475</v>
      </c>
      <c r="G28" s="37">
        <f t="shared" si="7"/>
        <v>7</v>
      </c>
      <c r="M28" s="24" t="s">
        <v>25</v>
      </c>
      <c r="N28" s="25" t="s">
        <v>26</v>
      </c>
      <c r="O28" s="25" t="s">
        <v>27</v>
      </c>
      <c r="P28" s="25" t="s">
        <v>28</v>
      </c>
      <c r="Q28" s="25" t="s">
        <v>29</v>
      </c>
    </row>
    <row r="29" spans="1:18" ht="15.75" thickBot="1" x14ac:dyDescent="0.3">
      <c r="A29" s="37" t="s">
        <v>80</v>
      </c>
      <c r="B29" s="67">
        <f t="shared" si="7"/>
        <v>107.61</v>
      </c>
      <c r="C29" s="67">
        <f t="shared" si="7"/>
        <v>21.25</v>
      </c>
      <c r="D29" s="67">
        <f t="shared" si="7"/>
        <v>122.23</v>
      </c>
      <c r="E29" s="67">
        <f t="shared" si="7"/>
        <v>151.18666666666667</v>
      </c>
      <c r="F29" s="67">
        <f t="shared" si="7"/>
        <v>112.37</v>
      </c>
      <c r="G29" s="37">
        <f t="shared" si="7"/>
        <v>13</v>
      </c>
      <c r="M29" s="28" t="s">
        <v>30</v>
      </c>
      <c r="N29" s="29">
        <v>4</v>
      </c>
      <c r="O29" s="29">
        <v>300</v>
      </c>
      <c r="P29" s="29">
        <v>1</v>
      </c>
      <c r="Q29" s="29" t="s">
        <v>31</v>
      </c>
    </row>
    <row r="30" spans="1:18" ht="15.75" thickBot="1" x14ac:dyDescent="0.3">
      <c r="A30" s="37" t="s">
        <v>79</v>
      </c>
      <c r="B30" s="67">
        <f t="shared" si="7"/>
        <v>110.77500000000001</v>
      </c>
      <c r="C30" s="67">
        <f t="shared" si="7"/>
        <v>21.875</v>
      </c>
      <c r="D30" s="67">
        <f t="shared" si="7"/>
        <v>125.825</v>
      </c>
      <c r="E30" s="67">
        <f t="shared" si="7"/>
        <v>155.63333333333333</v>
      </c>
      <c r="F30" s="67">
        <f t="shared" si="7"/>
        <v>115.67500000000001</v>
      </c>
      <c r="G30" s="37">
        <f t="shared" si="7"/>
        <v>9</v>
      </c>
      <c r="M30" s="28" t="s">
        <v>32</v>
      </c>
      <c r="N30" s="29">
        <v>3</v>
      </c>
      <c r="O30" s="29">
        <v>300</v>
      </c>
      <c r="P30" s="29">
        <v>1</v>
      </c>
      <c r="Q30" s="29" t="s">
        <v>31</v>
      </c>
    </row>
    <row r="31" spans="1:18" ht="15.75" thickBot="1" x14ac:dyDescent="0.3">
      <c r="A31" s="37" t="s">
        <v>81</v>
      </c>
      <c r="B31" s="67">
        <f t="shared" si="7"/>
        <v>12.66</v>
      </c>
      <c r="C31" s="67">
        <f t="shared" si="7"/>
        <v>2.5</v>
      </c>
      <c r="D31" s="67">
        <f t="shared" si="7"/>
        <v>14.38</v>
      </c>
      <c r="E31" s="67">
        <f t="shared" si="7"/>
        <v>17.786666666666665</v>
      </c>
      <c r="F31" s="67">
        <f t="shared" si="7"/>
        <v>13.22</v>
      </c>
      <c r="G31" s="37">
        <f t="shared" si="7"/>
        <v>11</v>
      </c>
      <c r="M31" s="28" t="s">
        <v>33</v>
      </c>
      <c r="N31" s="29">
        <v>4</v>
      </c>
      <c r="O31" s="29">
        <v>300</v>
      </c>
      <c r="P31" s="29">
        <v>1</v>
      </c>
      <c r="Q31" s="29" t="s">
        <v>31</v>
      </c>
    </row>
    <row r="32" spans="1:18" ht="15.75" thickBot="1" x14ac:dyDescent="0.3">
      <c r="A32" s="37" t="s">
        <v>83</v>
      </c>
      <c r="B32" s="67">
        <f t="shared" si="7"/>
        <v>142.42500000000001</v>
      </c>
      <c r="C32" s="67">
        <f t="shared" si="7"/>
        <v>28.125</v>
      </c>
      <c r="D32" s="67">
        <f t="shared" si="7"/>
        <v>161.77500000000001</v>
      </c>
      <c r="E32" s="67">
        <f t="shared" si="7"/>
        <v>200.1</v>
      </c>
      <c r="F32" s="67">
        <f t="shared" si="7"/>
        <v>148.72499999999999</v>
      </c>
      <c r="G32" s="37">
        <f t="shared" si="7"/>
        <v>2</v>
      </c>
      <c r="M32" s="28" t="s">
        <v>34</v>
      </c>
      <c r="N32" s="29">
        <v>4</v>
      </c>
      <c r="O32" s="29">
        <v>300</v>
      </c>
      <c r="P32" s="29">
        <v>1</v>
      </c>
      <c r="Q32" s="29" t="s">
        <v>31</v>
      </c>
    </row>
    <row r="33" spans="1:21" ht="15.75" thickBot="1" x14ac:dyDescent="0.3">
      <c r="A33" s="37" t="s">
        <v>82</v>
      </c>
      <c r="B33" s="67">
        <f t="shared" si="7"/>
        <v>110.77500000000001</v>
      </c>
      <c r="C33" s="67">
        <f t="shared" si="7"/>
        <v>21.875</v>
      </c>
      <c r="D33" s="67">
        <f t="shared" si="7"/>
        <v>125.825</v>
      </c>
      <c r="E33" s="67">
        <f t="shared" si="7"/>
        <v>155.63333333333333</v>
      </c>
      <c r="F33" s="67">
        <f t="shared" si="7"/>
        <v>115.67500000000001</v>
      </c>
      <c r="G33" s="37">
        <f t="shared" si="7"/>
        <v>8</v>
      </c>
      <c r="M33" s="28" t="s">
        <v>35</v>
      </c>
      <c r="N33" s="29">
        <v>2</v>
      </c>
      <c r="O33" s="29">
        <v>300</v>
      </c>
      <c r="P33" s="29">
        <v>2</v>
      </c>
      <c r="Q33" s="29" t="s">
        <v>31</v>
      </c>
    </row>
    <row r="34" spans="1:21" x14ac:dyDescent="0.25">
      <c r="A34" s="37" t="s">
        <v>85</v>
      </c>
      <c r="B34" s="67">
        <f t="shared" si="7"/>
        <v>14.2425</v>
      </c>
      <c r="C34" s="67">
        <f t="shared" si="7"/>
        <v>2.8125</v>
      </c>
      <c r="D34" s="67">
        <f t="shared" si="7"/>
        <v>16.177500000000002</v>
      </c>
      <c r="E34" s="67">
        <f t="shared" si="7"/>
        <v>20.010000000000002</v>
      </c>
      <c r="F34" s="67">
        <f t="shared" si="7"/>
        <v>14.8725</v>
      </c>
      <c r="G34" s="37">
        <f t="shared" si="7"/>
        <v>9</v>
      </c>
    </row>
    <row r="35" spans="1:21" x14ac:dyDescent="0.25">
      <c r="A35" s="37" t="s">
        <v>86</v>
      </c>
      <c r="B35" s="67">
        <f t="shared" si="7"/>
        <v>3.165</v>
      </c>
      <c r="C35" s="67">
        <f t="shared" si="7"/>
        <v>0.625</v>
      </c>
      <c r="D35" s="67">
        <f t="shared" si="7"/>
        <v>3.5950000000000002</v>
      </c>
      <c r="E35" s="67">
        <f t="shared" si="7"/>
        <v>4.4466666666666663</v>
      </c>
      <c r="F35" s="67">
        <f t="shared" si="7"/>
        <v>3.3050000000000002</v>
      </c>
      <c r="G35" s="37">
        <f t="shared" si="7"/>
        <v>10</v>
      </c>
    </row>
    <row r="36" spans="1:21" x14ac:dyDescent="0.25">
      <c r="A36" s="37" t="s">
        <v>84</v>
      </c>
      <c r="B36" s="67">
        <f t="shared" si="7"/>
        <v>18.990000000000002</v>
      </c>
      <c r="C36" s="67">
        <f t="shared" si="7"/>
        <v>3.75</v>
      </c>
      <c r="D36" s="67">
        <f t="shared" si="7"/>
        <v>21.57</v>
      </c>
      <c r="E36" s="67">
        <f t="shared" si="7"/>
        <v>26.679999999999996</v>
      </c>
      <c r="F36" s="67">
        <f t="shared" si="7"/>
        <v>19.830000000000002</v>
      </c>
      <c r="G36" s="37">
        <f t="shared" si="7"/>
        <v>8</v>
      </c>
    </row>
    <row r="39" spans="1:21" ht="26.25" x14ac:dyDescent="0.4">
      <c r="A39" s="138" t="s">
        <v>87</v>
      </c>
      <c r="B39" s="116" t="s">
        <v>60</v>
      </c>
      <c r="C39" s="116"/>
      <c r="D39" s="116"/>
      <c r="E39" s="116"/>
      <c r="F39" s="116"/>
      <c r="G39" s="116"/>
      <c r="H39" s="116"/>
    </row>
    <row r="40" spans="1:21" x14ac:dyDescent="0.25">
      <c r="A40" s="138"/>
      <c r="B40" s="120" t="s">
        <v>77</v>
      </c>
      <c r="C40" s="121" t="s">
        <v>44</v>
      </c>
      <c r="D40" s="122"/>
      <c r="E40" s="122"/>
      <c r="F40" s="122"/>
      <c r="G40" s="122"/>
      <c r="H40" s="117" t="s">
        <v>107</v>
      </c>
    </row>
    <row r="41" spans="1:21" x14ac:dyDescent="0.25">
      <c r="A41" s="125"/>
      <c r="B41" s="120"/>
      <c r="C41" s="47" t="s">
        <v>72</v>
      </c>
      <c r="D41" s="48" t="s">
        <v>73</v>
      </c>
      <c r="E41" s="47" t="s">
        <v>74</v>
      </c>
      <c r="F41" s="47" t="s">
        <v>75</v>
      </c>
      <c r="G41" s="47" t="s">
        <v>76</v>
      </c>
      <c r="H41" s="117"/>
    </row>
    <row r="42" spans="1:21" x14ac:dyDescent="0.25">
      <c r="A42" s="139">
        <v>44256</v>
      </c>
      <c r="B42" s="37">
        <v>1</v>
      </c>
      <c r="C42" s="67">
        <f>B28</f>
        <v>251.61750000000001</v>
      </c>
      <c r="D42" s="67">
        <f t="shared" ref="D42:G42" si="8">C28</f>
        <v>49.6875</v>
      </c>
      <c r="E42" s="67">
        <f t="shared" si="8"/>
        <v>285.80250000000001</v>
      </c>
      <c r="F42" s="67">
        <f t="shared" si="8"/>
        <v>353.51</v>
      </c>
      <c r="G42" s="67">
        <f t="shared" si="8"/>
        <v>262.7475</v>
      </c>
      <c r="H42" s="37">
        <v>7</v>
      </c>
    </row>
    <row r="43" spans="1:21" x14ac:dyDescent="0.25">
      <c r="A43" s="140"/>
      <c r="B43" s="37">
        <v>3</v>
      </c>
      <c r="C43" s="67">
        <f>B30</f>
        <v>110.77500000000001</v>
      </c>
      <c r="D43" s="67">
        <f t="shared" ref="D43:G43" si="9">C30</f>
        <v>21.875</v>
      </c>
      <c r="E43" s="67">
        <f t="shared" si="9"/>
        <v>125.825</v>
      </c>
      <c r="F43" s="67">
        <f t="shared" si="9"/>
        <v>155.63333333333333</v>
      </c>
      <c r="G43" s="67">
        <f t="shared" si="9"/>
        <v>115.67500000000001</v>
      </c>
      <c r="H43" s="37">
        <v>9</v>
      </c>
      <c r="I43" t="s">
        <v>108</v>
      </c>
      <c r="N43" s="118" t="s">
        <v>89</v>
      </c>
      <c r="O43" s="118"/>
      <c r="P43" s="118"/>
      <c r="Q43" s="118"/>
      <c r="R43" s="118"/>
      <c r="S43" s="118"/>
      <c r="T43" s="118"/>
      <c r="U43" s="118"/>
    </row>
    <row r="44" spans="1:21" x14ac:dyDescent="0.25">
      <c r="A44" s="141"/>
      <c r="B44" s="37">
        <v>2</v>
      </c>
      <c r="C44" s="67">
        <f>B29</f>
        <v>107.61</v>
      </c>
      <c r="D44" s="67">
        <f t="shared" ref="D44:G44" si="10">C29</f>
        <v>21.25</v>
      </c>
      <c r="E44" s="67">
        <f t="shared" si="10"/>
        <v>122.23</v>
      </c>
      <c r="F44" s="67">
        <f t="shared" si="10"/>
        <v>151.18666666666667</v>
      </c>
      <c r="G44" s="67">
        <f t="shared" si="10"/>
        <v>112.37</v>
      </c>
      <c r="H44" s="37">
        <v>13</v>
      </c>
      <c r="N44" s="118"/>
      <c r="O44" s="118"/>
      <c r="P44" s="118"/>
      <c r="Q44" s="118"/>
      <c r="R44" s="118"/>
      <c r="S44" s="118"/>
      <c r="T44" s="118"/>
      <c r="U44" s="118"/>
    </row>
    <row r="45" spans="1:21" x14ac:dyDescent="0.25">
      <c r="A45" s="139">
        <v>44257</v>
      </c>
      <c r="B45" s="37">
        <v>4</v>
      </c>
      <c r="C45" s="67">
        <f>B29</f>
        <v>107.61</v>
      </c>
      <c r="D45" s="67">
        <f t="shared" ref="D45:G45" si="11">C29</f>
        <v>21.25</v>
      </c>
      <c r="E45" s="67">
        <f t="shared" si="11"/>
        <v>122.23</v>
      </c>
      <c r="F45" s="67">
        <f t="shared" si="11"/>
        <v>151.18666666666667</v>
      </c>
      <c r="G45" s="67">
        <f t="shared" si="11"/>
        <v>112.37</v>
      </c>
      <c r="H45" s="37">
        <v>2</v>
      </c>
      <c r="N45" s="118"/>
      <c r="O45" s="118"/>
      <c r="P45" s="118"/>
      <c r="Q45" s="118"/>
      <c r="R45" s="118"/>
      <c r="S45" s="118"/>
      <c r="T45" s="118"/>
      <c r="U45" s="118"/>
    </row>
    <row r="46" spans="1:21" x14ac:dyDescent="0.25">
      <c r="A46" s="140"/>
      <c r="B46" s="37">
        <v>6</v>
      </c>
      <c r="C46" s="67">
        <f>B33</f>
        <v>110.77500000000001</v>
      </c>
      <c r="D46" s="67">
        <f t="shared" ref="D46:G46" si="12">C33</f>
        <v>21.875</v>
      </c>
      <c r="E46" s="67">
        <f t="shared" si="12"/>
        <v>125.825</v>
      </c>
      <c r="F46" s="67">
        <f t="shared" si="12"/>
        <v>155.63333333333333</v>
      </c>
      <c r="G46" s="67">
        <f t="shared" si="12"/>
        <v>115.67500000000001</v>
      </c>
      <c r="H46" s="37">
        <v>8</v>
      </c>
      <c r="N46" s="118"/>
      <c r="O46" s="118"/>
      <c r="P46" s="118"/>
      <c r="Q46" s="118"/>
      <c r="R46" s="118"/>
      <c r="S46" s="118"/>
      <c r="T46" s="118"/>
      <c r="U46" s="118"/>
    </row>
    <row r="47" spans="1:21" x14ac:dyDescent="0.25">
      <c r="A47" s="141"/>
      <c r="B47" s="37">
        <v>5</v>
      </c>
      <c r="C47" s="67">
        <f>B32</f>
        <v>142.42500000000001</v>
      </c>
      <c r="D47" s="67">
        <f t="shared" ref="D47:G47" si="13">C32</f>
        <v>28.125</v>
      </c>
      <c r="E47" s="67">
        <f t="shared" si="13"/>
        <v>161.77500000000001</v>
      </c>
      <c r="F47" s="67">
        <f t="shared" si="13"/>
        <v>200.1</v>
      </c>
      <c r="G47" s="67">
        <f t="shared" si="13"/>
        <v>148.72499999999999</v>
      </c>
      <c r="H47" s="37">
        <v>11</v>
      </c>
      <c r="N47" s="118"/>
      <c r="O47" s="118"/>
      <c r="P47" s="118"/>
      <c r="Q47" s="118"/>
      <c r="R47" s="118"/>
      <c r="S47" s="118"/>
      <c r="T47" s="118"/>
      <c r="U47" s="118"/>
    </row>
    <row r="48" spans="1:21" x14ac:dyDescent="0.25">
      <c r="A48" s="139">
        <v>44258</v>
      </c>
      <c r="B48" s="37">
        <v>9</v>
      </c>
      <c r="C48" s="67">
        <f>B36</f>
        <v>18.990000000000002</v>
      </c>
      <c r="D48" s="67">
        <f t="shared" ref="D48:G48" si="14">C36</f>
        <v>3.75</v>
      </c>
      <c r="E48" s="67">
        <f t="shared" si="14"/>
        <v>21.57</v>
      </c>
      <c r="F48" s="67">
        <f t="shared" si="14"/>
        <v>26.679999999999996</v>
      </c>
      <c r="G48" s="67">
        <f t="shared" si="14"/>
        <v>19.830000000000002</v>
      </c>
      <c r="H48" s="37">
        <v>8</v>
      </c>
      <c r="N48" s="118"/>
      <c r="O48" s="118"/>
      <c r="P48" s="118"/>
      <c r="Q48" s="118"/>
      <c r="R48" s="118"/>
      <c r="S48" s="118"/>
      <c r="T48" s="118"/>
      <c r="U48" s="118"/>
    </row>
    <row r="49" spans="1:51" x14ac:dyDescent="0.25">
      <c r="A49" s="140"/>
      <c r="B49" s="37">
        <v>7</v>
      </c>
      <c r="C49" s="67">
        <f>B34</f>
        <v>14.2425</v>
      </c>
      <c r="D49" s="67">
        <f t="shared" ref="D49:G49" si="15">C34</f>
        <v>2.8125</v>
      </c>
      <c r="E49" s="67">
        <f t="shared" si="15"/>
        <v>16.177500000000002</v>
      </c>
      <c r="F49" s="67">
        <f t="shared" si="15"/>
        <v>20.010000000000002</v>
      </c>
      <c r="G49" s="67">
        <f t="shared" si="15"/>
        <v>14.8725</v>
      </c>
      <c r="H49" s="37">
        <v>9</v>
      </c>
      <c r="N49" s="118"/>
      <c r="O49" s="118"/>
      <c r="P49" s="118"/>
      <c r="Q49" s="118"/>
      <c r="R49" s="118"/>
      <c r="S49" s="118"/>
      <c r="T49" s="118"/>
      <c r="U49" s="118"/>
    </row>
    <row r="50" spans="1:51" x14ac:dyDescent="0.25">
      <c r="A50" s="141"/>
      <c r="B50" s="37">
        <v>8</v>
      </c>
      <c r="C50" s="67">
        <f>B35</f>
        <v>3.165</v>
      </c>
      <c r="D50" s="67">
        <f t="shared" ref="D50:G50" si="16">C35</f>
        <v>0.625</v>
      </c>
      <c r="E50" s="67">
        <f t="shared" si="16"/>
        <v>3.5950000000000002</v>
      </c>
      <c r="F50" s="67">
        <f t="shared" si="16"/>
        <v>4.4466666666666663</v>
      </c>
      <c r="G50" s="67">
        <f t="shared" si="16"/>
        <v>3.3050000000000002</v>
      </c>
      <c r="H50" s="37">
        <v>10</v>
      </c>
    </row>
    <row r="54" spans="1:51" ht="23.25" x14ac:dyDescent="0.35">
      <c r="B54" s="123" t="s">
        <v>61</v>
      </c>
      <c r="C54" s="123"/>
      <c r="D54" s="123"/>
      <c r="E54" s="123"/>
      <c r="F54" s="123"/>
      <c r="G54" s="123"/>
      <c r="H54" s="123"/>
      <c r="I54" s="123"/>
      <c r="J54" s="123"/>
      <c r="K54" s="123"/>
      <c r="L54" s="123"/>
      <c r="M54" s="123"/>
      <c r="N54" s="123"/>
      <c r="O54" s="123"/>
    </row>
    <row r="56" spans="1:51" x14ac:dyDescent="0.25">
      <c r="B56" s="71"/>
      <c r="C56" s="49"/>
    </row>
    <row r="57" spans="1:51" x14ac:dyDescent="0.25">
      <c r="A57" s="136" t="s">
        <v>87</v>
      </c>
      <c r="B57" s="124" t="s">
        <v>77</v>
      </c>
      <c r="C57" s="121" t="s">
        <v>63</v>
      </c>
      <c r="D57" s="122"/>
      <c r="E57" s="122"/>
      <c r="F57" s="122"/>
      <c r="G57" s="129"/>
      <c r="H57" s="121" t="s">
        <v>64</v>
      </c>
      <c r="I57" s="122"/>
      <c r="J57" s="122"/>
      <c r="K57" s="122"/>
      <c r="L57" s="129"/>
      <c r="M57" s="127" t="s">
        <v>62</v>
      </c>
      <c r="N57" s="117" t="s">
        <v>6</v>
      </c>
      <c r="O57" s="130" t="s">
        <v>66</v>
      </c>
      <c r="P57" s="130" t="s">
        <v>68</v>
      </c>
      <c r="R57" s="119" t="s">
        <v>100</v>
      </c>
      <c r="S57" s="119" t="s">
        <v>99</v>
      </c>
      <c r="T57" s="119" t="s">
        <v>101</v>
      </c>
      <c r="U57" s="135" t="s">
        <v>102</v>
      </c>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row>
    <row r="58" spans="1:51" x14ac:dyDescent="0.25">
      <c r="A58" s="137"/>
      <c r="B58" s="125"/>
      <c r="C58" s="47" t="s">
        <v>72</v>
      </c>
      <c r="D58" s="48" t="s">
        <v>73</v>
      </c>
      <c r="E58" s="47" t="s">
        <v>74</v>
      </c>
      <c r="F58" s="47" t="s">
        <v>75</v>
      </c>
      <c r="G58" s="47" t="s">
        <v>76</v>
      </c>
      <c r="H58" s="47" t="s">
        <v>72</v>
      </c>
      <c r="I58" s="48" t="s">
        <v>73</v>
      </c>
      <c r="J58" s="47" t="s">
        <v>74</v>
      </c>
      <c r="K58" s="47" t="s">
        <v>75</v>
      </c>
      <c r="L58" s="47" t="s">
        <v>76</v>
      </c>
      <c r="M58" s="128"/>
      <c r="N58" s="126"/>
      <c r="O58" s="130"/>
      <c r="P58" s="130"/>
      <c r="R58" s="131"/>
      <c r="S58" s="119"/>
      <c r="T58" s="119"/>
      <c r="U58">
        <v>1</v>
      </c>
      <c r="V58">
        <v>2</v>
      </c>
      <c r="W58">
        <v>3</v>
      </c>
      <c r="X58">
        <v>4</v>
      </c>
      <c r="Y58">
        <v>5</v>
      </c>
      <c r="Z58">
        <v>6</v>
      </c>
      <c r="AA58">
        <v>7</v>
      </c>
      <c r="AB58">
        <v>8</v>
      </c>
      <c r="AC58">
        <v>9</v>
      </c>
      <c r="AD58">
        <v>10</v>
      </c>
      <c r="AE58">
        <v>11</v>
      </c>
      <c r="AF58">
        <v>12</v>
      </c>
      <c r="AG58">
        <v>13</v>
      </c>
      <c r="AH58">
        <v>14</v>
      </c>
      <c r="AI58">
        <v>15</v>
      </c>
      <c r="AJ58">
        <v>16</v>
      </c>
      <c r="AK58">
        <v>17</v>
      </c>
      <c r="AL58">
        <v>18</v>
      </c>
      <c r="AM58">
        <v>19</v>
      </c>
      <c r="AN58">
        <v>20</v>
      </c>
      <c r="AO58">
        <v>21</v>
      </c>
      <c r="AP58">
        <v>22</v>
      </c>
      <c r="AQ58">
        <v>23</v>
      </c>
      <c r="AR58">
        <v>24</v>
      </c>
      <c r="AS58">
        <v>25</v>
      </c>
      <c r="AT58">
        <v>26</v>
      </c>
      <c r="AU58">
        <v>27</v>
      </c>
      <c r="AV58">
        <v>28</v>
      </c>
      <c r="AW58">
        <v>29</v>
      </c>
      <c r="AX58">
        <v>30</v>
      </c>
      <c r="AY58">
        <v>31</v>
      </c>
    </row>
    <row r="59" spans="1:51" x14ac:dyDescent="0.25">
      <c r="A59" s="68">
        <v>44256</v>
      </c>
      <c r="B59" s="46" t="s">
        <v>78</v>
      </c>
      <c r="C59" s="67">
        <v>0</v>
      </c>
      <c r="D59" s="67">
        <f>H59</f>
        <v>251.61750000000001</v>
      </c>
      <c r="E59" s="67">
        <f t="shared" ref="E59:G59" si="17">I59</f>
        <v>301.30500000000001</v>
      </c>
      <c r="F59" s="67">
        <f t="shared" si="17"/>
        <v>587.10750000000007</v>
      </c>
      <c r="G59" s="67">
        <f t="shared" si="17"/>
        <v>940.61750000000006</v>
      </c>
      <c r="H59" s="67">
        <f>C42</f>
        <v>251.61750000000001</v>
      </c>
      <c r="I59" s="67">
        <f t="shared" ref="I59:I67" si="18">D59 + D42</f>
        <v>301.30500000000001</v>
      </c>
      <c r="J59" s="67">
        <f t="shared" ref="J59:J67" si="19">E59 + E42</f>
        <v>587.10750000000007</v>
      </c>
      <c r="K59" s="67">
        <f t="shared" ref="K59:K67" si="20">F59 + F42</f>
        <v>940.61750000000006</v>
      </c>
      <c r="L59" s="67">
        <f t="shared" ref="L59:L67" si="21">G59 + G42</f>
        <v>1203.365</v>
      </c>
      <c r="M59" s="36">
        <f>(SUM(H59:L59) + 'Data Mesin_dan_Waktupengamatan'!$L12 ) / 960</f>
        <v>5.1440026041666673</v>
      </c>
      <c r="N59" s="36">
        <f>H42</f>
        <v>7</v>
      </c>
      <c r="O59" s="36">
        <f>M59- N59</f>
        <v>-1.8559973958333327</v>
      </c>
      <c r="P59" s="36">
        <f>N59- O59</f>
        <v>8.8559973958333327</v>
      </c>
      <c r="Q59">
        <f>(SUM(H59:L59)+P72)/960</f>
        <v>5.1440026041666673</v>
      </c>
      <c r="R59" s="46" t="s">
        <v>88</v>
      </c>
      <c r="S59" s="73">
        <v>44256</v>
      </c>
      <c r="T59" s="72">
        <v>5</v>
      </c>
    </row>
    <row r="60" spans="1:51" x14ac:dyDescent="0.25">
      <c r="A60" s="69"/>
      <c r="B60" s="46" t="s">
        <v>79</v>
      </c>
      <c r="C60" s="67">
        <f>H59</f>
        <v>251.61750000000001</v>
      </c>
      <c r="D60" s="67">
        <f>I59</f>
        <v>301.30500000000001</v>
      </c>
      <c r="E60" s="67">
        <f t="shared" ref="E60:G67" si="22">J59</f>
        <v>587.10750000000007</v>
      </c>
      <c r="F60" s="67">
        <f t="shared" si="22"/>
        <v>940.61750000000006</v>
      </c>
      <c r="G60" s="67">
        <f t="shared" si="22"/>
        <v>1203.365</v>
      </c>
      <c r="H60" s="67">
        <f t="shared" ref="H60:H67" si="23">C60 + C43</f>
        <v>362.39250000000004</v>
      </c>
      <c r="I60" s="67">
        <f t="shared" si="18"/>
        <v>323.18</v>
      </c>
      <c r="J60" s="67">
        <f t="shared" si="19"/>
        <v>712.93250000000012</v>
      </c>
      <c r="K60" s="67">
        <f t="shared" si="20"/>
        <v>1096.2508333333335</v>
      </c>
      <c r="L60" s="67">
        <f t="shared" si="21"/>
        <v>1319.04</v>
      </c>
      <c r="M60" s="36">
        <f>(SUM(H60:L60) + 'Data Mesin_dan_Waktupengamatan'!$L13 ) / 960</f>
        <v>4.7280373263888889</v>
      </c>
      <c r="N60" s="36">
        <f t="shared" ref="N60:N67" si="24">H43</f>
        <v>9</v>
      </c>
      <c r="O60" s="36">
        <f t="shared" ref="O60:O67" si="25">M60- N60</f>
        <v>-4.2719626736111111</v>
      </c>
      <c r="P60" s="37">
        <v>0</v>
      </c>
      <c r="Q60" s="103">
        <f>(SUM(H60:L60)+P71)/960</f>
        <v>4.7493081597222222</v>
      </c>
      <c r="R60" s="46" t="s">
        <v>90</v>
      </c>
      <c r="S60" s="73">
        <v>44256</v>
      </c>
      <c r="T60" s="72">
        <v>5</v>
      </c>
    </row>
    <row r="61" spans="1:51" x14ac:dyDescent="0.25">
      <c r="A61" s="70"/>
      <c r="B61" s="46" t="s">
        <v>80</v>
      </c>
      <c r="C61" s="67">
        <f t="shared" ref="C61:C66" si="26">H60</f>
        <v>362.39250000000004</v>
      </c>
      <c r="D61" s="67">
        <f t="shared" ref="D61:D67" si="27">I60</f>
        <v>323.18</v>
      </c>
      <c r="E61" s="67">
        <f t="shared" si="22"/>
        <v>712.93250000000012</v>
      </c>
      <c r="F61" s="67">
        <f t="shared" si="22"/>
        <v>1096.2508333333335</v>
      </c>
      <c r="G61" s="67">
        <f t="shared" si="22"/>
        <v>1319.04</v>
      </c>
      <c r="H61" s="67">
        <f t="shared" si="23"/>
        <v>470.00250000000005</v>
      </c>
      <c r="I61" s="67">
        <f t="shared" si="18"/>
        <v>344.43</v>
      </c>
      <c r="J61" s="67">
        <f t="shared" si="19"/>
        <v>835.16250000000014</v>
      </c>
      <c r="K61" s="67">
        <f t="shared" si="20"/>
        <v>1247.4375000000002</v>
      </c>
      <c r="L61" s="67">
        <f t="shared" si="21"/>
        <v>1431.4099999999999</v>
      </c>
      <c r="M61" s="36">
        <f>(SUM(H61:L61) + 'Data Mesin_dan_Waktupengamatan'!$L14 ) / 960</f>
        <v>5.2853984375000005</v>
      </c>
      <c r="N61" s="36">
        <f t="shared" si="24"/>
        <v>13</v>
      </c>
      <c r="O61" s="36">
        <f t="shared" si="25"/>
        <v>-7.7146015624999995</v>
      </c>
      <c r="P61" s="37">
        <v>0</v>
      </c>
      <c r="Q61">
        <f>(SUM(H61:L61)+P73)/960</f>
        <v>5.2641276041666663</v>
      </c>
      <c r="R61" s="46" t="s">
        <v>91</v>
      </c>
      <c r="S61" s="73">
        <v>44256</v>
      </c>
      <c r="T61" s="72">
        <v>5</v>
      </c>
    </row>
    <row r="62" spans="1:51" x14ac:dyDescent="0.25">
      <c r="A62" s="68">
        <v>44257</v>
      </c>
      <c r="B62" s="46" t="s">
        <v>81</v>
      </c>
      <c r="C62" s="67">
        <v>0</v>
      </c>
      <c r="D62" s="67">
        <f>H62</f>
        <v>107.61</v>
      </c>
      <c r="E62" s="67">
        <f>I62</f>
        <v>128.86000000000001</v>
      </c>
      <c r="F62" s="67">
        <f>J62</f>
        <v>251.09000000000003</v>
      </c>
      <c r="G62" s="67">
        <f>K62</f>
        <v>402.2766666666667</v>
      </c>
      <c r="H62" s="67">
        <f t="shared" si="23"/>
        <v>107.61</v>
      </c>
      <c r="I62" s="67">
        <f t="shared" si="18"/>
        <v>128.86000000000001</v>
      </c>
      <c r="J62" s="67">
        <f t="shared" si="19"/>
        <v>251.09000000000003</v>
      </c>
      <c r="K62" s="67">
        <f t="shared" si="20"/>
        <v>402.2766666666667</v>
      </c>
      <c r="L62" s="67">
        <f t="shared" si="21"/>
        <v>514.64666666666676</v>
      </c>
      <c r="M62" s="36">
        <f>(SUM(H62:L62) + 'Data Mesin_dan_Waktupengamatan'!$L28 ) / 960</f>
        <v>4.4817534722222225</v>
      </c>
      <c r="N62" s="36">
        <f t="shared" si="24"/>
        <v>2</v>
      </c>
      <c r="O62" s="36">
        <f t="shared" si="25"/>
        <v>2.4817534722222225</v>
      </c>
      <c r="P62" s="37">
        <v>0</v>
      </c>
      <c r="R62" s="46" t="s">
        <v>92</v>
      </c>
      <c r="S62" s="73">
        <v>44257</v>
      </c>
      <c r="T62" s="72">
        <v>4</v>
      </c>
    </row>
    <row r="63" spans="1:51" x14ac:dyDescent="0.25">
      <c r="A63" s="69"/>
      <c r="B63" s="46" t="s">
        <v>82</v>
      </c>
      <c r="C63" s="67">
        <f t="shared" si="26"/>
        <v>107.61</v>
      </c>
      <c r="D63" s="67">
        <f t="shared" si="27"/>
        <v>128.86000000000001</v>
      </c>
      <c r="E63" s="67">
        <f t="shared" si="22"/>
        <v>251.09000000000003</v>
      </c>
      <c r="F63" s="67">
        <f t="shared" si="22"/>
        <v>402.2766666666667</v>
      </c>
      <c r="G63" s="67">
        <f t="shared" si="22"/>
        <v>514.64666666666676</v>
      </c>
      <c r="H63" s="67">
        <f t="shared" si="23"/>
        <v>218.38499999999999</v>
      </c>
      <c r="I63" s="67">
        <f t="shared" si="18"/>
        <v>150.73500000000001</v>
      </c>
      <c r="J63" s="67">
        <f t="shared" si="19"/>
        <v>376.91500000000002</v>
      </c>
      <c r="K63" s="67">
        <f t="shared" si="20"/>
        <v>557.91000000000008</v>
      </c>
      <c r="L63" s="67">
        <f t="shared" si="21"/>
        <v>630.32166666666672</v>
      </c>
      <c r="M63" s="36">
        <f>(SUM(H63:L63) + 'Data Mesin_dan_Waktupengamatan'!$L16 ) / 960</f>
        <v>2.473069444444445</v>
      </c>
      <c r="N63" s="36">
        <f t="shared" si="24"/>
        <v>8</v>
      </c>
      <c r="O63" s="36">
        <f t="shared" si="25"/>
        <v>-5.5269305555555555</v>
      </c>
      <c r="P63" s="37">
        <v>0</v>
      </c>
      <c r="R63" s="46" t="s">
        <v>93</v>
      </c>
      <c r="S63" s="73">
        <v>44257</v>
      </c>
      <c r="T63" s="72">
        <v>2</v>
      </c>
    </row>
    <row r="64" spans="1:51" x14ac:dyDescent="0.25">
      <c r="A64" s="70"/>
      <c r="B64" s="46" t="s">
        <v>83</v>
      </c>
      <c r="C64" s="67">
        <f>H63</f>
        <v>218.38499999999999</v>
      </c>
      <c r="D64" s="67">
        <f t="shared" si="27"/>
        <v>150.73500000000001</v>
      </c>
      <c r="E64" s="67">
        <f t="shared" si="22"/>
        <v>376.91500000000002</v>
      </c>
      <c r="F64" s="67">
        <f t="shared" si="22"/>
        <v>557.91000000000008</v>
      </c>
      <c r="G64" s="67">
        <f t="shared" si="22"/>
        <v>630.32166666666672</v>
      </c>
      <c r="H64" s="67">
        <f t="shared" si="23"/>
        <v>360.81</v>
      </c>
      <c r="I64" s="67">
        <f t="shared" si="18"/>
        <v>178.86</v>
      </c>
      <c r="J64" s="67">
        <f t="shared" si="19"/>
        <v>538.69000000000005</v>
      </c>
      <c r="K64" s="67">
        <f t="shared" si="20"/>
        <v>758.0100000000001</v>
      </c>
      <c r="L64" s="67">
        <f t="shared" si="21"/>
        <v>779.04666666666674</v>
      </c>
      <c r="M64" s="36">
        <f>(SUM(H64:L64) + 'Data Mesin_dan_Waktupengamatan'!$L17 ) / 960</f>
        <v>3.5009965277777781</v>
      </c>
      <c r="N64" s="36">
        <f t="shared" si="24"/>
        <v>11</v>
      </c>
      <c r="O64" s="36">
        <f t="shared" si="25"/>
        <v>-7.4990034722222223</v>
      </c>
      <c r="P64" s="37">
        <v>0</v>
      </c>
      <c r="R64" s="46" t="s">
        <v>94</v>
      </c>
      <c r="S64" s="73">
        <v>44257</v>
      </c>
      <c r="T64" s="72">
        <v>4</v>
      </c>
    </row>
    <row r="65" spans="1:21" x14ac:dyDescent="0.25">
      <c r="A65" s="68">
        <v>44258</v>
      </c>
      <c r="B65" s="46" t="s">
        <v>84</v>
      </c>
      <c r="C65" s="67">
        <v>0</v>
      </c>
      <c r="D65" s="67">
        <f>H65</f>
        <v>18.990000000000002</v>
      </c>
      <c r="E65" s="67">
        <f>I65</f>
        <v>22.740000000000002</v>
      </c>
      <c r="F65" s="67">
        <f>J65</f>
        <v>44.31</v>
      </c>
      <c r="G65" s="67">
        <f>K65</f>
        <v>70.989999999999995</v>
      </c>
      <c r="H65" s="67">
        <f t="shared" si="23"/>
        <v>18.990000000000002</v>
      </c>
      <c r="I65" s="67">
        <f t="shared" si="18"/>
        <v>22.740000000000002</v>
      </c>
      <c r="J65" s="67">
        <f t="shared" si="19"/>
        <v>44.31</v>
      </c>
      <c r="K65" s="67">
        <f t="shared" si="20"/>
        <v>70.989999999999995</v>
      </c>
      <c r="L65" s="67">
        <f t="shared" si="21"/>
        <v>90.82</v>
      </c>
      <c r="M65" s="36">
        <f>(SUM(H65:L65) + 'Data Mesin_dan_Waktupengamatan'!$L18 ) / 960</f>
        <v>0.38602083333333331</v>
      </c>
      <c r="N65" s="36">
        <f t="shared" si="24"/>
        <v>8</v>
      </c>
      <c r="O65" s="36">
        <f t="shared" si="25"/>
        <v>-7.6139791666666667</v>
      </c>
      <c r="P65" s="37">
        <v>0</v>
      </c>
      <c r="R65" s="46" t="s">
        <v>95</v>
      </c>
      <c r="S65" s="73">
        <v>44258</v>
      </c>
      <c r="T65" s="72">
        <v>1</v>
      </c>
    </row>
    <row r="66" spans="1:21" x14ac:dyDescent="0.25">
      <c r="A66" s="69"/>
      <c r="B66" s="46" t="s">
        <v>85</v>
      </c>
      <c r="C66" s="67">
        <f t="shared" si="26"/>
        <v>18.990000000000002</v>
      </c>
      <c r="D66" s="67">
        <f t="shared" si="27"/>
        <v>22.740000000000002</v>
      </c>
      <c r="E66" s="67">
        <f t="shared" si="22"/>
        <v>44.31</v>
      </c>
      <c r="F66" s="67">
        <f t="shared" si="22"/>
        <v>70.989999999999995</v>
      </c>
      <c r="G66" s="67">
        <f t="shared" si="22"/>
        <v>90.82</v>
      </c>
      <c r="H66" s="67">
        <f t="shared" si="23"/>
        <v>33.232500000000002</v>
      </c>
      <c r="I66" s="67">
        <f t="shared" si="18"/>
        <v>25.552500000000002</v>
      </c>
      <c r="J66" s="67">
        <f t="shared" si="19"/>
        <v>60.487500000000004</v>
      </c>
      <c r="K66" s="67">
        <f t="shared" si="20"/>
        <v>91</v>
      </c>
      <c r="L66" s="67">
        <f t="shared" si="21"/>
        <v>105.6925</v>
      </c>
      <c r="M66" s="36">
        <f>(SUM(H66:L66) + 'Data Mesin_dan_Waktupengamatan'!$L19 ) / 960</f>
        <v>0.38252604166666671</v>
      </c>
      <c r="N66" s="36">
        <f t="shared" si="24"/>
        <v>9</v>
      </c>
      <c r="O66" s="36">
        <f t="shared" si="25"/>
        <v>-8.6174739583333331</v>
      </c>
      <c r="P66" s="37">
        <v>0</v>
      </c>
      <c r="R66" s="46" t="s">
        <v>96</v>
      </c>
      <c r="S66" s="73">
        <v>44258</v>
      </c>
      <c r="T66" s="72">
        <v>1</v>
      </c>
    </row>
    <row r="67" spans="1:21" x14ac:dyDescent="0.25">
      <c r="A67" s="70"/>
      <c r="B67" s="46" t="s">
        <v>86</v>
      </c>
      <c r="C67" s="67">
        <f>H66</f>
        <v>33.232500000000002</v>
      </c>
      <c r="D67" s="67">
        <f t="shared" si="27"/>
        <v>25.552500000000002</v>
      </c>
      <c r="E67" s="67">
        <f t="shared" si="22"/>
        <v>60.487500000000004</v>
      </c>
      <c r="F67" s="67">
        <f t="shared" si="22"/>
        <v>91</v>
      </c>
      <c r="G67" s="67">
        <f t="shared" si="22"/>
        <v>105.6925</v>
      </c>
      <c r="H67" s="67">
        <f t="shared" si="23"/>
        <v>36.397500000000001</v>
      </c>
      <c r="I67" s="67">
        <f t="shared" si="18"/>
        <v>26.177500000000002</v>
      </c>
      <c r="J67" s="67">
        <f t="shared" si="19"/>
        <v>64.08250000000001</v>
      </c>
      <c r="K67" s="67">
        <f t="shared" si="20"/>
        <v>95.446666666666673</v>
      </c>
      <c r="L67" s="67">
        <f t="shared" si="21"/>
        <v>108.9975</v>
      </c>
      <c r="M67" s="36">
        <f>(SUM(H67:L67) + 'Data Mesin_dan_Waktupengamatan'!$L20 ) / 960</f>
        <v>0.50464756944444444</v>
      </c>
      <c r="N67" s="36">
        <f t="shared" si="24"/>
        <v>10</v>
      </c>
      <c r="O67" s="36">
        <f t="shared" si="25"/>
        <v>-9.4953524305555561</v>
      </c>
      <c r="P67" s="37">
        <v>0</v>
      </c>
      <c r="R67" s="46" t="s">
        <v>97</v>
      </c>
      <c r="S67" s="73">
        <v>44258</v>
      </c>
      <c r="T67" s="72">
        <v>1</v>
      </c>
    </row>
    <row r="68" spans="1:21" x14ac:dyDescent="0.25">
      <c r="H68">
        <v>4.1929999999999996</v>
      </c>
      <c r="I68">
        <v>0.8</v>
      </c>
      <c r="J68" s="103">
        <f>(J59-E59)/60</f>
        <v>4.7633750000000008</v>
      </c>
      <c r="K68">
        <f>(K59-F59)/60</f>
        <v>5.8918333333333335</v>
      </c>
      <c r="L68">
        <f>(L59-G59)/60</f>
        <v>4.3791249999999993</v>
      </c>
      <c r="O68" s="76">
        <f>SUM(O59:O66)/9</f>
        <v>-4.5131328125000003</v>
      </c>
      <c r="T68">
        <f>SUM(T59:T66) / 9</f>
        <v>3</v>
      </c>
    </row>
    <row r="69" spans="1:21" ht="15" customHeight="1" x14ac:dyDescent="0.25">
      <c r="H69">
        <v>362.4</v>
      </c>
      <c r="I69">
        <v>323.19</v>
      </c>
      <c r="J69">
        <v>712.94</v>
      </c>
      <c r="K69">
        <v>1096.25</v>
      </c>
      <c r="L69">
        <v>1319.05</v>
      </c>
      <c r="M69">
        <f>(SUM(H69:L69)+P71)/960</f>
        <v>4.7493437499999995</v>
      </c>
      <c r="N69">
        <f>H69+I69+J69+K69+L69+P71</f>
        <v>4559.37</v>
      </c>
    </row>
    <row r="70" spans="1:21" x14ac:dyDescent="0.25">
      <c r="M70">
        <f>M59/960</f>
        <v>5.3583360460069448E-3</v>
      </c>
      <c r="N70">
        <f>6711.83/960</f>
        <v>6.9914895833333333</v>
      </c>
      <c r="P70">
        <v>725.12</v>
      </c>
    </row>
    <row r="71" spans="1:21" ht="14.45" customHeight="1" x14ac:dyDescent="0.25">
      <c r="A71" s="134" t="s">
        <v>98</v>
      </c>
      <c r="B71" s="134"/>
      <c r="C71" s="134"/>
      <c r="D71" s="134"/>
      <c r="E71" s="134"/>
      <c r="F71" s="134"/>
      <c r="G71" s="134"/>
      <c r="H71" s="134"/>
      <c r="I71" s="134"/>
      <c r="J71" s="134"/>
      <c r="K71" s="134"/>
      <c r="M71">
        <f t="shared" ref="M71:M78" si="28">M60/960</f>
        <v>4.9250388816550923E-3</v>
      </c>
      <c r="P71">
        <v>745.54</v>
      </c>
    </row>
    <row r="72" spans="1:21" x14ac:dyDescent="0.25">
      <c r="A72" s="134"/>
      <c r="B72" s="134"/>
      <c r="C72" s="134"/>
      <c r="D72" s="134"/>
      <c r="E72" s="134"/>
      <c r="F72" s="134"/>
      <c r="G72" s="134"/>
      <c r="H72" s="134"/>
      <c r="I72" s="134"/>
      <c r="J72" s="134"/>
      <c r="K72" s="134"/>
      <c r="M72">
        <f t="shared" si="28"/>
        <v>5.5056233723958341E-3</v>
      </c>
      <c r="P72" s="37">
        <v>1654.23</v>
      </c>
      <c r="U72" t="s">
        <v>34</v>
      </c>
    </row>
    <row r="73" spans="1:21" ht="15" customHeight="1" x14ac:dyDescent="0.25">
      <c r="A73" s="134"/>
      <c r="B73" s="134"/>
      <c r="C73" s="134"/>
      <c r="D73" s="134"/>
      <c r="E73" s="134"/>
      <c r="F73" s="134"/>
      <c r="G73" s="134"/>
      <c r="H73" s="134"/>
      <c r="I73" s="134"/>
      <c r="J73" s="134"/>
      <c r="K73" s="134"/>
      <c r="M73">
        <f t="shared" si="28"/>
        <v>4.6684932002314817E-3</v>
      </c>
      <c r="P73">
        <v>725.12</v>
      </c>
      <c r="U73" t="s">
        <v>35</v>
      </c>
    </row>
    <row r="74" spans="1:21" x14ac:dyDescent="0.25">
      <c r="A74" s="134"/>
      <c r="B74" s="134"/>
      <c r="C74" s="134"/>
      <c r="D74" s="134"/>
      <c r="E74" s="134"/>
      <c r="F74" s="134"/>
      <c r="G74" s="134"/>
      <c r="H74" s="134"/>
      <c r="I74" s="134"/>
      <c r="J74" s="134"/>
      <c r="K74" s="134"/>
      <c r="M74">
        <f t="shared" si="28"/>
        <v>2.57611400462963E-3</v>
      </c>
      <c r="U74" t="s">
        <v>30</v>
      </c>
    </row>
    <row r="75" spans="1:21" x14ac:dyDescent="0.25">
      <c r="A75" s="134"/>
      <c r="B75" s="134"/>
      <c r="C75" s="134"/>
      <c r="D75" s="134"/>
      <c r="E75" s="134"/>
      <c r="F75" s="134"/>
      <c r="G75" s="134"/>
      <c r="H75" s="134"/>
      <c r="I75" s="134"/>
      <c r="J75" s="134"/>
      <c r="K75" s="134"/>
      <c r="M75">
        <f t="shared" si="28"/>
        <v>3.6468713831018522E-3</v>
      </c>
      <c r="U75" t="s">
        <v>32</v>
      </c>
    </row>
    <row r="76" spans="1:21" x14ac:dyDescent="0.25">
      <c r="M76">
        <f t="shared" si="28"/>
        <v>4.0210503472222221E-4</v>
      </c>
      <c r="U76" t="s">
        <v>33</v>
      </c>
    </row>
    <row r="77" spans="1:21" x14ac:dyDescent="0.25">
      <c r="A77" s="39" t="s">
        <v>67</v>
      </c>
      <c r="B77" s="39"/>
      <c r="C77" s="39"/>
      <c r="D77" s="39"/>
      <c r="E77" s="39"/>
      <c r="M77">
        <f t="shared" si="28"/>
        <v>3.9846462673611115E-4</v>
      </c>
    </row>
    <row r="78" spans="1:21" x14ac:dyDescent="0.25">
      <c r="M78">
        <f t="shared" si="28"/>
        <v>5.2567455150462968E-4</v>
      </c>
    </row>
  </sheetData>
  <sortState xmlns:xlrd2="http://schemas.microsoft.com/office/spreadsheetml/2017/richdata2" ref="A42:G50">
    <sortCondition ref="G42:G50"/>
  </sortState>
  <mergeCells count="30">
    <mergeCell ref="A71:K75"/>
    <mergeCell ref="T57:T58"/>
    <mergeCell ref="U57:AY57"/>
    <mergeCell ref="A57:A58"/>
    <mergeCell ref="A39:A41"/>
    <mergeCell ref="A42:A44"/>
    <mergeCell ref="A45:A47"/>
    <mergeCell ref="A48:A50"/>
    <mergeCell ref="N6:U12"/>
    <mergeCell ref="N43:U49"/>
    <mergeCell ref="S57:S58"/>
    <mergeCell ref="B40:B41"/>
    <mergeCell ref="C40:G40"/>
    <mergeCell ref="H40:H41"/>
    <mergeCell ref="B54:O54"/>
    <mergeCell ref="B57:B58"/>
    <mergeCell ref="N57:N58"/>
    <mergeCell ref="M57:M58"/>
    <mergeCell ref="C57:G57"/>
    <mergeCell ref="H57:L57"/>
    <mergeCell ref="O57:O58"/>
    <mergeCell ref="R57:R58"/>
    <mergeCell ref="N13:R13"/>
    <mergeCell ref="P57:P58"/>
    <mergeCell ref="N17:R17"/>
    <mergeCell ref="M13:M14"/>
    <mergeCell ref="M17:M18"/>
    <mergeCell ref="B39:H39"/>
    <mergeCell ref="G26:G27"/>
    <mergeCell ref="G13:G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Original</vt:lpstr>
      <vt:lpstr>Data Mesin_dan_Waktupengamatan</vt:lpstr>
      <vt:lpstr>Dataset yang digunakan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Adib Ahmad Istiqlal</dc:creator>
  <cp:lastModifiedBy>Mufti Alfarisy</cp:lastModifiedBy>
  <dcterms:created xsi:type="dcterms:W3CDTF">2022-12-14T04:07:30Z</dcterms:created>
  <dcterms:modified xsi:type="dcterms:W3CDTF">2023-01-16T13:11:15Z</dcterms:modified>
</cp:coreProperties>
</file>