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slar\Desktop\AnalysisProjects\Crowdfunding Analysis\"/>
    </mc:Choice>
  </mc:AlternateContent>
  <xr:revisionPtr revIDLastSave="0" documentId="13_ncr:1_{8885D0EF-05CE-480F-B460-CF7C7C9A9355}" xr6:coauthVersionLast="47" xr6:coauthVersionMax="47" xr10:uidLastSave="{00000000-0000-0000-0000-000000000000}"/>
  <bookViews>
    <workbookView xWindow="-120" yWindow="-120" windowWidth="29040" windowHeight="15720" firstSheet="2" activeTab="5" xr2:uid="{00000000-000D-0000-FFFF-FFFF00000000}"/>
  </bookViews>
  <sheets>
    <sheet name="My Own Summary Statistics Table" sheetId="8" r:id="rId1"/>
    <sheet name="Crowdfunding Goal Analysis" sheetId="7" r:id="rId2"/>
    <sheet name="Counts for Category &amp; Years" sheetId="5" r:id="rId3"/>
    <sheet name="Counts for Country &amp; Category" sheetId="4" r:id="rId4"/>
    <sheet name="Counts for Country" sheetId="3" r:id="rId5"/>
    <sheet name="Crowdfunding" sheetId="1" r:id="rId6"/>
  </sheets>
  <definedNames>
    <definedName name="_xlnm._FilterDatabase" localSheetId="5" hidden="1">Crowdfunding!$A$1:$T$1001</definedName>
    <definedName name="_xlchart.v1.0" hidden="1">'My Own Summary Statistics Table'!$B$1</definedName>
    <definedName name="_xlchart.v1.1" hidden="1">'My Own Summary Statistics Table'!$B$2:$B$566</definedName>
    <definedName name="_xlchart.v1.2" hidden="1">'My Own Summary Statistics Table'!$E$1</definedName>
    <definedName name="_xlchart.v1.3" hidden="1">'My Own Summary Statistics Table'!$E$2:$E$566</definedName>
    <definedName name="_xlchart.v1.4" hidden="1">'My Own Summary Statistics Table'!$B$1</definedName>
    <definedName name="_xlchart.v1.5" hidden="1">'My Own Summary Statistics Table'!$B$2:$B$566</definedName>
    <definedName name="failed_backers_count">'My Own Summary Statistics Table'!$E:$E</definedName>
    <definedName name="goal">Crowdfunding!$D:$D</definedName>
    <definedName name="outcome">Crowdfunding!$G:$G</definedName>
    <definedName name="successful_backers_count">'My Own Summary Statistics Table'!$B:$B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8" l="1"/>
  <c r="K14" i="8"/>
  <c r="K15" i="8"/>
  <c r="O12" i="8"/>
  <c r="N12" i="8"/>
  <c r="M8" i="8"/>
  <c r="M11" i="8"/>
  <c r="L8" i="8"/>
  <c r="L7" i="8"/>
  <c r="L5" i="8"/>
  <c r="L4" i="8"/>
  <c r="I8" i="8"/>
  <c r="J9" i="8"/>
  <c r="J8" i="8"/>
  <c r="J7" i="8"/>
  <c r="J6" i="8"/>
  <c r="J5" i="8"/>
  <c r="I9" i="8"/>
  <c r="I6" i="8"/>
  <c r="I7" i="8"/>
  <c r="I5" i="8"/>
  <c r="J4" i="8"/>
  <c r="I4" i="8"/>
  <c r="D10" i="7"/>
  <c r="C10" i="7"/>
  <c r="B10" i="7"/>
  <c r="D13" i="7"/>
  <c r="D12" i="7"/>
  <c r="D11" i="7"/>
  <c r="D9" i="7"/>
  <c r="D8" i="7"/>
  <c r="D7" i="7"/>
  <c r="D6" i="7"/>
  <c r="D5" i="7"/>
  <c r="D4" i="7"/>
  <c r="D3" i="7"/>
  <c r="D2" i="7"/>
  <c r="C13" i="7"/>
  <c r="C12" i="7"/>
  <c r="C11" i="7"/>
  <c r="C9" i="7"/>
  <c r="C8" i="7"/>
  <c r="C7" i="7"/>
  <c r="C6" i="7"/>
  <c r="C5" i="7"/>
  <c r="C4" i="7"/>
  <c r="C3" i="7"/>
  <c r="C2" i="7"/>
  <c r="B2" i="7"/>
  <c r="B3" i="7"/>
  <c r="B4" i="7"/>
  <c r="E4" i="7" s="1"/>
  <c r="B5" i="7"/>
  <c r="B6" i="7"/>
  <c r="B7" i="7"/>
  <c r="B8" i="7"/>
  <c r="B9" i="7"/>
  <c r="B11" i="7"/>
  <c r="B12" i="7"/>
  <c r="B13" i="7"/>
  <c r="E13" i="7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0" i="7" l="1"/>
  <c r="F10" i="7" s="1"/>
  <c r="E6" i="7"/>
  <c r="E12" i="7"/>
  <c r="G12" i="7" s="1"/>
  <c r="E3" i="7"/>
  <c r="G3" i="7" s="1"/>
  <c r="E11" i="7"/>
  <c r="G6" i="7"/>
  <c r="H6" i="7"/>
  <c r="E9" i="7"/>
  <c r="F9" i="7" s="1"/>
  <c r="G4" i="7"/>
  <c r="G13" i="7"/>
  <c r="F6" i="7"/>
  <c r="G10" i="7"/>
  <c r="G11" i="7"/>
  <c r="H11" i="7"/>
  <c r="H3" i="7"/>
  <c r="H12" i="7"/>
  <c r="H4" i="7"/>
  <c r="H13" i="7"/>
  <c r="F13" i="7"/>
  <c r="F4" i="7"/>
  <c r="E8" i="7"/>
  <c r="G8" i="7" s="1"/>
  <c r="F12" i="7"/>
  <c r="F3" i="7"/>
  <c r="E7" i="7"/>
  <c r="H7" i="7" s="1"/>
  <c r="F11" i="7"/>
  <c r="E2" i="7"/>
  <c r="F2" i="7" s="1"/>
  <c r="E5" i="7"/>
  <c r="G5" i="7" s="1"/>
  <c r="H10" i="7" l="1"/>
  <c r="H9" i="7"/>
  <c r="G9" i="7"/>
  <c r="G7" i="7"/>
  <c r="F7" i="7"/>
  <c r="F8" i="7"/>
  <c r="F5" i="7"/>
  <c r="H8" i="7"/>
  <c r="H5" i="7"/>
  <c r="G2" i="7"/>
  <c r="H2" i="7"/>
</calcChain>
</file>

<file path=xl/sharedStrings.xml><?xml version="1.0" encoding="utf-8"?>
<sst xmlns="http://schemas.openxmlformats.org/spreadsheetml/2006/main" count="7079" uniqueCount="2120">
  <si>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</si>
  <si>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</si>
  <si>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</si>
  <si>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</si>
  <si>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</si>
  <si>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</si>
  <si>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</si>
  <si>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</si>
  <si>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</si>
  <si>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</si>
  <si>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</si>
  <si>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</si>
  <si>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</si>
  <si>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</si>
  <si>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</si>
  <si>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</si>
  <si>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</si>
  <si>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</si>
  <si>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</si>
  <si>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</si>
  <si>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</si>
  <si>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</si>
  <si>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</si>
  <si>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</si>
  <si>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</si>
  <si>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</si>
  <si>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</si>
  <si>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</si>
  <si>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</si>
  <si>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</si>
  <si>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</si>
  <si>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</si>
  <si>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</si>
  <si>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</si>
  <si>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</si>
  <si>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</si>
  <si>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</si>
  <si>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</si>
  <si>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</si>
  <si>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</si>
  <si>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</si>
  <si>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</si>
  <si>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</si>
  <si>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</si>
  <si>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</si>
  <si>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</si>
  <si>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</si>
  <si>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</si>
  <si>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</si>
  <si>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</si>
  <si>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</si>
  <si>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</si>
  <si>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</si>
  <si>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</si>
  <si>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</si>
  <si>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</si>
  <si>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</si>
  <si>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</si>
  <si>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</si>
  <si>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</si>
  <si>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</si>
  <si>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</si>
  <si>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</si>
  <si>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</si>
  <si>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</si>
  <si>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</si>
  <si>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</si>
  <si>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</si>
  <si>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</si>
  <si>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</si>
  <si>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</si>
  <si>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</si>
  <si>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</si>
  <si>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</si>
  <si>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</si>
  <si>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</si>
  <si>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</si>
  <si>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</si>
  <si>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</si>
  <si>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</si>
  <si>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</si>
  <si>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</si>
  <si>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</si>
  <si>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</si>
  <si>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</si>
  <si>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</si>
  <si>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</si>
  <si>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</si>
  <si>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</si>
  <si>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</si>
  <si>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</si>
  <si>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</si>
  <si>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</si>
  <si>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</si>
  <si>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</si>
  <si>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</si>
  <si>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</si>
  <si>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</si>
  <si>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</si>
  <si>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</si>
  <si>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</si>
  <si>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</si>
  <si>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</si>
  <si>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</si>
  <si>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</si>
  <si>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</si>
  <si>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</si>
  <si>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</si>
  <si>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</si>
  <si>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</si>
  <si>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</si>
  <si>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</si>
  <si>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</si>
  <si>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</si>
  <si>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</si>
  <si>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</si>
  <si>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</si>
  <si>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</si>
  <si>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</si>
  <si>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</si>
  <si>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</si>
  <si>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</si>
  <si>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</si>
  <si>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</si>
  <si>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</si>
  <si>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</si>
  <si>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</si>
  <si>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</si>
  <si>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</si>
  <si>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</si>
  <si>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</si>
  <si>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</si>
  <si>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</si>
  <si>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</si>
  <si>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</si>
  <si>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</si>
  <si>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</si>
  <si>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</si>
  <si>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</si>
  <si>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</si>
  <si>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</si>
  <si>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</si>
  <si>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</si>
  <si>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</si>
  <si>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</si>
  <si>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</si>
  <si>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</si>
  <si>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</si>
  <si>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</si>
  <si>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</si>
  <si>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</si>
  <si>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</si>
  <si>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</si>
  <si>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</si>
  <si>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</si>
  <si>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</si>
  <si>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</si>
  <si>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</si>
  <si>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</si>
  <si>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</si>
  <si>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</si>
  <si>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</si>
  <si>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</si>
  <si>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</si>
  <si>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</si>
  <si>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</si>
  <si>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</si>
  <si>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</si>
  <si>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</si>
  <si>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</si>
  <si>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</si>
  <si>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</si>
  <si>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</si>
  <si>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</si>
  <si>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</si>
  <si>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</si>
  <si>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</si>
  <si>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</si>
  <si>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</si>
  <si>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</si>
  <si>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</si>
  <si>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</si>
  <si>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</si>
  <si>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</si>
  <si>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</si>
  <si>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</si>
  <si>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</si>
  <si>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</si>
  <si>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</si>
  <si>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</si>
  <si>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</si>
  <si>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</si>
  <si>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</si>
  <si>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</si>
  <si>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</si>
  <si>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</si>
  <si>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</si>
  <si>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</si>
  <si>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</si>
  <si>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</si>
  <si>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</si>
  <si>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</si>
  <si>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</si>
  <si>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</si>
  <si>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</si>
  <si>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</si>
  <si>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</si>
  <si>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</si>
  <si>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</si>
  <si>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</si>
  <si>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</si>
  <si>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</si>
  <si>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</si>
  <si>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</si>
  <si>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</si>
  <si>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</si>
  <si>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</si>
  <si>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</si>
  <si>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</si>
  <si>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</si>
  <si>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</si>
  <si>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</si>
  <si>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</si>
  <si>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</si>
  <si>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</si>
  <si>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</si>
  <si>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</si>
  <si>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</si>
  <si>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</si>
  <si>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</si>
  <si>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</si>
  <si>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</si>
  <si>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</si>
  <si>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</si>
  <si>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</si>
  <si>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</si>
  <si>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</si>
  <si>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</si>
  <si>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</si>
  <si>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</si>
  <si>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</si>
  <si>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</si>
  <si>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</si>
  <si>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</si>
  <si>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</si>
  <si>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</si>
  <si>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</si>
  <si>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</si>
  <si>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</si>
  <si>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</si>
  <si>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</si>
  <si>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</si>
  <si>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</si>
  <si>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</si>
  <si>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</si>
  <si>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</si>
  <si>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</si>
  <si>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</si>
  <si>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</si>
  <si>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</si>
  <si>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</si>
  <si>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</si>
  <si>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</si>
  <si>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</si>
  <si>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</si>
  <si>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</si>
  <si>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</si>
  <si>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</si>
  <si>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</si>
  <si>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</si>
  <si>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</si>
  <si>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</si>
  <si>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</si>
  <si>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</si>
  <si>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</si>
  <si>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</si>
  <si>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</si>
  <si>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</si>
  <si>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</si>
  <si>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</si>
  <si>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</si>
  <si>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</si>
  <si>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</si>
  <si>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</si>
  <si>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</si>
  <si>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</si>
  <si>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</si>
  <si>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</si>
  <si>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</si>
  <si>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</si>
  <si>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</si>
  <si>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</si>
  <si>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</si>
  <si>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</si>
  <si>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</si>
  <si>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</si>
  <si>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</si>
  <si>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</si>
  <si>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</si>
  <si>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</si>
  <si>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</si>
  <si>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</si>
  <si>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</si>
  <si>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</si>
  <si>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</si>
  <si>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</si>
  <si>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</si>
  <si>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</si>
  <si>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</si>
  <si>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</si>
  <si>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</si>
  <si>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</si>
  <si>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</si>
  <si>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</si>
  <si>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</si>
  <si>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</si>
  <si>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</si>
  <si>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</si>
  <si>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</si>
  <si>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</si>
  <si>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</si>
  <si>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</si>
  <si>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</si>
  <si>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</si>
  <si>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</si>
  <si>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</si>
  <si>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</si>
  <si>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</si>
  <si>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</si>
  <si>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</si>
  <si>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</si>
  <si>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</si>
  <si>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</si>
  <si>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</si>
  <si>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</si>
  <si>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</si>
  <si>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</si>
  <si>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</si>
  <si>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</si>
  <si>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</si>
  <si>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</si>
  <si>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</si>
  <si>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</si>
  <si>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</si>
  <si>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</si>
  <si>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</si>
  <si>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</si>
  <si>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</si>
  <si>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</si>
  <si>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</si>
  <si>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</si>
  <si>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</si>
  <si>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</si>
  <si>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</si>
  <si>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</si>
  <si>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</si>
  <si>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</si>
  <si>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</si>
  <si>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</si>
  <si>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</si>
  <si>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</si>
  <si>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</si>
  <si>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</si>
  <si>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</si>
  <si>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</si>
  <si>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</si>
  <si>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</si>
  <si>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</si>
  <si>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</si>
  <si>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</si>
  <si>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</si>
  <si>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</si>
  <si>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</si>
  <si>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</si>
  <si>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</si>
  <si>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</si>
  <si>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</si>
  <si>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</si>
  <si>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</si>
  <si>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</si>
  <si>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</si>
  <si>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</si>
  <si>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</si>
  <si>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</si>
  <si>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</si>
  <si>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</si>
  <si>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</si>
  <si>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</si>
  <si>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</si>
  <si>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</si>
  <si>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</si>
  <si>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</si>
  <si>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</si>
  <si>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</si>
  <si>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</si>
  <si>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</si>
  <si>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</si>
  <si>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</si>
  <si>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</si>
  <si>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</si>
  <si>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</si>
  <si>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</si>
  <si>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</si>
  <si>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</si>
  <si>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</si>
  <si>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</si>
  <si>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</si>
  <si>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</si>
  <si>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</si>
  <si>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</si>
  <si>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</si>
  <si>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</si>
  <si>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</si>
  <si>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</si>
  <si>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</si>
  <si>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</si>
  <si>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</si>
  <si>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</si>
  <si>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</si>
  <si>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</si>
  <si>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</si>
  <si>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</si>
  <si>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</si>
  <si>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</si>
  <si>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</si>
  <si>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</si>
  <si>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</si>
  <si>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</si>
  <si>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</si>
  <si>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</si>
  <si>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</si>
  <si>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</si>
  <si>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</si>
  <si>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</si>
  <si>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</si>
  <si>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</si>
  <si>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</si>
  <si>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</si>
  <si>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</si>
  <si>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</si>
  <si>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</si>
  <si>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</si>
  <si>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</si>
  <si>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</si>
  <si>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</si>
  <si>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</si>
  <si>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</si>
  <si>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</si>
  <si>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</si>
  <si>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</si>
  <si>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</si>
  <si>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</si>
  <si>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</si>
  <si>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</si>
  <si>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</si>
  <si>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</si>
  <si>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</si>
  <si>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</si>
  <si>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</si>
  <si>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</si>
  <si>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</si>
  <si>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</si>
  <si>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</si>
  <si>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</si>
  <si>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</si>
  <si>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</si>
  <si>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</si>
  <si>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</si>
  <si>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</si>
  <si>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</si>
  <si>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</si>
  <si>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</si>
  <si>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</si>
  <si>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</si>
  <si>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</si>
  <si>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</si>
  <si>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</si>
  <si>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</si>
  <si>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</si>
  <si>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</si>
  <si>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</si>
  <si>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</si>
  <si>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</si>
  <si>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</si>
  <si>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</si>
  <si>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</si>
  <si>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</si>
  <si>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</si>
  <si>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</si>
  <si>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</si>
  <si>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</si>
  <si>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</si>
  <si>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</si>
  <si>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</si>
  <si>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</si>
  <si>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</si>
  <si>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</si>
  <si>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</si>
  <si>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</si>
  <si>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</si>
  <si>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</si>
  <si>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</si>
  <si>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</si>
  <si>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</si>
  <si>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</si>
  <si>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</si>
  <si>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</si>
  <si>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</si>
  <si>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</si>
  <si>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</si>
  <si>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</si>
  <si>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</si>
  <si>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</si>
  <si>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</si>
  <si>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</si>
  <si>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</si>
  <si>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</si>
  <si>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</si>
  <si>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</si>
  <si>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</si>
  <si>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</si>
  <si>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</si>
  <si>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</si>
  <si>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</si>
  <si>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</si>
  <si>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</si>
  <si>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</si>
  <si>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</si>
  <si>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</si>
  <si>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</si>
  <si>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</si>
  <si>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</si>
  <si>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</si>
  <si>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</si>
  <si>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</si>
  <si>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</si>
  <si>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</si>
  <si>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</si>
  <si>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</si>
  <si>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</si>
  <si>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</si>
  <si>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</si>
  <si>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</si>
  <si>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</si>
  <si>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</si>
  <si>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</si>
  <si>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</si>
  <si>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</si>
  <si>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</si>
  <si>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</si>
  <si>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</si>
  <si>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</si>
  <si>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</si>
  <si>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</si>
  <si>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</si>
  <si>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</si>
  <si>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</si>
  <si>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</si>
  <si>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</si>
  <si>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</si>
  <si>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</si>
  <si>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</si>
  <si>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</si>
  <si>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</si>
  <si>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</si>
  <si>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</si>
  <si>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</si>
  <si>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</si>
  <si>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</si>
  <si>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</si>
  <si>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</si>
  <si>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</si>
  <si>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</si>
  <si>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</si>
  <si>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</si>
  <si>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</si>
  <si>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</si>
  <si>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</si>
  <si>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</si>
  <si>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</si>
  <si>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</si>
  <si>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</si>
  <si>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</si>
  <si>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</si>
  <si>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</si>
  <si>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</si>
  <si>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</si>
  <si>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</si>
  <si>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</si>
  <si>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</si>
  <si>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</si>
  <si>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</si>
  <si>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</si>
  <si>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</si>
  <si>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</si>
  <si>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</si>
  <si>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</si>
  <si>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</si>
  <si>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</si>
  <si>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</si>
  <si>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</si>
  <si>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</si>
  <si>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</si>
  <si>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</si>
  <si>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</si>
  <si>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</si>
  <si>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</si>
  <si>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</si>
  <si>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</si>
  <si>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</si>
  <si>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</si>
  <si>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</si>
  <si>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</si>
  <si>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</si>
  <si>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</si>
  <si>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</si>
  <si>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</si>
  <si>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</si>
  <si>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</si>
  <si>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</si>
  <si>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</si>
  <si>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</si>
  <si>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</si>
  <si>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</si>
  <si>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</si>
  <si>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</si>
  <si>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</si>
  <si>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</si>
  <si>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</si>
  <si>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</si>
  <si>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</si>
  <si>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</si>
  <si>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</si>
  <si>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</si>
  <si>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</si>
  <si>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</si>
  <si>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</si>
  <si>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</si>
  <si>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</si>
  <si>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</si>
  <si>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</si>
  <si>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</si>
  <si>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</si>
  <si>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</si>
  <si>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</si>
  <si>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</si>
  <si>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</si>
  <si>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</si>
  <si>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</si>
  <si>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</si>
  <si>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</si>
  <si>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</si>
  <si>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</si>
  <si>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</si>
  <si>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</si>
  <si>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</si>
  <si>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</si>
  <si>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</si>
  <si>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</si>
  <si>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</si>
  <si>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</si>
  <si>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</si>
  <si>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</si>
  <si>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</si>
  <si>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</si>
  <si>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</si>
  <si>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</si>
  <si>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</si>
  <si>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</si>
  <si>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</si>
  <si>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</si>
  <si>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</si>
  <si>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</si>
  <si>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</si>
  <si>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</si>
  <si>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</si>
  <si>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</si>
  <si>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</si>
  <si>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</si>
  <si>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</si>
  <si>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</si>
  <si>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</si>
  <si>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</si>
  <si>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</si>
  <si>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</si>
  <si>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</si>
  <si>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</si>
  <si>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</si>
  <si>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</si>
  <si>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</si>
  <si>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</si>
  <si>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</si>
  <si>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</si>
  <si>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</si>
  <si>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</si>
  <si>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</si>
  <si>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</si>
  <si>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</si>
  <si>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</si>
  <si>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</si>
  <si>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</si>
  <si>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</si>
  <si>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</si>
  <si>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</si>
  <si>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</si>
  <si>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</si>
  <si>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</si>
  <si>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</si>
  <si>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</si>
  <si>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</si>
  <si>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</si>
  <si>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</si>
  <si>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</si>
  <si>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</si>
  <si>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</si>
  <si>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</si>
  <si>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</si>
  <si>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</si>
  <si>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</si>
  <si>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</si>
  <si>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</si>
  <si>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</si>
  <si>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</si>
  <si>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</si>
  <si>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</si>
  <si>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</si>
  <si>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</si>
  <si>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</si>
  <si>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</si>
  <si>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</si>
  <si>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</si>
  <si>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</si>
  <si>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</si>
  <si>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</si>
  <si>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</si>
  <si>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</si>
  <si>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</si>
  <si>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</si>
  <si>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</si>
  <si>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</si>
  <si>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</si>
  <si>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</si>
  <si>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</si>
  <si>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</si>
  <si>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</si>
  <si>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</si>
  <si>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</si>
  <si>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</si>
  <si>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</si>
  <si>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</si>
  <si>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</si>
  <si>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</si>
  <si>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</si>
  <si>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</si>
  <si>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</si>
  <si>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</si>
  <si>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</si>
  <si>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</si>
  <si>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</si>
  <si>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</si>
  <si>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</si>
  <si>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</si>
  <si>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</si>
  <si>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</si>
  <si>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</si>
  <si>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</si>
  <si>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</si>
  <si>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</si>
  <si>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</si>
  <si>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</si>
  <si>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</si>
  <si>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</si>
  <si>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</si>
  <si>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</si>
  <si>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</si>
  <si>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</si>
  <si>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</si>
  <si>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</si>
  <si>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</si>
  <si>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</si>
  <si>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</si>
  <si>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</si>
  <si>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</si>
  <si>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</si>
  <si>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</si>
  <si>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</si>
  <si>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</si>
  <si>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</si>
  <si>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</si>
  <si>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</si>
  <si>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</si>
  <si>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</si>
  <si>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</si>
  <si>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</si>
  <si>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</si>
  <si>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</si>
  <si>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</si>
  <si>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</si>
  <si>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</si>
  <si>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</si>
  <si>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</si>
  <si>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</si>
  <si>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</si>
  <si>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</si>
  <si>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</si>
  <si>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</si>
  <si>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</si>
  <si>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</si>
  <si>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</si>
  <si>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</si>
  <si>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</si>
  <si>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</si>
  <si>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</si>
  <si>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</si>
  <si>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</si>
  <si>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</si>
  <si>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</si>
  <si>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</si>
  <si>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</si>
  <si>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</si>
  <si>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</si>
  <si>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</si>
  <si>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</si>
  <si>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</si>
  <si>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</si>
  <si>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</si>
  <si>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</si>
  <si>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</si>
  <si>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</si>
  <si>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</si>
  <si>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</si>
  <si>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</si>
  <si>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</si>
  <si>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</si>
  <si>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</si>
  <si>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</si>
  <si>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</si>
  <si>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</si>
  <si>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</si>
  <si>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</si>
  <si>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</si>
  <si>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</si>
  <si>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</si>
  <si>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</si>
  <si>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</si>
  <si>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</si>
  <si>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</si>
  <si>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</si>
  <si>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</si>
  <si>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</si>
  <si>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</si>
  <si>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</si>
  <si>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</si>
  <si>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</si>
  <si>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</si>
  <si>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</si>
  <si>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</si>
  <si>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</si>
  <si>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</si>
  <si>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</si>
  <si>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</si>
  <si>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</si>
  <si>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</si>
  <si>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</si>
  <si>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</si>
  <si>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</si>
  <si>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</si>
  <si>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</si>
  <si>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</si>
  <si>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</si>
  <si>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</si>
  <si>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</si>
  <si>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</si>
  <si>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</si>
  <si>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</si>
  <si>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</si>
  <si>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</si>
  <si>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</si>
  <si>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</si>
  <si>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</si>
  <si>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</si>
  <si>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</si>
  <si>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</si>
  <si>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</si>
  <si>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</si>
  <si>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</si>
  <si>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</si>
  <si>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</si>
  <si>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</si>
  <si>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</si>
  <si>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</si>
  <si>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</si>
  <si>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</si>
  <si>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</si>
  <si>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</si>
  <si>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</si>
  <si>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</si>
  <si>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</si>
  <si>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</si>
  <si>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</si>
  <si>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</si>
  <si>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</si>
  <si>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</si>
  <si>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</si>
  <si>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</si>
  <si>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</si>
  <si>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</si>
  <si>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</si>
  <si>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</si>
  <si>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</si>
  <si>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</si>
  <si>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</si>
  <si>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</si>
  <si>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</si>
  <si>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</si>
  <si>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</si>
  <si>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</si>
  <si>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</si>
  <si>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</si>
  <si>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</si>
  <si>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</si>
  <si>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</si>
  <si>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</si>
  <si>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</si>
  <si>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</si>
  <si>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</si>
  <si>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</si>
  <si>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</si>
  <si>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</si>
  <si>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</si>
  <si>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</si>
  <si>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</si>
  <si>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</si>
  <si>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</si>
  <si>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</si>
  <si>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</si>
  <si>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</si>
  <si>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</si>
  <si>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</si>
  <si>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</si>
  <si>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</si>
  <si>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</si>
  <si>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</si>
  <si>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</si>
  <si>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</si>
  <si>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</si>
  <si>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</si>
  <si>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</si>
  <si>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</si>
  <si>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</si>
  <si>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</si>
  <si>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</si>
  <si>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</si>
  <si>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</si>
  <si>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</si>
  <si>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</si>
  <si>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</si>
  <si>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</si>
  <si>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</si>
  <si>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</si>
  <si>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</si>
  <si>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</si>
  <si>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</si>
  <si>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</si>
  <si>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</si>
  <si>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</si>
  <si>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</si>
  <si>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</si>
  <si>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</si>
  <si>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</si>
  <si>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</si>
  <si>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</si>
  <si>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</si>
  <si>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</si>
  <si>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</si>
  <si>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</si>
  <si>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</si>
  <si>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</si>
  <si>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</si>
  <si>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</si>
  <si>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</si>
  <si>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</si>
  <si>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</si>
  <si>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</si>
  <si>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</si>
  <si>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</si>
  <si>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</si>
  <si>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</si>
  <si>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</si>
  <si>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</si>
  <si>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</si>
  <si>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</si>
  <si>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</si>
  <si>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</si>
  <si>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</si>
  <si>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</si>
  <si>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</si>
  <si>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</si>
  <si>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</si>
  <si>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</si>
  <si>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</si>
  <si>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</si>
  <si>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</si>
  <si>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</si>
  <si>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</si>
  <si>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</si>
  <si>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</si>
  <si>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</si>
  <si>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</si>
  <si>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</si>
  <si>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</si>
  <si>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</si>
  <si>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</si>
  <si>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</si>
  <si>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</si>
  <si>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</si>
  <si>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</si>
  <si>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</si>
  <si>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</si>
  <si>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</si>
  <si>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</si>
  <si>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</si>
  <si>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</si>
  <si>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</si>
  <si>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</si>
  <si>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</si>
  <si>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</si>
  <si>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</si>
  <si>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</si>
  <si>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</si>
  <si>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</si>
  <si>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</si>
  <si>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</si>
  <si>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</si>
  <si>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</si>
  <si>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</si>
  <si>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</si>
  <si>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</si>
  <si>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</si>
  <si>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</si>
  <si>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</si>
  <si>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</si>
  <si>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</si>
  <si>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</si>
  <si>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</si>
  <si>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</si>
  <si>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</si>
  <si>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</si>
  <si>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</si>
  <si>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</si>
  <si>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</si>
  <si>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</si>
  <si>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</si>
  <si>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</si>
  <si>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</si>
  <si>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</si>
  <si>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</si>
  <si>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</si>
  <si>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</si>
  <si>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</si>
  <si>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</si>
  <si>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</si>
  <si>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</si>
  <si>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</si>
  <si>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</si>
  <si>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</si>
  <si>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</si>
  <si>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</si>
  <si>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</si>
  <si>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</si>
  <si>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</si>
  <si>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</si>
  <si>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</si>
  <si>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</si>
  <si>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</si>
  <si>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</si>
  <si>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</si>
  <si>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</si>
  <si>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</si>
  <si>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</si>
  <si>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</si>
  <si>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</si>
  <si>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</si>
  <si>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</si>
  <si>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</si>
  <si>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</si>
  <si>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</si>
  <si>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</si>
  <si>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</si>
  <si>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</si>
  <si>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</si>
  <si>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</si>
  <si>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</si>
  <si>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</si>
  <si>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</si>
  <si>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</si>
  <si>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</si>
  <si>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</si>
  <si>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</si>
  <si>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</si>
  <si>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</si>
  <si>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</si>
  <si>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</si>
  <si>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</si>
  <si>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</si>
  <si>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</si>
  <si>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</si>
  <si>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</si>
  <si>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</si>
  <si>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</si>
  <si>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</si>
  <si>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</si>
  <si>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</si>
  <si>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</si>
  <si>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</si>
  <si>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</si>
  <si>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</si>
  <si>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</si>
  <si>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</si>
  <si>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</si>
  <si>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</si>
  <si>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</si>
  <si>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</si>
  <si>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</si>
  <si>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</si>
  <si>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</si>
  <si>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</si>
  <si>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</si>
  <si>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</si>
  <si>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</si>
  <si>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</si>
  <si>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</si>
  <si>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</si>
  <si>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</si>
  <si>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</si>
  <si>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</si>
  <si>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</si>
  <si>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</si>
  <si>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</si>
  <si>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</si>
  <si>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</si>
  <si>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</si>
  <si>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</si>
  <si>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</si>
  <si>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</si>
  <si>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</si>
  <si>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</si>
  <si>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</si>
  <si>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</si>
  <si>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</si>
  <si>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</si>
  <si>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</si>
  <si>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</si>
  <si>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</si>
  <si>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</si>
  <si>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</si>
  <si>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</si>
  <si>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</si>
  <si>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</si>
  <si>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</si>
  <si>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</si>
  <si>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</si>
  <si>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</si>
  <si>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</si>
  <si>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</si>
  <si>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</si>
  <si>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</si>
  <si>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</si>
  <si>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</si>
  <si>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</si>
  <si>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</si>
  <si>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</si>
  <si>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</si>
  <si>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</si>
  <si>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</si>
  <si>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</si>
  <si>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</si>
  <si>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</si>
  <si>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</si>
  <si>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</si>
  <si>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</si>
  <si>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</si>
  <si>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</si>
  <si>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</si>
  <si>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</si>
  <si>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</si>
  <si>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</si>
  <si>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</si>
  <si>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</si>
  <si>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</si>
  <si>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</si>
  <si>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</si>
  <si>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</si>
  <si>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</si>
  <si>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</si>
  <si>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</si>
  <si>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</si>
  <si>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</si>
  <si>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</si>
  <si>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</si>
  <si>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</si>
  <si>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</si>
  <si>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</si>
  <si>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</si>
  <si>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</si>
  <si>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</si>
  <si>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</si>
  <si>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</si>
  <si>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</si>
  <si>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</si>
  <si>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</si>
  <si>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</si>
  <si>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</si>
  <si>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</si>
  <si>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</si>
  <si>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</si>
  <si>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</si>
  <si>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</si>
  <si>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</si>
  <si>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</si>
  <si>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</si>
  <si>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</si>
  <si>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</si>
  <si>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</si>
  <si>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</si>
  <si>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</si>
  <si>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</si>
  <si>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</si>
  <si>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</si>
  <si>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</si>
  <si>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</si>
  <si>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</si>
  <si>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</si>
  <si>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</si>
  <si>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</si>
  <si>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</si>
  <si>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</si>
  <si>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</si>
  <si>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</si>
  <si>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</si>
  <si>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</si>
  <si>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</si>
  <si>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</si>
  <si>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</si>
  <si>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</si>
  <si>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</si>
  <si>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</si>
  <si>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</si>
  <si>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</si>
  <si>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</si>
  <si>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</si>
  <si>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</si>
  <si>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</si>
  <si>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</si>
  <si>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</si>
  <si>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</si>
  <si>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</si>
  <si>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</si>
  <si>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</si>
  <si>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</si>
  <si>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</si>
  <si>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</si>
  <si>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</si>
  <si>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</si>
  <si>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</si>
  <si>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</si>
  <si>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</si>
  <si>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</si>
  <si>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</si>
  <si>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</si>
  <si>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</si>
  <si>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</si>
  <si>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</si>
  <si>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</si>
  <si>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</si>
  <si>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</si>
  <si>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</si>
  <si>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</si>
  <si>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</si>
  <si>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</si>
  <si>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</si>
  <si>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</si>
  <si>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</si>
  <si>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</si>
  <si>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</si>
  <si>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</si>
  <si>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</si>
  <si>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</si>
  <si>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</si>
  <si>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</si>
  <si>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</si>
  <si>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</si>
  <si>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</si>
  <si>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</si>
  <si>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</si>
  <si>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</si>
  <si>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</si>
  <si>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</si>
  <si>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</si>
  <si>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</si>
  <si>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</si>
  <si>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</si>
  <si>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</si>
  <si>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</si>
  <si>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</si>
  <si>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</si>
  <si>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</si>
  <si>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</si>
  <si>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</si>
  <si>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</si>
  <si>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</si>
  <si>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</si>
  <si>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</si>
  <si>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</si>
  <si>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</si>
  <si>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</si>
  <si>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</si>
  <si>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</si>
  <si>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</si>
  <si>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</si>
  <si>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</si>
  <si>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</si>
  <si>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</si>
  <si>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</si>
  <si>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</si>
  <si>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</si>
  <si>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</si>
  <si>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</si>
  <si>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</si>
  <si>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</si>
  <si>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</si>
  <si>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</si>
  <si>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</si>
  <si>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</si>
  <si>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</si>
  <si>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</si>
  <si>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</si>
  <si>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</si>
  <si>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</si>
  <si>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</si>
  <si>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</si>
  <si>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</si>
  <si>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</si>
  <si>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</si>
  <si>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</si>
  <si>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</si>
  <si>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</si>
  <si>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</si>
  <si>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</si>
  <si>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</si>
  <si>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</si>
  <si>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</si>
  <si>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</si>
  <si>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</si>
  <si>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</si>
  <si>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</si>
  <si>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</si>
  <si>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</si>
  <si>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</si>
  <si>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</si>
  <si>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</si>
  <si>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</si>
  <si>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</si>
  <si>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</si>
  <si>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</si>
  <si>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</si>
  <si>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</si>
  <si>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</si>
  <si>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</si>
  <si>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</si>
  <si>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</si>
  <si>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</si>
  <si>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</si>
  <si>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</si>
  <si>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</si>
  <si>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</si>
  <si>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</si>
  <si>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</si>
  <si>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</si>
  <si>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</si>
  <si>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</si>
  <si>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</si>
  <si>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</si>
  <si>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</si>
  <si>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</si>
  <si>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</si>
  <si>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</si>
  <si>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</si>
  <si>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</si>
  <si>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</si>
  <si>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</si>
  <si>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</si>
  <si>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</si>
  <si>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</si>
  <si>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</si>
  <si>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</si>
  <si>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</si>
  <si>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</si>
  <si>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</si>
  <si>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</si>
  <si>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</si>
  <si>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</si>
  <si>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</si>
  <si>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</si>
  <si>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</si>
  <si>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</si>
  <si>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</si>
  <si>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</si>
  <si>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</si>
  <si>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</si>
  <si>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</si>
  <si>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</si>
  <si>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</si>
  <si>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</si>
  <si>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</si>
  <si>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</si>
  <si>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</si>
  <si>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</si>
  <si>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</si>
  <si>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</si>
  <si>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</si>
  <si>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</si>
  <si>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</si>
  <si>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</si>
  <si>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</si>
  <si>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</si>
  <si>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</si>
  <si>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</si>
  <si>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</si>
  <si>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</si>
  <si>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</si>
  <si>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</si>
  <si>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</si>
  <si>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</si>
  <si>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</si>
  <si>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</si>
  <si>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</si>
  <si>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</si>
  <si>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</si>
  <si>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</si>
  <si>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</si>
  <si>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</si>
  <si>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</si>
  <si>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</si>
  <si>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</si>
  <si>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</si>
  <si>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</si>
  <si>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</si>
  <si>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</si>
  <si>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</si>
  <si>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</si>
  <si>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</si>
  <si>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</si>
  <si>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</si>
  <si>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</si>
  <si>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</si>
  <si>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</si>
  <si>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</si>
  <si>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</si>
  <si>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</si>
  <si>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</si>
  <si>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</si>
  <si>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</si>
  <si>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</si>
  <si>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</si>
  <si>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</si>
  <si>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</si>
  <si>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</si>
  <si>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</si>
  <si>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</si>
  <si>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</si>
  <si>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</si>
  <si>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</si>
  <si>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</si>
  <si>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</si>
  <si>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</si>
  <si>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</si>
  <si>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</si>
  <si>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</si>
  <si>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</si>
  <si>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</si>
  <si>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</si>
  <si>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</si>
  <si>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</si>
  <si>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</si>
  <si>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</si>
  <si>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</si>
  <si>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</si>
  <si>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</si>
  <si>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</si>
  <si>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</si>
  <si>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</si>
  <si>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</si>
  <si>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</si>
  <si>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</si>
  <si>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</si>
  <si>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</si>
  <si>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</si>
  <si>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</si>
  <si>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</si>
  <si>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</si>
  <si>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</si>
  <si>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</si>
  <si>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</si>
  <si>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</si>
  <si>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</si>
  <si>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</si>
  <si>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</si>
  <si>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</si>
  <si>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</si>
  <si>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</si>
  <si>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</si>
  <si>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</si>
  <si>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</si>
  <si>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</si>
  <si>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</si>
  <si>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</si>
  <si>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</si>
  <si>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</si>
  <si>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</si>
  <si>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</si>
  <si>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</si>
  <si>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</si>
  <si>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</si>
  <si>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</si>
  <si>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</si>
  <si>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</si>
  <si>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</si>
  <si>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</si>
  <si>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</si>
  <si>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</si>
  <si>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</si>
  <si>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</si>
  <si>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</si>
  <si>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</si>
  <si>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</si>
  <si>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</si>
  <si>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</si>
  <si>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</si>
  <si>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</si>
  <si>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</si>
  <si>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</si>
  <si>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</si>
  <si>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</si>
  <si>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</si>
  <si>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</si>
  <si>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</si>
  <si>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</si>
  <si>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</si>
  <si>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</si>
  <si>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</si>
  <si>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</si>
  <si>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</si>
  <si>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</si>
  <si>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</si>
  <si>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</si>
  <si>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</si>
  <si>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</si>
  <si>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</si>
  <si>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</si>
  <si>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</si>
  <si>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</si>
  <si>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</si>
  <si>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</si>
  <si>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</si>
  <si>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</si>
  <si>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</si>
  <si>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</si>
  <si>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</si>
  <si>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</si>
  <si>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</si>
  <si>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</si>
  <si>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</si>
  <si>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</si>
  <si>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</si>
  <si>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</si>
  <si>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</si>
  <si>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</si>
  <si>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</si>
  <si>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</si>
  <si>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</si>
  <si>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</si>
  <si>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</si>
  <si>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</si>
  <si>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</si>
  <si>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</si>
  <si>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</si>
  <si>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</si>
  <si>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</si>
  <si>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</si>
  <si>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</si>
  <si>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</si>
  <si>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</si>
  <si>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</si>
  <si>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</si>
  <si>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</si>
  <si>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</si>
  <si>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</si>
  <si>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</si>
  <si>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</si>
  <si>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</si>
  <si>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</si>
  <si>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</si>
  <si>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</si>
  <si>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</si>
  <si>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</si>
  <si>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</si>
  <si>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</si>
  <si>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</si>
  <si>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</si>
  <si>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</si>
  <si>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</si>
  <si>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</si>
  <si>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</si>
  <si>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</si>
  <si>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</si>
  <si>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</si>
  <si>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</si>
  <si>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</si>
  <si>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</si>
  <si>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</si>
  <si>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</si>
  <si>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</si>
  <si>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</si>
  <si>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</si>
  <si>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</si>
  <si>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</si>
  <si>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</si>
  <si>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</si>
  <si>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</si>
  <si>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</si>
  <si>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</si>
  <si>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</si>
  <si>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</si>
  <si>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</si>
  <si>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</si>
  <si>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</si>
  <si>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</si>
  <si>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</si>
  <si>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</si>
  <si>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</si>
  <si>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</si>
  <si>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</si>
  <si>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</si>
  <si>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</si>
  <si>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</si>
  <si>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</si>
  <si>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</si>
  <si>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</si>
  <si>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</si>
  <si>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</si>
  <si>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</si>
  <si>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</si>
  <si>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</si>
  <si>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</si>
  <si>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</si>
  <si>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</si>
  <si>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</si>
  <si>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</si>
  <si>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</si>
  <si>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</si>
  <si>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</si>
  <si>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</si>
  <si>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</si>
  <si>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</si>
  <si>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</si>
  <si>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</si>
  <si>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</si>
  <si>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</si>
  <si>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</si>
  <si>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</si>
  <si>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</si>
  <si>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</si>
  <si>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</si>
  <si>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</si>
  <si>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</si>
  <si>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</si>
  <si>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</si>
  <si>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</si>
  <si>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</si>
  <si>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</si>
  <si>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</si>
  <si>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</si>
  <si>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</si>
  <si>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</si>
  <si>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</si>
  <si>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</si>
  <si>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</si>
  <si>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</si>
  <si>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</si>
  <si>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</si>
  <si>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</si>
  <si>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</si>
  <si>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</si>
  <si>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</si>
  <si>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</si>
  <si>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</si>
  <si>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</si>
  <si>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</si>
  <si>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</si>
  <si>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</si>
  <si>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</si>
  <si>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</si>
  <si>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</si>
  <si>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</si>
  <si>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</si>
  <si>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</si>
  <si>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</si>
  <si>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</si>
  <si>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</si>
  <si>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</si>
  <si>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</si>
  <si>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</si>
  <si>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</si>
  <si>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</si>
  <si>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</si>
  <si>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</si>
  <si>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</si>
  <si>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</si>
  <si>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</si>
  <si>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</si>
  <si>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</si>
  <si>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</si>
  <si>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</si>
  <si>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</si>
  <si>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</si>
  <si>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</si>
  <si>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</si>
  <si>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</si>
  <si>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</si>
  <si>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</si>
  <si>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</si>
  <si>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</si>
  <si>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</si>
  <si>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</si>
  <si>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</si>
  <si>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</si>
  <si>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</si>
  <si>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</si>
  <si>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</si>
  <si>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</si>
  <si>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</si>
  <si>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</si>
  <si>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</si>
  <si>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</si>
  <si>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</si>
  <si>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</si>
  <si>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</si>
  <si>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</si>
  <si>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</si>
  <si>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</si>
  <si>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</si>
  <si>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</si>
  <si>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</si>
  <si>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</si>
  <si>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</si>
  <si>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</si>
  <si>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</si>
  <si>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</si>
  <si>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</si>
  <si>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</si>
  <si>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</si>
  <si>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</si>
  <si>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</si>
  <si>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</si>
  <si>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</si>
  <si>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</si>
  <si>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</si>
  <si>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</si>
  <si>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</si>
  <si>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</si>
  <si>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</si>
  <si>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</si>
  <si>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</si>
  <si>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</si>
  <si>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</si>
  <si>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</si>
  <si>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</si>
  <si>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</si>
  <si>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</si>
  <si>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</si>
  <si>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</si>
  <si>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</si>
  <si>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</si>
  <si>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</si>
  <si>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</si>
  <si>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</si>
  <si>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</si>
  <si>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</si>
  <si>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</si>
  <si>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</si>
  <si>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</si>
  <si>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</si>
  <si>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</si>
  <si>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</si>
  <si>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</si>
  <si>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</si>
  <si>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</si>
  <si>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</si>
  <si>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</si>
  <si>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</si>
  <si>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</si>
  <si>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</si>
  <si>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</si>
  <si>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</si>
  <si>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</si>
  <si>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</si>
  <si>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</si>
  <si>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</si>
  <si>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</si>
  <si>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</si>
  <si>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</si>
  <si>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</si>
  <si>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</si>
  <si>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</si>
  <si>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</si>
  <si>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</si>
  <si>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</si>
  <si>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</si>
  <si>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</si>
  <si>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</si>
  <si>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</si>
  <si>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</si>
  <si>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</si>
  <si>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</si>
  <si>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</si>
  <si>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</si>
  <si>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</si>
  <si>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</si>
  <si>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</si>
  <si>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</si>
  <si>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</si>
  <si>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</si>
  <si>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</si>
  <si>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</si>
  <si>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</si>
  <si>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</si>
  <si>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</si>
  <si>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</si>
  <si>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</si>
  <si>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</si>
  <si>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</si>
  <si>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</si>
  <si>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</si>
  <si>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</si>
  <si>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</si>
  <si>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</si>
  <si>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</si>
  <si>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</si>
  <si>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</si>
  <si>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</si>
  <si>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</si>
  <si>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</si>
  <si>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</si>
  <si>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</si>
  <si>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</si>
  <si>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</si>
  <si>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</si>
  <si>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</si>
  <si>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</si>
  <si>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</si>
  <si>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</si>
  <si>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</si>
  <si>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</si>
  <si>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</si>
  <si>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</si>
  <si>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</si>
  <si>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</si>
  <si>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</si>
  <si>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</si>
  <si>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</si>
  <si>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</si>
  <si>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</si>
  <si>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</si>
  <si>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</si>
  <si>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</si>
  <si>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</si>
  <si>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</si>
  <si>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</si>
  <si>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</si>
  <si>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</si>
  <si>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</si>
  <si>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</si>
  <si>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</si>
  <si>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</si>
  <si>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</si>
  <si>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</si>
  <si>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</si>
  <si>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</si>
  <si>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</si>
  <si>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</si>
  <si>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</si>
  <si>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</si>
  <si>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</si>
  <si>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</si>
  <si>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</si>
  <si>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</si>
  <si>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</si>
  <si>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</si>
  <si>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</si>
  <si>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</si>
  <si>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</si>
  <si>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</si>
  <si>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</si>
  <si>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</si>
  <si>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</si>
  <si>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</si>
  <si>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</si>
  <si>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</si>
  <si>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</si>
  <si>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</si>
  <si>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</si>
  <si>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</si>
  <si>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</si>
  <si>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</si>
  <si>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</si>
  <si>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</si>
  <si>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</si>
  <si>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</si>
  <si>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</si>
  <si>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</si>
  <si>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</si>
  <si>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</si>
  <si>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</si>
  <si>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</si>
  <si>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</si>
  <si>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</si>
  <si>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</si>
  <si>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</si>
  <si>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</si>
  <si>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</si>
  <si>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</si>
  <si>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</si>
  <si>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</si>
  <si>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</si>
  <si>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</si>
  <si>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</si>
  <si>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</si>
  <si>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</si>
  <si>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</si>
  <si>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</si>
  <si>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</si>
  <si>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</si>
  <si>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</si>
  <si>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</si>
  <si>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</si>
  <si>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</si>
  <si>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</si>
  <si>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</si>
  <si>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</si>
  <si>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</si>
  <si>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</si>
  <si>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</si>
  <si>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</si>
  <si>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</si>
  <si>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</si>
  <si>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</si>
  <si>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</si>
  <si>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</si>
  <si>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</si>
  <si>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</si>
  <si>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</si>
  <si>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</si>
  <si>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</si>
  <si>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</si>
  <si>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</si>
  <si>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</si>
  <si>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</si>
  <si>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</si>
  <si>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</si>
  <si>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</si>
  <si>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</si>
  <si>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</si>
  <si>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</si>
  <si>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</si>
  <si>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</si>
  <si>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</si>
  <si>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</si>
  <si>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</si>
  <si>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</si>
  <si>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</si>
  <si>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</si>
  <si>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</si>
  <si>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</si>
  <si>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</si>
  <si>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</si>
  <si>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</si>
  <si>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</si>
  <si>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</si>
  <si>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</si>
  <si>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</si>
  <si>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</si>
  <si>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</si>
  <si>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</si>
  <si>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</si>
  <si>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</si>
  <si>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</si>
  <si>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</si>
  <si>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</si>
  <si>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</si>
  <si>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</si>
  <si>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</si>
  <si>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</si>
  <si>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</si>
  <si>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</si>
  <si>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</si>
  <si>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</si>
  <si>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</si>
  <si>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</si>
  <si>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</si>
  <si>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</si>
  <si>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</si>
  <si>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</si>
  <si>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</si>
  <si>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</si>
  <si>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</si>
  <si>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</si>
  <si>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</si>
  <si>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</si>
  <si>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</si>
  <si>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</si>
  <si>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</si>
  <si>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</si>
  <si>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</si>
  <si>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</si>
  <si>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</si>
  <si>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</si>
  <si>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</si>
  <si>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</si>
  <si>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</si>
  <si>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</si>
  <si>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</si>
  <si>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</si>
  <si>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</si>
  <si>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</si>
  <si>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</si>
  <si>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</si>
  <si>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</si>
  <si>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</si>
  <si>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</si>
  <si>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</si>
  <si>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</si>
  <si>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</si>
  <si>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</si>
  <si>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</si>
  <si>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</si>
  <si>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</si>
  <si>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</si>
  <si>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</si>
  <si>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</si>
  <si>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</si>
  <si>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</si>
  <si>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</si>
  <si>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</si>
  <si>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</si>
  <si>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</si>
  <si>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</si>
  <si>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</si>
  <si>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</si>
  <si>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</si>
  <si>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</si>
  <si>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</si>
  <si>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</si>
  <si>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</si>
  <si>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</si>
  <si>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</si>
  <si>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</si>
  <si>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</si>
  <si>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</si>
  <si>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</si>
  <si>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</si>
  <si>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</si>
  <si>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</si>
  <si>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</si>
  <si>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</si>
  <si>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</si>
  <si>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</si>
  <si>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</si>
  <si>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</si>
  <si>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</si>
  <si>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</si>
  <si>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</si>
  <si>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</si>
  <si>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</si>
  <si>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</si>
  <si>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</si>
  <si>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</si>
  <si>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</si>
  <si>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</si>
  <si>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</si>
  <si>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</si>
  <si>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</si>
  <si>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</si>
  <si>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</si>
  <si>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</si>
  <si>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</si>
  <si>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</si>
  <si>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</si>
  <si>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</si>
  <si>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</si>
  <si>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</si>
  <si>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</si>
  <si>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</si>
  <si>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</si>
  <si>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or equal to 50000</t>
  </si>
  <si>
    <t>35000 to 39999</t>
  </si>
  <si>
    <t>Mean</t>
  </si>
  <si>
    <t>Median</t>
  </si>
  <si>
    <t>Minimum</t>
  </si>
  <si>
    <t>Maximum</t>
  </si>
  <si>
    <t>Variance</t>
  </si>
  <si>
    <t>Standard Deviation</t>
  </si>
  <si>
    <t>ALL (except blank)</t>
  </si>
  <si>
    <t>Australia</t>
  </si>
  <si>
    <t>Canada</t>
  </si>
  <si>
    <t>Switzerland</t>
  </si>
  <si>
    <t>Denmark</t>
  </si>
  <si>
    <t>United Kingdom (top level)</t>
  </si>
  <si>
    <t>Italy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</si>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</sst>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applyNumberFormat="1"/>
    <xf numFmtId="0" fontId="17" fillId="33" borderId="0" xfId="0" applyFont="1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auto="1"/>
      </font>
      <fill>
        <patternFill patternType="solid"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CC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1-45CA-8743-1DA86A424751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1-45CA-8743-1DA86A424751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1-45CA-8743-1DA86A424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7616"/>
        <c:axId val="40248864"/>
      </c:lineChart>
      <c:catAx>
        <c:axId val="402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8864"/>
        <c:crosses val="autoZero"/>
        <c:auto val="1"/>
        <c:lblAlgn val="ctr"/>
        <c:lblOffset val="100"/>
        <c:noMultiLvlLbl val="0"/>
      </c:catAx>
      <c:valAx>
        <c:axId val="402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[CrowdfundingBook.xlsx]Counts for Category &amp; Years!PivotTable2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 Counts by Categories and Year(s)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C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C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bg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'Counts for Category &amp;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'Counts for Category &amp;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'Counts for Category &amp;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9-49EB-AA86-6F124C48F01C}"/>
            </c:ext>
          </c:extLst>
        </c:ser>
        <c:ser>
          <c:idx val="1"/>
          <c:order val="1"/>
          <c:tx>
            <c:strRef>
              <c:f>'Counts for Category &amp;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'Counts for Category &amp;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'Counts for Category &amp;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B-41B1-BD34-4096119F3C91}"/>
            </c:ext>
          </c:extLst>
        </c:ser>
        <c:ser>
          <c:idx val="2"/>
          <c:order val="2"/>
          <c:tx>
            <c:strRef>
              <c:f>'Counts for Category &amp; Years'!$D$4:$D$5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'Counts for Category &amp;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'Counts for Category &amp; Years'!$D$6:$D$18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B-41B1-BD34-4096119F3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392751"/>
        <c:axId val="751385679"/>
      </c:lineChart>
      <c:catAx>
        <c:axId val="75139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85679"/>
        <c:crosses val="autoZero"/>
        <c:auto val="1"/>
        <c:lblAlgn val="ctr"/>
        <c:lblOffset val="100"/>
        <c:noMultiLvlLbl val="0"/>
      </c:catAx>
      <c:valAx>
        <c:axId val="75138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9275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[CrowdfundingBook.xlsx]Counts for Country &amp; Category!PivotTable2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 Counts by Selected Countries and Selected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C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rgbClr val="33CC3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'Counts for Country &amp;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for Country &amp;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'Counts for Country &amp;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1-4705-B51C-8C3217868566}"/>
            </c:ext>
          </c:extLst>
        </c:ser>
        <c:ser>
          <c:idx val="1"/>
          <c:order val="1"/>
          <c:tx>
            <c:strRef>
              <c:f>'Counts for Country &amp;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'Counts for Country &amp;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'Counts for Country &amp;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1-4705-B51C-8C3217868566}"/>
            </c:ext>
          </c:extLst>
        </c:ser>
        <c:ser>
          <c:idx val="2"/>
          <c:order val="2"/>
          <c:tx>
            <c:strRef>
              <c:f>'Counts for Country &amp;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for Country &amp;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'Counts for Country &amp;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1-4705-B51C-8C3217868566}"/>
            </c:ext>
          </c:extLst>
        </c:ser>
        <c:ser>
          <c:idx val="3"/>
          <c:order val="3"/>
          <c:tx>
            <c:strRef>
              <c:f>'Counts for Country &amp;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for Country &amp;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'Counts for Country &amp;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E3-4E62-A334-244123ADA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51392751"/>
        <c:axId val="751385679"/>
      </c:barChart>
      <c:catAx>
        <c:axId val="75139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85679"/>
        <c:crosses val="autoZero"/>
        <c:auto val="1"/>
        <c:lblAlgn val="ctr"/>
        <c:lblOffset val="100"/>
        <c:noMultiLvlLbl val="0"/>
      </c:catAx>
      <c:valAx>
        <c:axId val="75138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9275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[CrowdfundingBook.xlsx]Counts for Country &amp; Category!PivotTable2</c:name>
    <c:fmtId val="4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 Counts by Selected Countries and Selected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C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rgbClr val="33CC3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'Counts for Country &amp;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for Country &amp;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'Counts for Country &amp;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D-4BDB-A89B-6F1AF6D96E08}"/>
            </c:ext>
          </c:extLst>
        </c:ser>
        <c:ser>
          <c:idx val="1"/>
          <c:order val="1"/>
          <c:tx>
            <c:strRef>
              <c:f>'Counts for Country &amp;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'Counts for Country &amp;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'Counts for Country &amp;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D-4BDB-A89B-6F1AF6D96E08}"/>
            </c:ext>
          </c:extLst>
        </c:ser>
        <c:ser>
          <c:idx val="2"/>
          <c:order val="2"/>
          <c:tx>
            <c:strRef>
              <c:f>'Counts for Country &amp;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for Country &amp;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'Counts for Country &amp;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D-4BDB-A89B-6F1AF6D96E08}"/>
            </c:ext>
          </c:extLst>
        </c:ser>
        <c:ser>
          <c:idx val="3"/>
          <c:order val="3"/>
          <c:tx>
            <c:strRef>
              <c:f>'Counts for Country &amp;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for Country &amp;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'Counts for Country &amp;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7D-4BDB-A89B-6F1AF6D9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51392751"/>
        <c:axId val="751385679"/>
      </c:barChart>
      <c:catAx>
        <c:axId val="75139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85679"/>
        <c:crosses val="autoZero"/>
        <c:auto val="1"/>
        <c:lblAlgn val="ctr"/>
        <c:lblOffset val="100"/>
        <c:noMultiLvlLbl val="0"/>
      </c:catAx>
      <c:valAx>
        <c:axId val="75138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9275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[CrowdfundingBook.xlsx]Counts for Country!PivotTable2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 Counts by Category for</a:t>
            </a:r>
            <a:r>
              <a:rPr lang="en-US" baseline="0"/>
              <a:t> </a:t>
            </a:r>
            <a:r>
              <a:rPr lang="en-US"/>
              <a:t>Selected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'Counts for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for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'Counts for Country'!$B$5:$B$14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3-4FF3-A6B1-6D9D7C2A8205}"/>
            </c:ext>
          </c:extLst>
        </c:ser>
        <c:ser>
          <c:idx val="1"/>
          <c:order val="1"/>
          <c:tx>
            <c:strRef>
              <c:f>'Counts for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'Counts for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'Counts for Country'!$C$5:$C$14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3-4FF3-A6B1-6D9D7C2A8205}"/>
            </c:ext>
          </c:extLst>
        </c:ser>
        <c:ser>
          <c:idx val="2"/>
          <c:order val="2"/>
          <c:tx>
            <c:strRef>
              <c:f>'Counts for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for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'Counts for Country'!$D$5:$D$14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3-4FF3-A6B1-6D9D7C2A8205}"/>
            </c:ext>
          </c:extLst>
        </c:ser>
        <c:ser>
          <c:idx val="3"/>
          <c:order val="3"/>
          <c:tx>
            <c:strRef>
              <c:f>'Counts for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for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'Counts for Country'!$E$5:$E$14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F-401A-8495-8D22061F0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392751"/>
        <c:axId val="751385679"/>
      </c:barChart>
      <c:catAx>
        <c:axId val="75139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85679"/>
        <c:crosses val="autoZero"/>
        <c:auto val="1"/>
        <c:lblAlgn val="ctr"/>
        <c:lblOffset val="100"/>
        <c:noMultiLvlLbl val="0"/>
      </c:catAx>
      <c:valAx>
        <c:axId val="75138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9275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13</xdr:row>
      <xdr:rowOff>133350</xdr:rowOff>
    </xdr:from>
    <xdr:to>
      <xdr:col>7</xdr:col>
      <xdr:colOff>1304925</xdr:colOff>
      <xdr:row>26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8E5B8-EB93-A44E-0A4C-E1E3FA499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319086</xdr:colOff>
      <xdr:row>1</xdr:row>
      <xdr:rowOff>85724</xdr:rowOff>
    </xdr:from>
    <xdr:to>
      <xdr:col>11</xdr:col>
      <xdr:colOff>9525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FCB1E-6C31-4C92-8473-394D948A7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198295</xdr:colOff>
      <xdr:row>1</xdr:row>
      <xdr:rowOff>198872</xdr:rowOff>
    </xdr:from>
    <xdr:to>
      <xdr:col>19</xdr:col>
      <xdr:colOff>88760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C0B29-0E9F-4F58-94A6-C86F5B2EB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55</xdr:row>
      <xdr:rowOff>1</xdr:rowOff>
    </xdr:from>
    <xdr:to>
      <xdr:col>7</xdr:col>
      <xdr:colOff>379422</xdr:colOff>
      <xdr:row>72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AEC2E00-2696-F2AC-3255-E6BBE48E1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1001376"/>
          <a:ext cx="6100029" cy="3400424"/>
        </a:xfrm>
        <a:prstGeom prst="rect">
          <a:avLst/>
        </a:prstGeom>
      </xdr:spPr>
    </xdr:pic>
    <xdr:clientData/>
  </xdr:twoCellAnchor>
  <xdr:twoCellAnchor editAs="oneCell">
    <xdr:from>
      <xdr:col>8</xdr:col>
      <xdr:colOff>14883</xdr:colOff>
      <xdr:row>92</xdr:row>
      <xdr:rowOff>14884</xdr:rowOff>
    </xdr:from>
    <xdr:to>
      <xdr:col>16</xdr:col>
      <xdr:colOff>634007</xdr:colOff>
      <xdr:row>109</xdr:row>
      <xdr:rowOff>17948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A7CAEAB-8C92-61B2-98B4-DBE7F64A1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25196" y="17814728"/>
          <a:ext cx="6096000" cy="3292165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55</xdr:row>
      <xdr:rowOff>1</xdr:rowOff>
    </xdr:from>
    <xdr:to>
      <xdr:col>25</xdr:col>
      <xdr:colOff>609603</xdr:colOff>
      <xdr:row>72</xdr:row>
      <xdr:rowOff>710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ED06392-21D6-2775-D970-BDF1A4181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39651" y="11001376"/>
          <a:ext cx="6096000" cy="3398178"/>
        </a:xfrm>
        <a:prstGeom prst="rect">
          <a:avLst/>
        </a:prstGeom>
      </xdr:spPr>
    </xdr:pic>
    <xdr:clientData/>
  </xdr:twoCellAnchor>
  <xdr:twoCellAnchor editAs="oneCell">
    <xdr:from>
      <xdr:col>8</xdr:col>
      <xdr:colOff>74707</xdr:colOff>
      <xdr:row>55</xdr:row>
      <xdr:rowOff>1</xdr:rowOff>
    </xdr:from>
    <xdr:to>
      <xdr:col>16</xdr:col>
      <xdr:colOff>547336</xdr:colOff>
      <xdr:row>72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FA3A739-3329-7987-A623-9BC09C605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06031" y="11299266"/>
          <a:ext cx="6000865" cy="3492499"/>
        </a:xfrm>
        <a:prstGeom prst="rect">
          <a:avLst/>
        </a:prstGeom>
      </xdr:spPr>
    </xdr:pic>
    <xdr:clientData/>
  </xdr:twoCellAnchor>
  <xdr:twoCellAnchor editAs="oneCell">
    <xdr:from>
      <xdr:col>8</xdr:col>
      <xdr:colOff>56029</xdr:colOff>
      <xdr:row>74</xdr:row>
      <xdr:rowOff>0</xdr:rowOff>
    </xdr:from>
    <xdr:to>
      <xdr:col>16</xdr:col>
      <xdr:colOff>597644</xdr:colOff>
      <xdr:row>90</xdr:row>
      <xdr:rowOff>165564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63E0371-DC91-D6A7-06E6-E0B1805AD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87353" y="15202647"/>
          <a:ext cx="6069851" cy="345262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74</xdr:row>
      <xdr:rowOff>0</xdr:rowOff>
    </xdr:from>
    <xdr:to>
      <xdr:col>25</xdr:col>
      <xdr:colOff>613104</xdr:colOff>
      <xdr:row>91</xdr:row>
      <xdr:rowOff>1182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A7E4688-A379-CEC2-9A04-0A8C7C235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94138" y="14583103"/>
          <a:ext cx="6131034" cy="335135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92</xdr:row>
      <xdr:rowOff>0</xdr:rowOff>
    </xdr:from>
    <xdr:to>
      <xdr:col>7</xdr:col>
      <xdr:colOff>361293</xdr:colOff>
      <xdr:row>108</xdr:row>
      <xdr:rowOff>186120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28AB551-EEAA-4BE0-825A-2B3C59025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43794</xdr:colOff>
      <xdr:row>92</xdr:row>
      <xdr:rowOff>32845</xdr:rowOff>
    </xdr:from>
    <xdr:to>
      <xdr:col>25</xdr:col>
      <xdr:colOff>678795</xdr:colOff>
      <xdr:row>109</xdr:row>
      <xdr:rowOff>45998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56456AA-A921-9D44-3323-39E7E947A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90518" y="18163190"/>
          <a:ext cx="6152931" cy="3363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263228</xdr:colOff>
      <xdr:row>0</xdr:row>
      <xdr:rowOff>64576</xdr:rowOff>
    </xdr:from>
    <xdr:to>
      <xdr:col>16</xdr:col>
      <xdr:colOff>119308</xdr:colOff>
      <xdr:row>23</xdr:row>
      <xdr:rowOff>64576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13760-2156-A8C3-7EB7-7AA5487A2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ila LaRoue" refreshedDate="44911.97757372685" createdVersion="8" refreshedVersion="8" minRefreshableVersion="3" recordCount="1001" xr:uid="{D4249B29-C2F4-4C6A-BAE7-A7EA6EA71AE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1A4D5-D8F4-40A9-B544-62B26D38D8A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43137-8DD8-4F49-9372-B85561F2EA1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9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9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9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9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9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1CBEB-C4E0-4E5F-8EBA-CDF63E2399C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7BAD-B283-421A-AD99-89F19CBD44CD}">
  <sheetPr codeName="Sheet1"/>
  <dimension ref="A1:O566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8" max="8" width="19.25" customWidth="1"/>
    <col min="9" max="10" width="11.5" customWidth="1"/>
  </cols>
  <sheetData>
    <row r="1" spans="1:15" x14ac:dyDescent="0.25">
      <c r="A1" s="10" t="s">
        <v>4</v>
      </c>
      <c r="B1" s="10" t="s">
        <v>5</v>
      </c>
      <c r="C1" s="10"/>
      <c r="D1" s="10" t="s">
        <v>4</v>
      </c>
      <c r="E1" s="10" t="s">
        <v>5</v>
      </c>
      <c r="F1" s="10"/>
    </row>
    <row r="2" spans="1:15" x14ac:dyDescent="0.25">
      <c r="A2" t="s">
        <v>20</v>
      </c>
      <c r="B2">
        <v>158</v>
      </c>
      <c r="D2" t="s">
        <v>14</v>
      </c>
      <c r="E2">
        <v>0</v>
      </c>
      <c r="H2" s="11" t="s">
        <v>5</v>
      </c>
      <c r="I2" s="14" t="s">
        <v>4</v>
      </c>
      <c r="J2" s="14"/>
    </row>
    <row r="3" spans="1:15" x14ac:dyDescent="0.25">
      <c r="A3" t="s">
        <v>20</v>
      </c>
      <c r="B3">
        <v>1425</v>
      </c>
      <c r="D3" t="s">
        <v>14</v>
      </c>
      <c r="E3">
        <v>24</v>
      </c>
      <c r="H3" s="12"/>
      <c r="I3" s="12" t="s">
        <v>20</v>
      </c>
      <c r="J3" s="12" t="s">
        <v>14</v>
      </c>
    </row>
    <row r="4" spans="1:15" x14ac:dyDescent="0.25">
      <c r="A4" t="s">
        <v>20</v>
      </c>
      <c r="B4">
        <v>174</v>
      </c>
      <c r="D4" t="s">
        <v>14</v>
      </c>
      <c r="E4">
        <v>53</v>
      </c>
      <c r="H4" s="13" t="s">
        <v>2106</v>
      </c>
      <c r="I4" s="12">
        <f>AVERAGE(successful_backers_count)</f>
        <v>851.14690265486729</v>
      </c>
      <c r="J4" s="12">
        <f>AVERAGE(failed_backers_count)</f>
        <v>585.61538461538464</v>
      </c>
      <c r="L4">
        <f>1-(585/851)</f>
        <v>0.31257344300822565</v>
      </c>
    </row>
    <row r="5" spans="1:15" x14ac:dyDescent="0.25">
      <c r="A5" t="s">
        <v>20</v>
      </c>
      <c r="B5">
        <v>227</v>
      </c>
      <c r="D5" t="s">
        <v>14</v>
      </c>
      <c r="E5">
        <v>18</v>
      </c>
      <c r="H5" s="13" t="s">
        <v>2107</v>
      </c>
      <c r="I5" s="12">
        <f>MEDIAN(successful_backers_count)</f>
        <v>201</v>
      </c>
      <c r="J5" s="12">
        <f>MEDIAN(failed_backers_count)</f>
        <v>114.5</v>
      </c>
      <c r="L5">
        <f>585*1.46</f>
        <v>854.1</v>
      </c>
    </row>
    <row r="6" spans="1:15" x14ac:dyDescent="0.25">
      <c r="A6" t="s">
        <v>20</v>
      </c>
      <c r="B6">
        <v>220</v>
      </c>
      <c r="D6" t="s">
        <v>14</v>
      </c>
      <c r="E6">
        <v>44</v>
      </c>
      <c r="H6" s="13" t="s">
        <v>2108</v>
      </c>
      <c r="I6" s="12">
        <f>MIN(successful_backers_count)</f>
        <v>16</v>
      </c>
      <c r="J6" s="12">
        <f>MIN(failed_backers_count)</f>
        <v>0</v>
      </c>
    </row>
    <row r="7" spans="1:15" x14ac:dyDescent="0.25">
      <c r="A7" t="s">
        <v>20</v>
      </c>
      <c r="B7">
        <v>98</v>
      </c>
      <c r="D7" t="s">
        <v>14</v>
      </c>
      <c r="E7">
        <v>27</v>
      </c>
      <c r="H7" s="13" t="s">
        <v>2109</v>
      </c>
      <c r="I7" s="12">
        <f>MAX(successful_backers_count)</f>
        <v>7295</v>
      </c>
      <c r="J7" s="12">
        <f>MAX(failed_backers_count)</f>
        <v>6080</v>
      </c>
      <c r="L7">
        <f>585/0.4</f>
        <v>1462.5</v>
      </c>
    </row>
    <row r="8" spans="1:15" x14ac:dyDescent="0.25">
      <c r="A8" t="s">
        <v>20</v>
      </c>
      <c r="B8">
        <v>100</v>
      </c>
      <c r="D8" t="s">
        <v>14</v>
      </c>
      <c r="E8">
        <v>55</v>
      </c>
      <c r="H8" s="13" t="s">
        <v>2110</v>
      </c>
      <c r="I8" s="12">
        <f>_xlfn.VAR.P(successful_backers_count)</f>
        <v>1603373.7324019109</v>
      </c>
      <c r="J8" s="12">
        <f>_xlfn.VAR.P(failed_backers_count)</f>
        <v>921574.68174133555</v>
      </c>
      <c r="L8">
        <f>851*0.46</f>
        <v>391.46000000000004</v>
      </c>
      <c r="M8">
        <f>851*0.69</f>
        <v>587.18999999999994</v>
      </c>
    </row>
    <row r="9" spans="1:15" x14ac:dyDescent="0.25">
      <c r="A9" t="s">
        <v>20</v>
      </c>
      <c r="B9">
        <v>1249</v>
      </c>
      <c r="D9" t="s">
        <v>14</v>
      </c>
      <c r="E9">
        <v>200</v>
      </c>
      <c r="H9" s="13" t="s">
        <v>2111</v>
      </c>
      <c r="I9" s="12">
        <f>_xlfn.STDEV.P(successful_backers_count)</f>
        <v>1266.2439466397898</v>
      </c>
      <c r="J9" s="12">
        <f>_xlfn.STDEV.P(failed_backers_count)</f>
        <v>959.98681331637863</v>
      </c>
    </row>
    <row r="10" spans="1:15" x14ac:dyDescent="0.25">
      <c r="A10" t="s">
        <v>20</v>
      </c>
      <c r="B10">
        <v>1396</v>
      </c>
      <c r="D10" t="s">
        <v>14</v>
      </c>
      <c r="E10">
        <v>452</v>
      </c>
    </row>
    <row r="11" spans="1:15" x14ac:dyDescent="0.25">
      <c r="A11" t="s">
        <v>20</v>
      </c>
      <c r="B11">
        <v>890</v>
      </c>
      <c r="D11" t="s">
        <v>14</v>
      </c>
      <c r="E11">
        <v>674</v>
      </c>
      <c r="M11">
        <f>1-0.46</f>
        <v>0.54</v>
      </c>
    </row>
    <row r="12" spans="1:15" x14ac:dyDescent="0.25">
      <c r="A12" t="s">
        <v>20</v>
      </c>
      <c r="B12">
        <v>142</v>
      </c>
      <c r="D12" t="s">
        <v>14</v>
      </c>
      <c r="E12">
        <v>558</v>
      </c>
      <c r="N12">
        <f>201*0.31</f>
        <v>62.31</v>
      </c>
      <c r="O12">
        <f>851*0.31</f>
        <v>263.81</v>
      </c>
    </row>
    <row r="13" spans="1:15" x14ac:dyDescent="0.25">
      <c r="A13" t="s">
        <v>20</v>
      </c>
      <c r="B13">
        <v>2673</v>
      </c>
      <c r="D13" t="s">
        <v>14</v>
      </c>
      <c r="E13">
        <v>15</v>
      </c>
      <c r="K13">
        <f>114/201</f>
        <v>0.56716417910447758</v>
      </c>
    </row>
    <row r="14" spans="1:15" x14ac:dyDescent="0.25">
      <c r="A14" t="s">
        <v>20</v>
      </c>
      <c r="B14">
        <v>163</v>
      </c>
      <c r="D14" t="s">
        <v>14</v>
      </c>
      <c r="E14">
        <v>2307</v>
      </c>
      <c r="K14">
        <f>851*0.31</f>
        <v>263.81</v>
      </c>
    </row>
    <row r="15" spans="1:15" x14ac:dyDescent="0.25">
      <c r="A15" t="s">
        <v>20</v>
      </c>
      <c r="B15">
        <v>2220</v>
      </c>
      <c r="D15" t="s">
        <v>14</v>
      </c>
      <c r="E15">
        <v>88</v>
      </c>
      <c r="K15">
        <f>585/0.68</f>
        <v>860.29411764705878</v>
      </c>
    </row>
    <row r="16" spans="1:15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sortState xmlns:xlrd2="http://schemas.microsoft.com/office/spreadsheetml/2017/richdata2" ref="J13:J25">
    <sortCondition ref="J13:J25"/>
  </sortState>
  <mergeCells count="1">
    <mergeCell ref="I2:J2"/>
  </mergeCells>
  <conditionalFormatting sqref="A2:A56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9" priority="17" operator="containsText" text="successful">
      <formula>NOT(ISERROR(SEARCH("successful",A2)))</formula>
    </cfRule>
    <cfRule type="containsText" dxfId="18" priority="18" operator="containsText" text="live">
      <formula>NOT(ISERROR(SEARCH("live",A2)))</formula>
    </cfRule>
    <cfRule type="containsText" dxfId="17" priority="19" operator="containsText" text="canceled">
      <formula>NOT(ISERROR(SEARCH("canceled",A2)))</formula>
    </cfRule>
    <cfRule type="containsText" dxfId="16" priority="20" operator="containsText" text="failed">
      <formula>NOT(ISERROR(SEARCH("failed",A2)))</formula>
    </cfRule>
  </conditionalFormatting>
  <conditionalFormatting sqref="D2:D36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5" priority="12" operator="containsText" text="successful">
      <formula>NOT(ISERROR(SEARCH("successful",D2)))</formula>
    </cfRule>
    <cfRule type="containsText" dxfId="14" priority="13" operator="containsText" text="live">
      <formula>NOT(ISERROR(SEARCH("live",D2)))</formula>
    </cfRule>
    <cfRule type="containsText" dxfId="13" priority="14" operator="containsText" text="canceled">
      <formula>NOT(ISERROR(SEARCH("canceled",D2)))</formula>
    </cfRule>
    <cfRule type="containsText" dxfId="12" priority="15" operator="containsText" text="failed">
      <formula>NOT(ISERROR(SEARCH("failed",D2)))</formula>
    </cfRule>
  </conditionalFormatting>
  <conditionalFormatting sqref="I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1" priority="7" operator="containsText" text="successful">
      <formula>NOT(ISERROR(SEARCH("successful",I3)))</formula>
    </cfRule>
    <cfRule type="containsText" dxfId="10" priority="8" operator="containsText" text="live">
      <formula>NOT(ISERROR(SEARCH("live",I3)))</formula>
    </cfRule>
    <cfRule type="containsText" dxfId="9" priority="9" operator="containsText" text="canceled">
      <formula>NOT(ISERROR(SEARCH("canceled",I3)))</formula>
    </cfRule>
    <cfRule type="containsText" dxfId="8" priority="10" operator="containsText" text="failed">
      <formula>NOT(ISERROR(SEARCH("failed",I3)))</formula>
    </cfRule>
  </conditionalFormatting>
  <conditionalFormatting sqref="J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7" priority="2" operator="containsText" text="successful">
      <formula>NOT(ISERROR(SEARCH("successful",J3)))</formula>
    </cfRule>
    <cfRule type="containsText" dxfId="6" priority="3" operator="containsText" text="live">
      <formula>NOT(ISERROR(SEARCH("live",J3)))</formula>
    </cfRule>
    <cfRule type="containsText" dxfId="5" priority="4" operator="containsText" text="canceled">
      <formula>NOT(ISERROR(SEARCH("canceled",J3)))</formula>
    </cfRule>
    <cfRule type="containsText" dxfId="4" priority="5" operator="containsText" text="failed">
      <formula>NOT(ISERROR(SEARCH("failed",J3)))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53FE-F1CF-40DF-9E3C-E6D121B698B9}">
  <sheetPr codeName="Sheet2"/>
  <dimension ref="A1:H13"/>
  <sheetViews>
    <sheetView workbookViewId="0"/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25">
      <c r="A2" t="s">
        <v>2094</v>
      </c>
      <c r="B2">
        <f>COUNTIFS(goal,"&gt;0",goal,"&lt;1000",outcome,"successful")</f>
        <v>30</v>
      </c>
      <c r="C2">
        <f>COUNTIFS(goal,"&gt;0",goal,"&lt;1000",outcome,"failed")</f>
        <v>20</v>
      </c>
      <c r="D2">
        <f>COUNTIFS(goal,"&gt;0",goal,"&lt;1000",outcome,"canceled")</f>
        <v>1</v>
      </c>
      <c r="E2">
        <f>SUM(B2:D2)</f>
        <v>51</v>
      </c>
      <c r="F2" s="5">
        <f>ROUND(B2/$E2,2)</f>
        <v>0.59</v>
      </c>
      <c r="G2" s="5">
        <f>ROUND(C2/$E2,2)</f>
        <v>0.39</v>
      </c>
      <c r="H2" s="5">
        <f>ROUND(D2/$E2,2)</f>
        <v>0.02</v>
      </c>
    </row>
    <row r="3" spans="1:8" x14ac:dyDescent="0.25">
      <c r="A3" t="s">
        <v>2095</v>
      </c>
      <c r="B3">
        <f>COUNTIFS(goal,"&gt;=1000",goal,"&lt;5000",outcome,"successful")</f>
        <v>191</v>
      </c>
      <c r="C3">
        <f>COUNTIFS(goal,"&gt;=1000",goal,"&lt;5000",outcome,"failed")</f>
        <v>38</v>
      </c>
      <c r="D3">
        <f>COUNTIFS(goal,"&gt;=1000",goal,"&lt;5000",outcome,"canceled")</f>
        <v>2</v>
      </c>
      <c r="E3">
        <f t="shared" ref="E3:E13" si="0">SUM(B3:D3)</f>
        <v>231</v>
      </c>
      <c r="F3" s="5">
        <f t="shared" ref="F3:H13" si="1">ROUND(B3/$E3,2)</f>
        <v>0.83</v>
      </c>
      <c r="G3" s="5">
        <f t="shared" si="1"/>
        <v>0.16</v>
      </c>
      <c r="H3" s="5">
        <f t="shared" si="1"/>
        <v>0.01</v>
      </c>
    </row>
    <row r="4" spans="1:8" x14ac:dyDescent="0.25">
      <c r="A4" t="s">
        <v>2096</v>
      </c>
      <c r="B4">
        <f>COUNTIFS(goal,"&gt;=5000",goal,"&lt;10000",outcome,"successful")</f>
        <v>164</v>
      </c>
      <c r="C4">
        <f>COUNTIFS(goal,"&gt;=5000",goal,"&lt;10000",outcome,"failed")</f>
        <v>126</v>
      </c>
      <c r="D4">
        <f>COUNTIFS(goal,"&gt;=5000",goal,"&lt;10000",outcome,"canceled")</f>
        <v>25</v>
      </c>
      <c r="E4">
        <f t="shared" si="0"/>
        <v>315</v>
      </c>
      <c r="F4" s="5">
        <f t="shared" si="1"/>
        <v>0.52</v>
      </c>
      <c r="G4" s="5">
        <f t="shared" si="1"/>
        <v>0.4</v>
      </c>
      <c r="H4" s="5">
        <f t="shared" si="1"/>
        <v>0.08</v>
      </c>
    </row>
    <row r="5" spans="1:8" x14ac:dyDescent="0.25">
      <c r="A5" t="s">
        <v>2097</v>
      </c>
      <c r="B5">
        <f>COUNTIFS(goal,"&gt;=10000",goal,"&lt;15000",outcome,"successful")</f>
        <v>4</v>
      </c>
      <c r="C5">
        <f>COUNTIFS(goal,"&gt;=10000",goal,"&lt;15000",outcome,"failed")</f>
        <v>5</v>
      </c>
      <c r="D5">
        <f>COUNTIFS(goal,"&gt;=10000",goal,"&lt;15000",outcome,"canceled")</f>
        <v>0</v>
      </c>
      <c r="E5">
        <f t="shared" si="0"/>
        <v>9</v>
      </c>
      <c r="F5" s="5">
        <f t="shared" si="1"/>
        <v>0.44</v>
      </c>
      <c r="G5" s="5">
        <f t="shared" si="1"/>
        <v>0.56000000000000005</v>
      </c>
      <c r="H5" s="5">
        <f t="shared" si="1"/>
        <v>0</v>
      </c>
    </row>
    <row r="6" spans="1:8" x14ac:dyDescent="0.25">
      <c r="A6" t="s">
        <v>2098</v>
      </c>
      <c r="B6">
        <f>COUNTIFS(goal,"&gt;=15000",goal,"&lt;20000",outcome,"successful")</f>
        <v>10</v>
      </c>
      <c r="C6">
        <f>COUNTIFS(goal,"&gt;=15000",goal,"&lt;20000",outcome,"failed")</f>
        <v>0</v>
      </c>
      <c r="D6">
        <f>COUNTIFS(goal,"&gt;=15000",goal,"&lt;20000",outcome,"canceled")</f>
        <v>0</v>
      </c>
      <c r="E6">
        <f t="shared" si="0"/>
        <v>10</v>
      </c>
      <c r="F6" s="5">
        <f t="shared" si="1"/>
        <v>1</v>
      </c>
      <c r="G6" s="5">
        <f t="shared" si="1"/>
        <v>0</v>
      </c>
      <c r="H6" s="5">
        <f t="shared" si="1"/>
        <v>0</v>
      </c>
    </row>
    <row r="7" spans="1:8" x14ac:dyDescent="0.25">
      <c r="A7" t="s">
        <v>2099</v>
      </c>
      <c r="B7">
        <f>COUNTIFS(goal,"&gt;=20000",goal,"&lt;25000",outcome,"successful")</f>
        <v>7</v>
      </c>
      <c r="C7">
        <f>COUNTIFS(goal,"&gt;=20000",goal,"&lt;25000",outcome,"failed")</f>
        <v>0</v>
      </c>
      <c r="D7">
        <f>COUNTIFS(goal,"&gt;=20000",goal,"&lt;25000",outcome,"canceled")</f>
        <v>0</v>
      </c>
      <c r="E7">
        <f t="shared" si="0"/>
        <v>7</v>
      </c>
      <c r="F7" s="5">
        <f t="shared" si="1"/>
        <v>1</v>
      </c>
      <c r="G7" s="5">
        <f t="shared" si="1"/>
        <v>0</v>
      </c>
      <c r="H7" s="5">
        <f t="shared" si="1"/>
        <v>0</v>
      </c>
    </row>
    <row r="8" spans="1:8" x14ac:dyDescent="0.25">
      <c r="A8" t="s">
        <v>2100</v>
      </c>
      <c r="B8">
        <f>COUNTIFS(goal,"&gt;=25000",goal,"&lt;30000",outcome,"successful")</f>
        <v>11</v>
      </c>
      <c r="C8">
        <f>COUNTIFS(goal,"&gt;=25000",goal,"&lt;30000",outcome,"failed")</f>
        <v>3</v>
      </c>
      <c r="D8">
        <f>COUNTIFS(goal,"&gt;=25000",goal,"&lt;30000",outcome,"canceled")</f>
        <v>0</v>
      </c>
      <c r="E8">
        <f t="shared" si="0"/>
        <v>14</v>
      </c>
      <c r="F8" s="5">
        <f t="shared" si="1"/>
        <v>0.79</v>
      </c>
      <c r="G8" s="5">
        <f t="shared" si="1"/>
        <v>0.21</v>
      </c>
      <c r="H8" s="5">
        <f t="shared" si="1"/>
        <v>0</v>
      </c>
    </row>
    <row r="9" spans="1:8" x14ac:dyDescent="0.25">
      <c r="A9" t="s">
        <v>2101</v>
      </c>
      <c r="B9">
        <f>COUNTIFS(goal,"&gt;=30000",goal,"&lt;35000",outcome,"successful")</f>
        <v>7</v>
      </c>
      <c r="C9">
        <f>COUNTIFS(goal,"&gt;=30000",goal,"&lt;35000",outcome,"failed")</f>
        <v>0</v>
      </c>
      <c r="D9">
        <f>COUNTIFS(goal,"&gt;=30000",goal,"&lt;35000",outcome,"canceled")</f>
        <v>0</v>
      </c>
      <c r="E9">
        <f t="shared" si="0"/>
        <v>7</v>
      </c>
      <c r="F9" s="5">
        <f t="shared" si="1"/>
        <v>1</v>
      </c>
      <c r="G9" s="5">
        <f t="shared" si="1"/>
        <v>0</v>
      </c>
      <c r="H9" s="5">
        <f t="shared" si="1"/>
        <v>0</v>
      </c>
    </row>
    <row r="10" spans="1:8" x14ac:dyDescent="0.25">
      <c r="A10" t="s">
        <v>2105</v>
      </c>
      <c r="B10">
        <f>COUNTIFS(goal,"&gt;=35000",goal,"&lt;40000",outcome,"successful")</f>
        <v>8</v>
      </c>
      <c r="C10">
        <f>COUNTIFS(goal,"&gt;=35000",goal,"&lt;40000",outcome,"failed")</f>
        <v>3</v>
      </c>
      <c r="D10">
        <f>COUNTIFS(goal,"&gt;=35000",goal,"&lt;40000",outcome,"canceled")</f>
        <v>1</v>
      </c>
      <c r="E10">
        <f t="shared" ref="E10" si="2">SUM(B10:D10)</f>
        <v>12</v>
      </c>
      <c r="F10" s="5">
        <f t="shared" ref="F10" si="3">ROUND(B10/$E10,2)</f>
        <v>0.67</v>
      </c>
      <c r="G10" s="5">
        <f t="shared" ref="G10" si="4">ROUND(C10/$E10,2)</f>
        <v>0.25</v>
      </c>
      <c r="H10" s="5">
        <f t="shared" ref="H10" si="5">ROUND(D10/$E10,2)</f>
        <v>0.08</v>
      </c>
    </row>
    <row r="11" spans="1:8" x14ac:dyDescent="0.25">
      <c r="A11" t="s">
        <v>2102</v>
      </c>
      <c r="B11">
        <f>COUNTIFS(goal,"&gt;=40000",goal,"&lt;45000",outcome,"successful")</f>
        <v>11</v>
      </c>
      <c r="C11">
        <f>COUNTIFS(goal,"&gt;=40000",goal,"&lt;45000",outcome,"failed")</f>
        <v>3</v>
      </c>
      <c r="D11">
        <f>COUNTIFS(goal,"&gt;=40000",goal,"&lt;45000",outcome,"canceled")</f>
        <v>0</v>
      </c>
      <c r="E11">
        <f t="shared" si="0"/>
        <v>14</v>
      </c>
      <c r="F11" s="5">
        <f t="shared" si="1"/>
        <v>0.79</v>
      </c>
      <c r="G11" s="5">
        <f t="shared" si="1"/>
        <v>0.21</v>
      </c>
      <c r="H11" s="5">
        <f t="shared" si="1"/>
        <v>0</v>
      </c>
    </row>
    <row r="12" spans="1:8" x14ac:dyDescent="0.25">
      <c r="A12" t="s">
        <v>2103</v>
      </c>
      <c r="B12">
        <f>COUNTIFS(goal,"&gt;=45000",goal,"&lt;50000",outcome,"successful")</f>
        <v>8</v>
      </c>
      <c r="C12">
        <f>COUNTIFS(goal,"&gt;=45000",goal,"&lt;50000",outcome,"failed")</f>
        <v>3</v>
      </c>
      <c r="D12">
        <f>COUNTIFS(goal,"&gt;=45000",goal,"&lt;50000",outcome,"canceled")</f>
        <v>0</v>
      </c>
      <c r="E12">
        <f t="shared" si="0"/>
        <v>11</v>
      </c>
      <c r="F12" s="5">
        <f t="shared" si="1"/>
        <v>0.73</v>
      </c>
      <c r="G12" s="5">
        <f t="shared" si="1"/>
        <v>0.27</v>
      </c>
      <c r="H12" s="5">
        <f t="shared" si="1"/>
        <v>0</v>
      </c>
    </row>
    <row r="13" spans="1:8" x14ac:dyDescent="0.25">
      <c r="A13" t="s">
        <v>2104</v>
      </c>
      <c r="B13">
        <f>COUNTIFS(goal,"&gt;=50000",outcome,"successful")</f>
        <v>114</v>
      </c>
      <c r="C13">
        <f>COUNTIFS(goal,"&gt;=50000",outcome,"failed")</f>
        <v>163</v>
      </c>
      <c r="D13">
        <f>COUNTIFS(goal,"&gt;=50000",outcome,"canceled")</f>
        <v>28</v>
      </c>
      <c r="E13">
        <f t="shared" si="0"/>
        <v>305</v>
      </c>
      <c r="F13" s="5">
        <f t="shared" si="1"/>
        <v>0.37</v>
      </c>
      <c r="G13" s="5">
        <f t="shared" si="1"/>
        <v>0.53</v>
      </c>
      <c r="H13" s="5">
        <f t="shared" si="1"/>
        <v>0.09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D085C-AD5D-47AA-B0F9-57F0E7C9CEA7}">
  <sheetPr codeName="Sheet3"/>
  <dimension ref="A1:E18"/>
  <sheetViews>
    <sheetView zoomScaleNormal="100"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  <col min="8" max="8" width="16.5" bestFit="1" customWidth="1"/>
    <col min="9" max="9" width="13.375" bestFit="1" customWidth="1"/>
    <col min="10" max="10" width="21.625" bestFit="1" customWidth="1"/>
    <col min="11" max="11" width="18.375" bestFit="1" customWidth="1"/>
  </cols>
  <sheetData>
    <row r="1" spans="1:5" x14ac:dyDescent="0.25">
      <c r="A1" s="7" t="s">
        <v>2031</v>
      </c>
      <c r="B1" t="s">
        <v>2035</v>
      </c>
    </row>
    <row r="2" spans="1:5" x14ac:dyDescent="0.25">
      <c r="A2" s="7" t="s">
        <v>2085</v>
      </c>
      <c r="B2" t="s">
        <v>2035</v>
      </c>
    </row>
    <row r="4" spans="1:5" x14ac:dyDescent="0.25">
      <c r="A4" s="7" t="s">
        <v>2046</v>
      </c>
      <c r="B4" s="7" t="s">
        <v>2045</v>
      </c>
    </row>
    <row r="5" spans="1:5" x14ac:dyDescent="0.25">
      <c r="A5" s="7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8" t="s">
        <v>2073</v>
      </c>
      <c r="B6" s="15">
        <v>6</v>
      </c>
      <c r="C6" s="15">
        <v>36</v>
      </c>
      <c r="D6" s="15">
        <v>49</v>
      </c>
      <c r="E6" s="15">
        <v>91</v>
      </c>
    </row>
    <row r="7" spans="1:5" x14ac:dyDescent="0.25">
      <c r="A7" s="8" t="s">
        <v>2074</v>
      </c>
      <c r="B7" s="15">
        <v>7</v>
      </c>
      <c r="C7" s="15">
        <v>28</v>
      </c>
      <c r="D7" s="15">
        <v>44</v>
      </c>
      <c r="E7" s="15">
        <v>79</v>
      </c>
    </row>
    <row r="8" spans="1:5" x14ac:dyDescent="0.25">
      <c r="A8" s="8" t="s">
        <v>2075</v>
      </c>
      <c r="B8" s="15">
        <v>4</v>
      </c>
      <c r="C8" s="15">
        <v>33</v>
      </c>
      <c r="D8" s="15">
        <v>49</v>
      </c>
      <c r="E8" s="15">
        <v>86</v>
      </c>
    </row>
    <row r="9" spans="1:5" x14ac:dyDescent="0.25">
      <c r="A9" s="8" t="s">
        <v>2076</v>
      </c>
      <c r="B9" s="15">
        <v>1</v>
      </c>
      <c r="C9" s="15">
        <v>30</v>
      </c>
      <c r="D9" s="15">
        <v>46</v>
      </c>
      <c r="E9" s="15">
        <v>77</v>
      </c>
    </row>
    <row r="10" spans="1:5" x14ac:dyDescent="0.25">
      <c r="A10" s="8" t="s">
        <v>2077</v>
      </c>
      <c r="B10" s="15">
        <v>3</v>
      </c>
      <c r="C10" s="15">
        <v>35</v>
      </c>
      <c r="D10" s="15">
        <v>46</v>
      </c>
      <c r="E10" s="15">
        <v>84</v>
      </c>
    </row>
    <row r="11" spans="1:5" x14ac:dyDescent="0.25">
      <c r="A11" s="8" t="s">
        <v>2078</v>
      </c>
      <c r="B11" s="15">
        <v>3</v>
      </c>
      <c r="C11" s="15">
        <v>28</v>
      </c>
      <c r="D11" s="15">
        <v>55</v>
      </c>
      <c r="E11" s="15">
        <v>86</v>
      </c>
    </row>
    <row r="12" spans="1:5" x14ac:dyDescent="0.25">
      <c r="A12" s="8" t="s">
        <v>2079</v>
      </c>
      <c r="B12" s="15">
        <v>4</v>
      </c>
      <c r="C12" s="15">
        <v>31</v>
      </c>
      <c r="D12" s="15">
        <v>58</v>
      </c>
      <c r="E12" s="15">
        <v>93</v>
      </c>
    </row>
    <row r="13" spans="1:5" x14ac:dyDescent="0.25">
      <c r="A13" s="8" t="s">
        <v>2080</v>
      </c>
      <c r="B13" s="15">
        <v>8</v>
      </c>
      <c r="C13" s="15">
        <v>35</v>
      </c>
      <c r="D13" s="15">
        <v>41</v>
      </c>
      <c r="E13" s="15">
        <v>84</v>
      </c>
    </row>
    <row r="14" spans="1:5" x14ac:dyDescent="0.25">
      <c r="A14" s="8" t="s">
        <v>2081</v>
      </c>
      <c r="B14" s="15">
        <v>5</v>
      </c>
      <c r="C14" s="15">
        <v>23</v>
      </c>
      <c r="D14" s="15">
        <v>45</v>
      </c>
      <c r="E14" s="15">
        <v>73</v>
      </c>
    </row>
    <row r="15" spans="1:5" x14ac:dyDescent="0.25">
      <c r="A15" s="8" t="s">
        <v>2082</v>
      </c>
      <c r="B15" s="15">
        <v>6</v>
      </c>
      <c r="C15" s="15">
        <v>26</v>
      </c>
      <c r="D15" s="15">
        <v>45</v>
      </c>
      <c r="E15" s="15">
        <v>77</v>
      </c>
    </row>
    <row r="16" spans="1:5" x14ac:dyDescent="0.25">
      <c r="A16" s="8" t="s">
        <v>2083</v>
      </c>
      <c r="B16" s="15">
        <v>3</v>
      </c>
      <c r="C16" s="15">
        <v>27</v>
      </c>
      <c r="D16" s="15">
        <v>45</v>
      </c>
      <c r="E16" s="15">
        <v>75</v>
      </c>
    </row>
    <row r="17" spans="1:5" x14ac:dyDescent="0.25">
      <c r="A17" s="8" t="s">
        <v>2084</v>
      </c>
      <c r="B17" s="15">
        <v>7</v>
      </c>
      <c r="C17" s="15">
        <v>32</v>
      </c>
      <c r="D17" s="15">
        <v>42</v>
      </c>
      <c r="E17" s="15">
        <v>81</v>
      </c>
    </row>
    <row r="18" spans="1:5" x14ac:dyDescent="0.25">
      <c r="A18" s="8" t="s">
        <v>2034</v>
      </c>
      <c r="B18" s="15">
        <v>57</v>
      </c>
      <c r="C18" s="15">
        <v>364</v>
      </c>
      <c r="D18" s="15">
        <v>565</v>
      </c>
      <c r="E18" s="15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7B26-6418-4B3B-9BD4-481F9796CEF3}">
  <sheetPr codeName="Sheet4"/>
  <dimension ref="A1:Z110"/>
  <sheetViews>
    <sheetView zoomScaleNormal="100" workbookViewId="0">
      <pivotSelection pane="bottomRight" click="1" r:id="rId1">
        <pivotArea field="9" type="button" dataOnly="0" labelOnly="1" outline="0" axis="axisPage" fieldPosition="0"/>
      </pivotSelection>
    </sheetView>
  </sheetViews>
  <sheetFormatPr defaultRowHeight="15.75" x14ac:dyDescent="0.25"/>
  <cols>
    <col min="1" max="1" width="17.625" bestFit="1" customWidth="1"/>
    <col min="2" max="2" width="15.625" bestFit="1" customWidth="1"/>
    <col min="3" max="3" width="5.875" bestFit="1" customWidth="1"/>
    <col min="4" max="4" width="4.125" bestFit="1" customWidth="1"/>
    <col min="5" max="5" width="9.625" bestFit="1" customWidth="1"/>
    <col min="6" max="7" width="11" bestFit="1" customWidth="1"/>
  </cols>
  <sheetData>
    <row r="1" spans="1:6" x14ac:dyDescent="0.25">
      <c r="A1" s="7" t="s">
        <v>6</v>
      </c>
      <c r="B1" t="s">
        <v>2035</v>
      </c>
    </row>
    <row r="2" spans="1:6" x14ac:dyDescent="0.25">
      <c r="A2" s="7" t="s">
        <v>2031</v>
      </c>
      <c r="B2" t="s">
        <v>2035</v>
      </c>
    </row>
    <row r="4" spans="1:6" x14ac:dyDescent="0.25">
      <c r="A4" s="7" t="s">
        <v>2046</v>
      </c>
      <c r="B4" s="7" t="s">
        <v>2045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2047</v>
      </c>
      <c r="B6" s="15">
        <v>1</v>
      </c>
      <c r="C6" s="15">
        <v>10</v>
      </c>
      <c r="D6" s="15">
        <v>2</v>
      </c>
      <c r="E6" s="15">
        <v>21</v>
      </c>
      <c r="F6" s="15">
        <v>34</v>
      </c>
    </row>
    <row r="7" spans="1:6" x14ac:dyDescent="0.25">
      <c r="A7" s="8" t="s">
        <v>2048</v>
      </c>
      <c r="B7" s="15"/>
      <c r="C7" s="15"/>
      <c r="D7" s="15"/>
      <c r="E7" s="15">
        <v>4</v>
      </c>
      <c r="F7" s="15">
        <v>4</v>
      </c>
    </row>
    <row r="8" spans="1:6" x14ac:dyDescent="0.25">
      <c r="A8" s="8" t="s">
        <v>2049</v>
      </c>
      <c r="B8" s="15">
        <v>4</v>
      </c>
      <c r="C8" s="15">
        <v>21</v>
      </c>
      <c r="D8" s="15">
        <v>1</v>
      </c>
      <c r="E8" s="15">
        <v>34</v>
      </c>
      <c r="F8" s="15">
        <v>60</v>
      </c>
    </row>
    <row r="9" spans="1:6" x14ac:dyDescent="0.25">
      <c r="A9" s="8" t="s">
        <v>2050</v>
      </c>
      <c r="B9" s="15">
        <v>2</v>
      </c>
      <c r="C9" s="15">
        <v>12</v>
      </c>
      <c r="D9" s="15">
        <v>1</v>
      </c>
      <c r="E9" s="15">
        <v>22</v>
      </c>
      <c r="F9" s="15">
        <v>37</v>
      </c>
    </row>
    <row r="10" spans="1:6" x14ac:dyDescent="0.25">
      <c r="A10" s="8" t="s">
        <v>2051</v>
      </c>
      <c r="B10" s="15"/>
      <c r="C10" s="15">
        <v>8</v>
      </c>
      <c r="D10" s="15"/>
      <c r="E10" s="15">
        <v>10</v>
      </c>
      <c r="F10" s="15">
        <v>18</v>
      </c>
    </row>
    <row r="11" spans="1:6" x14ac:dyDescent="0.25">
      <c r="A11" s="8" t="s">
        <v>2052</v>
      </c>
      <c r="B11" s="15">
        <v>1</v>
      </c>
      <c r="C11" s="15">
        <v>7</v>
      </c>
      <c r="D11" s="15"/>
      <c r="E11" s="15">
        <v>9</v>
      </c>
      <c r="F11" s="15">
        <v>17</v>
      </c>
    </row>
    <row r="12" spans="1:6" x14ac:dyDescent="0.25">
      <c r="A12" s="8" t="s">
        <v>2053</v>
      </c>
      <c r="B12" s="15">
        <v>4</v>
      </c>
      <c r="C12" s="15">
        <v>20</v>
      </c>
      <c r="D12" s="15"/>
      <c r="E12" s="15">
        <v>22</v>
      </c>
      <c r="F12" s="15">
        <v>46</v>
      </c>
    </row>
    <row r="13" spans="1:6" x14ac:dyDescent="0.25">
      <c r="A13" s="8" t="s">
        <v>2054</v>
      </c>
      <c r="B13" s="15">
        <v>3</v>
      </c>
      <c r="C13" s="15">
        <v>19</v>
      </c>
      <c r="D13" s="15"/>
      <c r="E13" s="15">
        <v>23</v>
      </c>
      <c r="F13" s="15">
        <v>45</v>
      </c>
    </row>
    <row r="14" spans="1:6" x14ac:dyDescent="0.25">
      <c r="A14" s="8" t="s">
        <v>2055</v>
      </c>
      <c r="B14" s="15">
        <v>1</v>
      </c>
      <c r="C14" s="15">
        <v>6</v>
      </c>
      <c r="D14" s="15"/>
      <c r="E14" s="15">
        <v>10</v>
      </c>
      <c r="F14" s="15">
        <v>17</v>
      </c>
    </row>
    <row r="15" spans="1:6" x14ac:dyDescent="0.25">
      <c r="A15" s="8" t="s">
        <v>2056</v>
      </c>
      <c r="B15" s="15"/>
      <c r="C15" s="15">
        <v>3</v>
      </c>
      <c r="D15" s="15"/>
      <c r="E15" s="15">
        <v>4</v>
      </c>
      <c r="F15" s="15">
        <v>7</v>
      </c>
    </row>
    <row r="16" spans="1:6" x14ac:dyDescent="0.25">
      <c r="A16" s="8" t="s">
        <v>2057</v>
      </c>
      <c r="B16" s="15"/>
      <c r="C16" s="15">
        <v>8</v>
      </c>
      <c r="D16" s="15">
        <v>1</v>
      </c>
      <c r="E16" s="15">
        <v>4</v>
      </c>
      <c r="F16" s="15">
        <v>13</v>
      </c>
    </row>
    <row r="17" spans="1:6" x14ac:dyDescent="0.25">
      <c r="A17" s="8" t="s">
        <v>2058</v>
      </c>
      <c r="B17" s="15">
        <v>1</v>
      </c>
      <c r="C17" s="15">
        <v>6</v>
      </c>
      <c r="D17" s="15">
        <v>1</v>
      </c>
      <c r="E17" s="15">
        <v>13</v>
      </c>
      <c r="F17" s="15">
        <v>21</v>
      </c>
    </row>
    <row r="18" spans="1:6" x14ac:dyDescent="0.25">
      <c r="A18" s="8" t="s">
        <v>2059</v>
      </c>
      <c r="B18" s="15">
        <v>4</v>
      </c>
      <c r="C18" s="15">
        <v>11</v>
      </c>
      <c r="D18" s="15">
        <v>1</v>
      </c>
      <c r="E18" s="15">
        <v>26</v>
      </c>
      <c r="F18" s="15">
        <v>42</v>
      </c>
    </row>
    <row r="19" spans="1:6" x14ac:dyDescent="0.25">
      <c r="A19" s="8" t="s">
        <v>2060</v>
      </c>
      <c r="B19" s="15">
        <v>23</v>
      </c>
      <c r="C19" s="15">
        <v>132</v>
      </c>
      <c r="D19" s="15">
        <v>2</v>
      </c>
      <c r="E19" s="15">
        <v>187</v>
      </c>
      <c r="F19" s="15">
        <v>344</v>
      </c>
    </row>
    <row r="20" spans="1:6" x14ac:dyDescent="0.25">
      <c r="A20" s="8" t="s">
        <v>2061</v>
      </c>
      <c r="B20" s="15"/>
      <c r="C20" s="15">
        <v>4</v>
      </c>
      <c r="D20" s="15"/>
      <c r="E20" s="15">
        <v>4</v>
      </c>
      <c r="F20" s="15">
        <v>8</v>
      </c>
    </row>
    <row r="21" spans="1:6" x14ac:dyDescent="0.25">
      <c r="A21" s="8" t="s">
        <v>2062</v>
      </c>
      <c r="B21" s="15">
        <v>6</v>
      </c>
      <c r="C21" s="15">
        <v>30</v>
      </c>
      <c r="D21" s="15"/>
      <c r="E21" s="15">
        <v>49</v>
      </c>
      <c r="F21" s="15">
        <v>85</v>
      </c>
    </row>
    <row r="22" spans="1:6" x14ac:dyDescent="0.25">
      <c r="A22" s="8" t="s">
        <v>2063</v>
      </c>
      <c r="B22" s="15"/>
      <c r="C22" s="15">
        <v>9</v>
      </c>
      <c r="D22" s="15"/>
      <c r="E22" s="15">
        <v>5</v>
      </c>
      <c r="F22" s="15">
        <v>14</v>
      </c>
    </row>
    <row r="23" spans="1:6" x14ac:dyDescent="0.25">
      <c r="A23" s="8" t="s">
        <v>2064</v>
      </c>
      <c r="B23" s="15">
        <v>1</v>
      </c>
      <c r="C23" s="15">
        <v>5</v>
      </c>
      <c r="D23" s="15">
        <v>1</v>
      </c>
      <c r="E23" s="15">
        <v>9</v>
      </c>
      <c r="F23" s="15">
        <v>16</v>
      </c>
    </row>
    <row r="24" spans="1:6" x14ac:dyDescent="0.25">
      <c r="A24" s="8" t="s">
        <v>2065</v>
      </c>
      <c r="B24" s="15">
        <v>3</v>
      </c>
      <c r="C24" s="15">
        <v>3</v>
      </c>
      <c r="D24" s="15"/>
      <c r="E24" s="15">
        <v>11</v>
      </c>
      <c r="F24" s="15">
        <v>17</v>
      </c>
    </row>
    <row r="25" spans="1:6" x14ac:dyDescent="0.25">
      <c r="A25" s="8" t="s">
        <v>2066</v>
      </c>
      <c r="B25" s="15"/>
      <c r="C25" s="15">
        <v>7</v>
      </c>
      <c r="D25" s="15"/>
      <c r="E25" s="15">
        <v>14</v>
      </c>
      <c r="F25" s="15">
        <v>21</v>
      </c>
    </row>
    <row r="26" spans="1:6" x14ac:dyDescent="0.25">
      <c r="A26" s="8" t="s">
        <v>2067</v>
      </c>
      <c r="B26" s="15">
        <v>1</v>
      </c>
      <c r="C26" s="15">
        <v>15</v>
      </c>
      <c r="D26" s="15">
        <v>2</v>
      </c>
      <c r="E26" s="15">
        <v>17</v>
      </c>
      <c r="F26" s="15">
        <v>35</v>
      </c>
    </row>
    <row r="27" spans="1:6" x14ac:dyDescent="0.25">
      <c r="A27" s="8" t="s">
        <v>2068</v>
      </c>
      <c r="B27" s="15"/>
      <c r="C27" s="15">
        <v>16</v>
      </c>
      <c r="D27" s="15">
        <v>1</v>
      </c>
      <c r="E27" s="15">
        <v>28</v>
      </c>
      <c r="F27" s="15">
        <v>45</v>
      </c>
    </row>
    <row r="28" spans="1:6" x14ac:dyDescent="0.25">
      <c r="A28" s="8" t="s">
        <v>2069</v>
      </c>
      <c r="B28" s="15">
        <v>2</v>
      </c>
      <c r="C28" s="15">
        <v>12</v>
      </c>
      <c r="D28" s="15">
        <v>1</v>
      </c>
      <c r="E28" s="15">
        <v>36</v>
      </c>
      <c r="F28" s="15">
        <v>51</v>
      </c>
    </row>
    <row r="29" spans="1:6" x14ac:dyDescent="0.25">
      <c r="A29" s="8" t="s">
        <v>2070</v>
      </c>
      <c r="B29" s="15"/>
      <c r="C29" s="15"/>
      <c r="D29" s="15"/>
      <c r="E29" s="15">
        <v>3</v>
      </c>
      <c r="F29" s="15">
        <v>3</v>
      </c>
    </row>
    <row r="30" spans="1:6" x14ac:dyDescent="0.25">
      <c r="A30" s="8" t="s">
        <v>2034</v>
      </c>
      <c r="B30" s="15">
        <v>57</v>
      </c>
      <c r="C30" s="15">
        <v>364</v>
      </c>
      <c r="D30" s="15">
        <v>14</v>
      </c>
      <c r="E30" s="15">
        <v>565</v>
      </c>
      <c r="F30" s="15">
        <v>1000</v>
      </c>
    </row>
    <row r="55" spans="1:26" x14ac:dyDescent="0.25">
      <c r="A55" t="s">
        <v>26</v>
      </c>
      <c r="B55" t="s">
        <v>2113</v>
      </c>
      <c r="I55" s="16" t="s">
        <v>36</v>
      </c>
      <c r="J55" s="16" t="s">
        <v>2116</v>
      </c>
      <c r="K55" s="16"/>
      <c r="L55" s="16"/>
      <c r="M55" s="16"/>
      <c r="N55" s="16"/>
      <c r="O55" s="16"/>
      <c r="P55" s="16"/>
      <c r="Q55" s="16"/>
      <c r="R55" s="16" t="s">
        <v>98</v>
      </c>
      <c r="S55" s="16" t="s">
        <v>2115</v>
      </c>
      <c r="T55" s="16"/>
      <c r="U55" s="16"/>
      <c r="V55" s="16"/>
      <c r="W55" s="16"/>
      <c r="X55" s="16"/>
      <c r="Y55" s="16"/>
      <c r="Z55" s="16"/>
    </row>
    <row r="56" spans="1:26" x14ac:dyDescent="0.25"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9:26" x14ac:dyDescent="0.25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9:26" x14ac:dyDescent="0.25"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9:26" x14ac:dyDescent="0.25"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9:26" x14ac:dyDescent="0.25"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9:26" x14ac:dyDescent="0.25"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9:26" x14ac:dyDescent="0.25"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9:26" x14ac:dyDescent="0.25"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9:26" x14ac:dyDescent="0.25"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9:26" x14ac:dyDescent="0.25"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9:26" x14ac:dyDescent="0.25">
      <c r="I74" s="16" t="s">
        <v>40</v>
      </c>
      <c r="J74" s="16" t="s">
        <v>2117</v>
      </c>
      <c r="K74" s="16"/>
      <c r="L74" s="16"/>
      <c r="M74" s="16"/>
      <c r="N74" s="16"/>
      <c r="O74" s="16"/>
      <c r="P74" s="16"/>
      <c r="Q74" s="16"/>
      <c r="R74" s="16" t="s">
        <v>107</v>
      </c>
      <c r="S74" s="16" t="s">
        <v>2118</v>
      </c>
      <c r="T74" s="16"/>
      <c r="U74" s="16"/>
      <c r="V74" s="16"/>
      <c r="W74" s="16"/>
      <c r="X74" s="16"/>
      <c r="Y74" s="16"/>
      <c r="Z74" s="16"/>
    </row>
    <row r="75" spans="9:26" x14ac:dyDescent="0.25"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9:26" x14ac:dyDescent="0.25"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9:26" x14ac:dyDescent="0.25"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9:26" x14ac:dyDescent="0.25"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9:26" x14ac:dyDescent="0.25"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9:26" x14ac:dyDescent="0.25"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7" t="s">
        <v>21</v>
      </c>
      <c r="B92" s="17" t="s">
        <v>2119</v>
      </c>
      <c r="C92" s="17"/>
      <c r="D92" s="17"/>
      <c r="E92" s="17"/>
      <c r="F92" s="17"/>
      <c r="G92" s="17"/>
      <c r="H92" s="17"/>
      <c r="I92" s="17" t="s">
        <v>15</v>
      </c>
      <c r="J92" s="17" t="s">
        <v>2114</v>
      </c>
      <c r="K92" s="17"/>
      <c r="L92" s="17"/>
      <c r="M92" s="17"/>
      <c r="N92" s="17"/>
      <c r="O92" s="17"/>
      <c r="P92" s="17"/>
      <c r="Q92" s="17"/>
      <c r="R92" t="s">
        <v>2112</v>
      </c>
    </row>
    <row r="93" spans="1:26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 spans="1:26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</row>
    <row r="95" spans="1:26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 spans="1:26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</row>
    <row r="97" spans="1:17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 spans="1:17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</row>
    <row r="99" spans="1:17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</row>
    <row r="101" spans="1:17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 spans="1:17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</row>
    <row r="103" spans="1:17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 spans="1:1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  <row r="105" spans="1:17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</row>
    <row r="106" spans="1:17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 spans="1:17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 spans="1:17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</row>
    <row r="110" spans="1:17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090C-AD2A-4471-83AE-F41D8153532E}">
  <sheetPr codeName="Sheet5"/>
  <dimension ref="A1:F14"/>
  <sheetViews>
    <sheetView zoomScaleNormal="100"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75" bestFit="1" customWidth="1"/>
    <col min="4" max="4" width="4" bestFit="1" customWidth="1"/>
    <col min="5" max="5" width="9.5" bestFit="1" customWidth="1"/>
    <col min="6" max="7" width="11" bestFit="1" customWidth="1"/>
  </cols>
  <sheetData>
    <row r="1" spans="1:6" x14ac:dyDescent="0.25">
      <c r="A1" s="7" t="s">
        <v>6</v>
      </c>
      <c r="B1" t="s">
        <v>2035</v>
      </c>
    </row>
    <row r="3" spans="1:6" x14ac:dyDescent="0.25">
      <c r="A3" s="7" t="s">
        <v>2046</v>
      </c>
      <c r="B3" s="7" t="s">
        <v>2045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8" t="s">
        <v>2036</v>
      </c>
      <c r="B5" s="15">
        <v>11</v>
      </c>
      <c r="C5" s="15">
        <v>60</v>
      </c>
      <c r="D5" s="15">
        <v>5</v>
      </c>
      <c r="E5" s="15">
        <v>102</v>
      </c>
      <c r="F5" s="15">
        <v>178</v>
      </c>
    </row>
    <row r="6" spans="1:6" x14ac:dyDescent="0.25">
      <c r="A6" s="8" t="s">
        <v>2037</v>
      </c>
      <c r="B6" s="15">
        <v>4</v>
      </c>
      <c r="C6" s="15">
        <v>20</v>
      </c>
      <c r="D6" s="15"/>
      <c r="E6" s="15">
        <v>22</v>
      </c>
      <c r="F6" s="15">
        <v>46</v>
      </c>
    </row>
    <row r="7" spans="1:6" x14ac:dyDescent="0.25">
      <c r="A7" s="8" t="s">
        <v>2038</v>
      </c>
      <c r="B7" s="15">
        <v>1</v>
      </c>
      <c r="C7" s="15">
        <v>23</v>
      </c>
      <c r="D7" s="15">
        <v>3</v>
      </c>
      <c r="E7" s="15">
        <v>21</v>
      </c>
      <c r="F7" s="15">
        <v>48</v>
      </c>
    </row>
    <row r="8" spans="1:6" x14ac:dyDescent="0.25">
      <c r="A8" s="8" t="s">
        <v>2039</v>
      </c>
      <c r="B8" s="15"/>
      <c r="C8" s="15"/>
      <c r="D8" s="15"/>
      <c r="E8" s="15">
        <v>4</v>
      </c>
      <c r="F8" s="15">
        <v>4</v>
      </c>
    </row>
    <row r="9" spans="1:6" x14ac:dyDescent="0.25">
      <c r="A9" s="8" t="s">
        <v>2040</v>
      </c>
      <c r="B9" s="15">
        <v>10</v>
      </c>
      <c r="C9" s="15">
        <v>66</v>
      </c>
      <c r="D9" s="15"/>
      <c r="E9" s="15">
        <v>99</v>
      </c>
      <c r="F9" s="15">
        <v>175</v>
      </c>
    </row>
    <row r="10" spans="1:6" x14ac:dyDescent="0.25">
      <c r="A10" s="8" t="s">
        <v>2041</v>
      </c>
      <c r="B10" s="15">
        <v>4</v>
      </c>
      <c r="C10" s="15">
        <v>11</v>
      </c>
      <c r="D10" s="15">
        <v>1</v>
      </c>
      <c r="E10" s="15">
        <v>26</v>
      </c>
      <c r="F10" s="15">
        <v>42</v>
      </c>
    </row>
    <row r="11" spans="1:6" x14ac:dyDescent="0.25">
      <c r="A11" s="8" t="s">
        <v>2042</v>
      </c>
      <c r="B11" s="15">
        <v>2</v>
      </c>
      <c r="C11" s="15">
        <v>24</v>
      </c>
      <c r="D11" s="15">
        <v>1</v>
      </c>
      <c r="E11" s="15">
        <v>40</v>
      </c>
      <c r="F11" s="15">
        <v>67</v>
      </c>
    </row>
    <row r="12" spans="1:6" x14ac:dyDescent="0.25">
      <c r="A12" s="8" t="s">
        <v>2043</v>
      </c>
      <c r="B12" s="15">
        <v>2</v>
      </c>
      <c r="C12" s="15">
        <v>28</v>
      </c>
      <c r="D12" s="15">
        <v>2</v>
      </c>
      <c r="E12" s="15">
        <v>64</v>
      </c>
      <c r="F12" s="15">
        <v>96</v>
      </c>
    </row>
    <row r="13" spans="1:6" x14ac:dyDescent="0.25">
      <c r="A13" s="8" t="s">
        <v>2044</v>
      </c>
      <c r="B13" s="15">
        <v>23</v>
      </c>
      <c r="C13" s="15">
        <v>132</v>
      </c>
      <c r="D13" s="15">
        <v>2</v>
      </c>
      <c r="E13" s="15">
        <v>187</v>
      </c>
      <c r="F13" s="15">
        <v>344</v>
      </c>
    </row>
    <row r="14" spans="1:6" x14ac:dyDescent="0.25">
      <c r="A14" s="8" t="s">
        <v>2034</v>
      </c>
      <c r="B14" s="15">
        <v>57</v>
      </c>
      <c r="C14" s="15">
        <v>364</v>
      </c>
      <c r="D14" s="15">
        <v>14</v>
      </c>
      <c r="E14" s="15">
        <v>565</v>
      </c>
      <c r="F14" s="15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tabSelected="1" workbookViewId="0">
      <pane ySplit="1" topLeftCell="A2" activePane="bottomLeft" state="frozen"/>
      <selection pane="bottomLeft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style="5" bestFit="1" customWidth="1"/>
    <col min="8" max="8" width="13" bestFit="1" customWidth="1"/>
    <col min="9" max="9" width="16.5" bestFit="1" customWidth="1"/>
    <col min="12" max="12" width="11.125" bestFit="1" customWidth="1"/>
    <col min="13" max="13" width="22.375" bestFit="1" customWidth="1"/>
    <col min="14" max="14" width="11.125" bestFit="1" customWidth="1"/>
    <col min="15" max="15" width="21" bestFit="1" customWidth="1"/>
    <col min="18" max="18" width="28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IFERROR(E2/D2,0)</f>
        <v>0</v>
      </c>
      <c r="G2" t="s">
        <v>14</v>
      </c>
      <c r="H2">
        <v>0</v>
      </c>
      <c r="I2" s="6">
        <f t="shared" ref="I2:I65" si="1">IFERROR(E2/H2,0)</f>
        <v>0</v>
      </c>
      <c r="J2" t="s">
        <v>15</v>
      </c>
      <c r="K2" t="s">
        <v>16</v>
      </c>
      <c r="L2">
        <v>1448690400</v>
      </c>
      <c r="M2" s="9">
        <f t="shared" ref="M2:M65" si="2">(((L2/60)/60)/24)+DATE(1970,1,1)</f>
        <v>42336.25</v>
      </c>
      <c r="N2">
        <v>1450159200</v>
      </c>
      <c r="O2" s="9">
        <f t="shared" ref="O2:O65" si="3">(((N2/60)/60)/24)+DATE(1970,1,1)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4">LEFT(R2,SEARCH("/",R2)-1)</f>
        <v>food</v>
      </c>
      <c r="T2" t="str">
        <f t="shared" ref="T2:T65" si="5"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6">
        <f t="shared" si="1"/>
        <v>92.151898734177209</v>
      </c>
      <c r="J3" t="s">
        <v>21</v>
      </c>
      <c r="K3" t="s">
        <v>22</v>
      </c>
      <c r="L3">
        <v>1408424400</v>
      </c>
      <c r="M3" s="9">
        <f t="shared" si="2"/>
        <v>41870.208333333336</v>
      </c>
      <c r="N3">
        <v>1408597200</v>
      </c>
      <c r="O3" s="9">
        <f t="shared" si="3"/>
        <v>41872.208333333336</v>
      </c>
      <c r="P3" t="b">
        <v>0</v>
      </c>
      <c r="Q3" t="b">
        <v>1</v>
      </c>
      <c r="R3" t="s">
        <v>23</v>
      </c>
      <c r="S3" t="str">
        <f t="shared" si="4"/>
        <v>music</v>
      </c>
      <c r="T3" t="str">
        <f t="shared" si="5"/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IFERROR(E66/D66,0)</f>
        <v>0.97642857142857142</v>
      </c>
      <c r="G66" t="s">
        <v>14</v>
      </c>
      <c r="H66">
        <v>38</v>
      </c>
      <c r="I66" s="6">
        <f t="shared" ref="I66:I129" si="7">IFERROR(E66/H66,0)</f>
        <v>71.94736842105263</v>
      </c>
      <c r="J66" t="s">
        <v>21</v>
      </c>
      <c r="K66" t="s">
        <v>22</v>
      </c>
      <c r="L66">
        <v>1530507600</v>
      </c>
      <c r="M66" s="9">
        <f t="shared" ref="M66:M129" si="8">(((L66/60)/60)/24)+DATE(1970,1,1)</f>
        <v>43283.208333333328</v>
      </c>
      <c r="N66">
        <v>1531803600</v>
      </c>
      <c r="O66" s="9">
        <f t="shared" ref="O66:O129" si="9">(((N66/60)/60)/24)+DATE(1970,1,1)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10">LEFT(R66,SEARCH("/",R66)-1)</f>
        <v>technology</v>
      </c>
      <c r="T66" t="str">
        <f t="shared" ref="T66:T129" si="11">RIGHT(R66,LEN(R66)-SEARCH("/",R66))</f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2.3614754098360655</v>
      </c>
      <c r="G67" t="s">
        <v>20</v>
      </c>
      <c r="H67">
        <v>236</v>
      </c>
      <c r="I67" s="6">
        <f t="shared" si="7"/>
        <v>61.038135593220339</v>
      </c>
      <c r="J67" t="s">
        <v>21</v>
      </c>
      <c r="K67" t="s">
        <v>22</v>
      </c>
      <c r="L67">
        <v>1296108000</v>
      </c>
      <c r="M67" s="9">
        <f t="shared" si="8"/>
        <v>40570.25</v>
      </c>
      <c r="N67">
        <v>1296712800</v>
      </c>
      <c r="O67" s="9">
        <f t="shared" si="9"/>
        <v>40577.25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 s="9">
        <f t="shared" si="8"/>
        <v>42102.208333333328</v>
      </c>
      <c r="N68">
        <v>1428901200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8"/>
        <v>40203.25</v>
      </c>
      <c r="N69">
        <v>1264831200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8"/>
        <v>42943.208333333328</v>
      </c>
      <c r="N70">
        <v>1505192400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8"/>
        <v>40531.25</v>
      </c>
      <c r="N71">
        <v>1295676000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8"/>
        <v>40484.208333333336</v>
      </c>
      <c r="N72">
        <v>1292911200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8"/>
        <v>43799.25</v>
      </c>
      <c r="N73">
        <v>1575439200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8"/>
        <v>42186.208333333328</v>
      </c>
      <c r="N74">
        <v>1438837200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8"/>
        <v>42701.25</v>
      </c>
      <c r="N75">
        <v>1480485600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8"/>
        <v>42456.208333333328</v>
      </c>
      <c r="N76">
        <v>1459141200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8"/>
        <v>43296.208333333328</v>
      </c>
      <c r="N77">
        <v>1532322000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 s="9">
        <f t="shared" si="8"/>
        <v>42027.25</v>
      </c>
      <c r="N78">
        <v>1426222800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 s="9">
        <f t="shared" si="8"/>
        <v>40448.208333333336</v>
      </c>
      <c r="N79">
        <v>1286773200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8"/>
        <v>43206.208333333328</v>
      </c>
      <c r="N80">
        <v>1523941200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 s="9">
        <f t="shared" si="8"/>
        <v>43267.208333333328</v>
      </c>
      <c r="N81">
        <v>1529557200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8"/>
        <v>42976.208333333328</v>
      </c>
      <c r="N82">
        <v>1506574800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8"/>
        <v>43062.25</v>
      </c>
      <c r="N83">
        <v>1513576800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8"/>
        <v>43482.25</v>
      </c>
      <c r="N84">
        <v>1548309600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 s="9">
        <f t="shared" si="8"/>
        <v>42579.208333333328</v>
      </c>
      <c r="N85">
        <v>1471582800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8"/>
        <v>41118.208333333336</v>
      </c>
      <c r="N86">
        <v>1344315600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8"/>
        <v>40797.208333333336</v>
      </c>
      <c r="N87">
        <v>1316408400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8"/>
        <v>42128.208333333328</v>
      </c>
      <c r="N88">
        <v>1431838800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 s="9">
        <f t="shared" si="8"/>
        <v>40610.25</v>
      </c>
      <c r="N89">
        <v>1300510800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8"/>
        <v>42110.208333333328</v>
      </c>
      <c r="N90">
        <v>1431061200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8"/>
        <v>40283.208333333336</v>
      </c>
      <c r="N91">
        <v>1271480400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 s="9">
        <f t="shared" si="8"/>
        <v>42425.25</v>
      </c>
      <c r="N92">
        <v>1456380000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 s="9">
        <f t="shared" si="8"/>
        <v>42588.208333333328</v>
      </c>
      <c r="N93">
        <v>1472878800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8"/>
        <v>40352.208333333336</v>
      </c>
      <c r="N94">
        <v>1277355600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8"/>
        <v>41202.208333333336</v>
      </c>
      <c r="N95">
        <v>1351054800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8"/>
        <v>43562.208333333328</v>
      </c>
      <c r="N96">
        <v>1555563600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8"/>
        <v>43752.208333333328</v>
      </c>
      <c r="N97">
        <v>1571634000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8"/>
        <v>40612.25</v>
      </c>
      <c r="N98">
        <v>1300856400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8"/>
        <v>42180.208333333328</v>
      </c>
      <c r="N99">
        <v>1439874000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 s="9">
        <f t="shared" si="8"/>
        <v>42212.208333333328</v>
      </c>
      <c r="N100">
        <v>1438318800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8"/>
        <v>41968.25</v>
      </c>
      <c r="N101">
        <v>1419400800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 s="9">
        <f t="shared" si="8"/>
        <v>40835.208333333336</v>
      </c>
      <c r="N102">
        <v>1320555600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8"/>
        <v>42056.25</v>
      </c>
      <c r="N103">
        <v>1425103200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8"/>
        <v>43234.208333333328</v>
      </c>
      <c r="N104">
        <v>1526878800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 s="9">
        <f t="shared" si="8"/>
        <v>40475.208333333336</v>
      </c>
      <c r="N105">
        <v>1288674000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8"/>
        <v>42878.208333333328</v>
      </c>
      <c r="N106">
        <v>1495602000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8"/>
        <v>41366.208333333336</v>
      </c>
      <c r="N107">
        <v>1366434000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8"/>
        <v>43716.208333333328</v>
      </c>
      <c r="N108">
        <v>1568350800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8"/>
        <v>43213.208333333328</v>
      </c>
      <c r="N109">
        <v>1525928400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8"/>
        <v>41005.208333333336</v>
      </c>
      <c r="N110">
        <v>1336885200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 s="9">
        <f t="shared" si="8"/>
        <v>41651.25</v>
      </c>
      <c r="N111">
        <v>1389679200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 s="9">
        <f t="shared" si="8"/>
        <v>43354.208333333328</v>
      </c>
      <c r="N112">
        <v>1538283600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8"/>
        <v>41174.208333333336</v>
      </c>
      <c r="N113">
        <v>1348808400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 s="9">
        <f t="shared" si="8"/>
        <v>41875.208333333336</v>
      </c>
      <c r="N114">
        <v>1410152400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8"/>
        <v>42990.208333333328</v>
      </c>
      <c r="N115">
        <v>1505797200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8"/>
        <v>43564.208333333328</v>
      </c>
      <c r="N116">
        <v>1554872400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 s="9">
        <f t="shared" si="8"/>
        <v>43056.25</v>
      </c>
      <c r="N117">
        <v>1513922400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 s="9">
        <f t="shared" si="8"/>
        <v>42265.208333333328</v>
      </c>
      <c r="N118">
        <v>1442638800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8"/>
        <v>40808.208333333336</v>
      </c>
      <c r="N119">
        <v>1317186000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8"/>
        <v>41665.25</v>
      </c>
      <c r="N120">
        <v>1391234400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8"/>
        <v>41806.208333333336</v>
      </c>
      <c r="N121">
        <v>1404363600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8"/>
        <v>42111.208333333328</v>
      </c>
      <c r="N122">
        <v>1429592400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8"/>
        <v>41917.208333333336</v>
      </c>
      <c r="N123">
        <v>1413608400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 s="9">
        <f t="shared" si="8"/>
        <v>41970.25</v>
      </c>
      <c r="N124">
        <v>1419400800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8"/>
        <v>42332.25</v>
      </c>
      <c r="N125">
        <v>1448604000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8"/>
        <v>43598.208333333328</v>
      </c>
      <c r="N126">
        <v>1562302800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8"/>
        <v>43362.208333333328</v>
      </c>
      <c r="N127">
        <v>1537678800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 s="9">
        <f t="shared" si="8"/>
        <v>42596.208333333328</v>
      </c>
      <c r="N128">
        <v>1473570000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8"/>
        <v>40310.208333333336</v>
      </c>
      <c r="N129">
        <v>1273899600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IFERROR(E130/D130,0)</f>
        <v>0.60334277620396604</v>
      </c>
      <c r="G130" t="s">
        <v>74</v>
      </c>
      <c r="H130">
        <v>532</v>
      </c>
      <c r="I130" s="6">
        <f t="shared" ref="I130:I193" si="13">IFERROR(E130/H130,0)</f>
        <v>80.067669172932327</v>
      </c>
      <c r="J130" t="s">
        <v>21</v>
      </c>
      <c r="K130" t="s">
        <v>22</v>
      </c>
      <c r="L130">
        <v>1282885200</v>
      </c>
      <c r="M130" s="9">
        <f t="shared" ref="M130:M193" si="14">(((L130/60)/60)/24)+DATE(1970,1,1)</f>
        <v>40417.208333333336</v>
      </c>
      <c r="N130">
        <v>1284008400</v>
      </c>
      <c r="O130" s="9">
        <f t="shared" ref="O130:O193" si="15">(((N130/60)/60)/24)+DATE(1970,1,1)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6">LEFT(R130,SEARCH("/",R130)-1)</f>
        <v>music</v>
      </c>
      <c r="T130" t="str">
        <f t="shared" ref="T130:T193" si="17">RIGHT(R130,LEN(R130)-SEARCH("/",R130))</f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3.2026936026936029E-2</v>
      </c>
      <c r="G131" t="s">
        <v>74</v>
      </c>
      <c r="H131">
        <v>55</v>
      </c>
      <c r="I131" s="6">
        <f t="shared" si="13"/>
        <v>86.472727272727269</v>
      </c>
      <c r="J131" t="s">
        <v>26</v>
      </c>
      <c r="K131" t="s">
        <v>27</v>
      </c>
      <c r="L131">
        <v>1422943200</v>
      </c>
      <c r="M131" s="9">
        <f t="shared" si="14"/>
        <v>42038.25</v>
      </c>
      <c r="N131">
        <v>1425103200</v>
      </c>
      <c r="O131" s="9">
        <f t="shared" si="15"/>
        <v>42063.25</v>
      </c>
      <c r="P131" t="b">
        <v>0</v>
      </c>
      <c r="Q131" t="b">
        <v>0</v>
      </c>
      <c r="R131" t="s">
        <v>17</v>
      </c>
      <c r="S131" t="str">
        <f t="shared" si="16"/>
        <v>food</v>
      </c>
      <c r="T131" t="str">
        <f t="shared" si="17"/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 s="9">
        <f t="shared" si="14"/>
        <v>40842.208333333336</v>
      </c>
      <c r="N132">
        <v>1320991200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 s="9">
        <f t="shared" si="14"/>
        <v>41607.25</v>
      </c>
      <c r="N133">
        <v>1386828000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 s="9">
        <f t="shared" si="14"/>
        <v>43112.25</v>
      </c>
      <c r="N134">
        <v>1517119200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 s="9">
        <f t="shared" si="14"/>
        <v>40767.208333333336</v>
      </c>
      <c r="N135">
        <v>1315026000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 s="9">
        <f t="shared" si="14"/>
        <v>40713.208333333336</v>
      </c>
      <c r="N136">
        <v>1312693200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 s="9">
        <f t="shared" si="14"/>
        <v>41340.25</v>
      </c>
      <c r="N137">
        <v>1363064400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 s="9">
        <f t="shared" si="14"/>
        <v>41797.208333333336</v>
      </c>
      <c r="N138">
        <v>1403154000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 s="9">
        <f t="shared" si="14"/>
        <v>40457.208333333336</v>
      </c>
      <c r="N139">
        <v>1286859600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 s="9">
        <f t="shared" si="14"/>
        <v>41180.208333333336</v>
      </c>
      <c r="N140">
        <v>1349326800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 s="9">
        <f t="shared" si="14"/>
        <v>42115.208333333328</v>
      </c>
      <c r="N141">
        <v>1430974800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 s="9">
        <f t="shared" si="14"/>
        <v>43156.25</v>
      </c>
      <c r="N142">
        <v>1519970400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 s="9">
        <f t="shared" si="14"/>
        <v>42167.208333333328</v>
      </c>
      <c r="N143">
        <v>1434603600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 s="9">
        <f t="shared" si="14"/>
        <v>41005.208333333336</v>
      </c>
      <c r="N144">
        <v>1337230800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 s="9">
        <f t="shared" si="14"/>
        <v>40357.208333333336</v>
      </c>
      <c r="N145">
        <v>1279429200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 s="9">
        <f t="shared" si="14"/>
        <v>43633.208333333328</v>
      </c>
      <c r="N146">
        <v>1561438800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 s="9">
        <f t="shared" si="14"/>
        <v>41889.208333333336</v>
      </c>
      <c r="N147">
        <v>1410498000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 s="9">
        <f t="shared" si="14"/>
        <v>40855.25</v>
      </c>
      <c r="N148">
        <v>1322460000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 s="9">
        <f t="shared" si="14"/>
        <v>42534.208333333328</v>
      </c>
      <c r="N149">
        <v>1466312400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 s="9">
        <f t="shared" si="14"/>
        <v>42941.208333333328</v>
      </c>
      <c r="N150">
        <v>1501736400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 s="9">
        <f t="shared" si="14"/>
        <v>41275.25</v>
      </c>
      <c r="N151">
        <v>1361512800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 s="9">
        <f t="shared" si="14"/>
        <v>43450.25</v>
      </c>
      <c r="N152">
        <v>1545026400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 s="9">
        <f t="shared" si="14"/>
        <v>41799.208333333336</v>
      </c>
      <c r="N153">
        <v>1406696400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 s="9">
        <f t="shared" si="14"/>
        <v>42783.25</v>
      </c>
      <c r="N154">
        <v>1487916000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 s="9">
        <f t="shared" si="14"/>
        <v>41201.208333333336</v>
      </c>
      <c r="N155">
        <v>1351141200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 s="9">
        <f t="shared" si="14"/>
        <v>42502.208333333328</v>
      </c>
      <c r="N156">
        <v>1465016400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 s="9">
        <f t="shared" si="14"/>
        <v>40262.208333333336</v>
      </c>
      <c r="N157">
        <v>1270789200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 s="9">
        <f t="shared" si="14"/>
        <v>43743.208333333328</v>
      </c>
      <c r="N158">
        <v>1572325200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 s="9">
        <f t="shared" si="14"/>
        <v>41638.25</v>
      </c>
      <c r="N159">
        <v>1389420000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 s="9">
        <f t="shared" si="14"/>
        <v>42346.25</v>
      </c>
      <c r="N160">
        <v>1449640800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 s="9">
        <f t="shared" si="14"/>
        <v>43551.208333333328</v>
      </c>
      <c r="N161">
        <v>1555218000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 s="9">
        <f t="shared" si="14"/>
        <v>43582.208333333328</v>
      </c>
      <c r="N162">
        <v>1557723600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 s="9">
        <f t="shared" si="14"/>
        <v>42270.208333333328</v>
      </c>
      <c r="N163">
        <v>1443502800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 s="9">
        <f t="shared" si="14"/>
        <v>43442.25</v>
      </c>
      <c r="N164">
        <v>1546840800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 s="9">
        <f t="shared" si="14"/>
        <v>43028.208333333328</v>
      </c>
      <c r="N165">
        <v>1512712800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 s="9">
        <f t="shared" si="14"/>
        <v>43016.208333333328</v>
      </c>
      <c r="N166">
        <v>1507525200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 s="9">
        <f t="shared" si="14"/>
        <v>42948.208333333328</v>
      </c>
      <c r="N167">
        <v>1504328400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 s="9">
        <f t="shared" si="14"/>
        <v>40534.25</v>
      </c>
      <c r="N168">
        <v>1293343200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 s="9">
        <f t="shared" si="14"/>
        <v>41435.208333333336</v>
      </c>
      <c r="N169">
        <v>1371704400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 s="9">
        <f t="shared" si="14"/>
        <v>43518.25</v>
      </c>
      <c r="N170">
        <v>1552798800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 s="9">
        <f t="shared" si="14"/>
        <v>41077.208333333336</v>
      </c>
      <c r="N171">
        <v>1342328400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 s="9">
        <f t="shared" si="14"/>
        <v>42950.208333333328</v>
      </c>
      <c r="N172">
        <v>1502341200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 s="9">
        <f t="shared" si="14"/>
        <v>41718.208333333336</v>
      </c>
      <c r="N173">
        <v>1397192400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 s="9">
        <f t="shared" si="14"/>
        <v>41839.208333333336</v>
      </c>
      <c r="N174">
        <v>1407042000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 s="9">
        <f t="shared" si="14"/>
        <v>41412.208333333336</v>
      </c>
      <c r="N175">
        <v>1369371600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 s="9">
        <f t="shared" si="14"/>
        <v>42282.208333333328</v>
      </c>
      <c r="N176">
        <v>1444107600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 s="9">
        <f t="shared" si="14"/>
        <v>42613.208333333328</v>
      </c>
      <c r="N177">
        <v>1474261200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 s="9">
        <f t="shared" si="14"/>
        <v>42616.208333333328</v>
      </c>
      <c r="N178">
        <v>1473656400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 s="9">
        <f t="shared" si="14"/>
        <v>40497.25</v>
      </c>
      <c r="N179">
        <v>1291960800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 s="9">
        <f t="shared" si="14"/>
        <v>42999.208333333328</v>
      </c>
      <c r="N180">
        <v>1506747600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 s="9">
        <f t="shared" si="14"/>
        <v>41350.208333333336</v>
      </c>
      <c r="N181">
        <v>1363582800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 s="9">
        <f t="shared" si="14"/>
        <v>40259.208333333336</v>
      </c>
      <c r="N182">
        <v>1269666000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 s="9">
        <f t="shared" si="14"/>
        <v>43012.208333333328</v>
      </c>
      <c r="N183">
        <v>1508648400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 s="9">
        <f t="shared" si="14"/>
        <v>43631.208333333328</v>
      </c>
      <c r="N184">
        <v>1561957200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 s="9">
        <f t="shared" si="14"/>
        <v>40430.208333333336</v>
      </c>
      <c r="N185">
        <v>1285131600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 s="9">
        <f t="shared" si="14"/>
        <v>43588.208333333328</v>
      </c>
      <c r="N186">
        <v>1556946000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 s="9">
        <f t="shared" si="14"/>
        <v>43233.208333333328</v>
      </c>
      <c r="N187">
        <v>1527138000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 s="9">
        <f t="shared" si="14"/>
        <v>41782.208333333336</v>
      </c>
      <c r="N188">
        <v>1402117200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 s="9">
        <f t="shared" si="14"/>
        <v>41328.25</v>
      </c>
      <c r="N189">
        <v>1364014800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 s="9">
        <f t="shared" si="14"/>
        <v>41975.25</v>
      </c>
      <c r="N190">
        <v>1417586400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 s="9">
        <f t="shared" si="14"/>
        <v>42433.25</v>
      </c>
      <c r="N191">
        <v>1457071200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 s="9">
        <f t="shared" si="14"/>
        <v>41429.208333333336</v>
      </c>
      <c r="N192">
        <v>1370408400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 s="9">
        <f t="shared" si="14"/>
        <v>43536.208333333328</v>
      </c>
      <c r="N193">
        <v>1552626000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IFERROR(E194/D194,0)</f>
        <v>0.19992957746478873</v>
      </c>
      <c r="G194" t="s">
        <v>14</v>
      </c>
      <c r="H194">
        <v>243</v>
      </c>
      <c r="I194" s="6">
        <f t="shared" ref="I194:I257" si="19">IFERROR(E194/H194,0)</f>
        <v>35.049382716049379</v>
      </c>
      <c r="J194" t="s">
        <v>21</v>
      </c>
      <c r="K194" t="s">
        <v>22</v>
      </c>
      <c r="L194">
        <v>1403845200</v>
      </c>
      <c r="M194" s="9">
        <f t="shared" ref="M194:M257" si="20">(((L194/60)/60)/24)+DATE(1970,1,1)</f>
        <v>41817.208333333336</v>
      </c>
      <c r="N194">
        <v>1404190800</v>
      </c>
      <c r="O194" s="9">
        <f t="shared" ref="O194:O257" si="21">(((N194/60)/60)/24)+DATE(1970,1,1)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2">LEFT(R194,SEARCH("/",R194)-1)</f>
        <v>music</v>
      </c>
      <c r="T194" t="str">
        <f t="shared" ref="T194:T257" si="23">RIGHT(R194,LEN(R194)-SEARCH("/",R194))</f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0.45636363636363636</v>
      </c>
      <c r="G195" t="s">
        <v>14</v>
      </c>
      <c r="H195">
        <v>65</v>
      </c>
      <c r="I195" s="6">
        <f t="shared" si="19"/>
        <v>46.338461538461537</v>
      </c>
      <c r="J195" t="s">
        <v>21</v>
      </c>
      <c r="K195" t="s">
        <v>22</v>
      </c>
      <c r="L195">
        <v>1523163600</v>
      </c>
      <c r="M195" s="9">
        <f t="shared" si="20"/>
        <v>43198.208333333328</v>
      </c>
      <c r="N195">
        <v>1523509200</v>
      </c>
      <c r="O195" s="9">
        <f t="shared" si="21"/>
        <v>43202.208333333328</v>
      </c>
      <c r="P195" t="b">
        <v>1</v>
      </c>
      <c r="Q195" t="b">
        <v>0</v>
      </c>
      <c r="R195" t="s">
        <v>60</v>
      </c>
      <c r="S195" t="str">
        <f t="shared" si="22"/>
        <v>music</v>
      </c>
      <c r="T195" t="str">
        <f t="shared" si="23"/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 s="9">
        <f t="shared" si="20"/>
        <v>42261.208333333328</v>
      </c>
      <c r="N196">
        <v>1443589200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 s="9">
        <f t="shared" si="20"/>
        <v>43310.208333333328</v>
      </c>
      <c r="N197">
        <v>1533445200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 s="9">
        <f t="shared" si="20"/>
        <v>42616.208333333328</v>
      </c>
      <c r="N198">
        <v>1474520400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 s="9">
        <f t="shared" si="20"/>
        <v>42909.208333333328</v>
      </c>
      <c r="N199">
        <v>1499403600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 s="9">
        <f t="shared" si="20"/>
        <v>40396.208333333336</v>
      </c>
      <c r="N200">
        <v>1283576400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 s="9">
        <f t="shared" si="20"/>
        <v>42192.208333333328</v>
      </c>
      <c r="N201">
        <v>1436590800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 s="9">
        <f t="shared" si="20"/>
        <v>40262.208333333336</v>
      </c>
      <c r="N202">
        <v>1270443600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 s="9">
        <f t="shared" si="20"/>
        <v>41845.208333333336</v>
      </c>
      <c r="N203">
        <v>1407819600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 s="9">
        <f t="shared" si="20"/>
        <v>40818.208333333336</v>
      </c>
      <c r="N204">
        <v>1317877200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 s="9">
        <f t="shared" si="20"/>
        <v>42752.25</v>
      </c>
      <c r="N205">
        <v>1484805600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 s="9">
        <f t="shared" si="20"/>
        <v>40636.208333333336</v>
      </c>
      <c r="N206">
        <v>1302670800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 s="9">
        <f t="shared" si="20"/>
        <v>43390.208333333328</v>
      </c>
      <c r="N207">
        <v>1540789200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 s="9">
        <f t="shared" si="20"/>
        <v>40236.25</v>
      </c>
      <c r="N208">
        <v>1268028000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 s="9">
        <f t="shared" si="20"/>
        <v>43340.208333333328</v>
      </c>
      <c r="N209">
        <v>1537160400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 s="9">
        <f t="shared" si="20"/>
        <v>43048.25</v>
      </c>
      <c r="N210">
        <v>1512280800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 s="9">
        <f t="shared" si="20"/>
        <v>42496.208333333328</v>
      </c>
      <c r="N211">
        <v>1463115600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 s="9">
        <f t="shared" si="20"/>
        <v>42797.25</v>
      </c>
      <c r="N212">
        <v>1490850000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 s="9">
        <f t="shared" si="20"/>
        <v>41513.208333333336</v>
      </c>
      <c r="N213">
        <v>1379653200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 s="9">
        <f t="shared" si="20"/>
        <v>43814.25</v>
      </c>
      <c r="N214">
        <v>1580364000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 s="9">
        <f t="shared" si="20"/>
        <v>40488.208333333336</v>
      </c>
      <c r="N215">
        <v>1289714400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 s="9">
        <f t="shared" si="20"/>
        <v>40409.208333333336</v>
      </c>
      <c r="N216">
        <v>1282712400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 s="9">
        <f t="shared" si="20"/>
        <v>43509.25</v>
      </c>
      <c r="N217">
        <v>1550210400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 s="9">
        <f t="shared" si="20"/>
        <v>40869.25</v>
      </c>
      <c r="N218">
        <v>1322114400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 s="9">
        <f t="shared" si="20"/>
        <v>43583.208333333328</v>
      </c>
      <c r="N219">
        <v>1557205200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 s="9">
        <f t="shared" si="20"/>
        <v>40858.25</v>
      </c>
      <c r="N220">
        <v>1323928800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 s="9">
        <f t="shared" si="20"/>
        <v>41137.208333333336</v>
      </c>
      <c r="N221">
        <v>1346130000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 s="9">
        <f t="shared" si="20"/>
        <v>40725.208333333336</v>
      </c>
      <c r="N222">
        <v>1311051600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 s="9">
        <f t="shared" si="20"/>
        <v>41081.208333333336</v>
      </c>
      <c r="N223">
        <v>1340427600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 s="9">
        <f t="shared" si="20"/>
        <v>41914.208333333336</v>
      </c>
      <c r="N224">
        <v>1412312400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 s="9">
        <f t="shared" si="20"/>
        <v>42445.208333333328</v>
      </c>
      <c r="N225">
        <v>1459314000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 s="9">
        <f t="shared" si="20"/>
        <v>41906.208333333336</v>
      </c>
      <c r="N226">
        <v>1415426400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 s="9">
        <f t="shared" si="20"/>
        <v>41762.208333333336</v>
      </c>
      <c r="N227">
        <v>1399093200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 s="9">
        <f t="shared" si="20"/>
        <v>40276.208333333336</v>
      </c>
      <c r="N228">
        <v>1273899600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 s="9">
        <f t="shared" si="20"/>
        <v>42139.208333333328</v>
      </c>
      <c r="N229">
        <v>1432184400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 s="9">
        <f t="shared" si="20"/>
        <v>42613.208333333328</v>
      </c>
      <c r="N230">
        <v>1474779600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 s="9">
        <f t="shared" si="20"/>
        <v>42887.208333333328</v>
      </c>
      <c r="N231">
        <v>1500440400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 s="9">
        <f t="shared" si="20"/>
        <v>43805.25</v>
      </c>
      <c r="N232">
        <v>1575612000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 s="9">
        <f t="shared" si="20"/>
        <v>41415.208333333336</v>
      </c>
      <c r="N233">
        <v>1374123600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 s="9">
        <f t="shared" si="20"/>
        <v>42576.208333333328</v>
      </c>
      <c r="N234">
        <v>1469509200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 s="9">
        <f t="shared" si="20"/>
        <v>40706.208333333336</v>
      </c>
      <c r="N235">
        <v>1309237200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 s="9">
        <f t="shared" si="20"/>
        <v>42969.208333333328</v>
      </c>
      <c r="N236">
        <v>1503982800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 s="9">
        <f t="shared" si="20"/>
        <v>42779.25</v>
      </c>
      <c r="N237">
        <v>1487397600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 s="9">
        <f t="shared" si="20"/>
        <v>43641.208333333328</v>
      </c>
      <c r="N238">
        <v>1562043600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 s="9">
        <f t="shared" si="20"/>
        <v>41754.208333333336</v>
      </c>
      <c r="N239">
        <v>1398574800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 s="9">
        <f t="shared" si="20"/>
        <v>43083.25</v>
      </c>
      <c r="N240">
        <v>1515391200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 s="9">
        <f t="shared" si="20"/>
        <v>42245.208333333328</v>
      </c>
      <c r="N241">
        <v>1441170000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 s="9">
        <f t="shared" si="20"/>
        <v>40396.208333333336</v>
      </c>
      <c r="N242">
        <v>1281157200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 s="9">
        <f t="shared" si="20"/>
        <v>41742.208333333336</v>
      </c>
      <c r="N243">
        <v>1398229200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 s="9">
        <f t="shared" si="20"/>
        <v>42865.208333333328</v>
      </c>
      <c r="N244">
        <v>1495256400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 s="9">
        <f t="shared" si="20"/>
        <v>43163.25</v>
      </c>
      <c r="N245">
        <v>1520402400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 s="9">
        <f t="shared" si="20"/>
        <v>41834.208333333336</v>
      </c>
      <c r="N246">
        <v>1409806800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 s="9">
        <f t="shared" si="20"/>
        <v>41736.208333333336</v>
      </c>
      <c r="N247">
        <v>1396933200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 s="9">
        <f t="shared" si="20"/>
        <v>41491.208333333336</v>
      </c>
      <c r="N248">
        <v>1376024400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 s="9">
        <f t="shared" si="20"/>
        <v>42726.25</v>
      </c>
      <c r="N249">
        <v>1483682400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 s="9">
        <f t="shared" si="20"/>
        <v>42004.25</v>
      </c>
      <c r="N250">
        <v>1420437600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 s="9">
        <f t="shared" si="20"/>
        <v>42006.25</v>
      </c>
      <c r="N251">
        <v>1420783200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 s="9">
        <f t="shared" si="20"/>
        <v>40203.25</v>
      </c>
      <c r="N252">
        <v>1267423200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 s="9">
        <f t="shared" si="20"/>
        <v>41252.25</v>
      </c>
      <c r="N253">
        <v>1355205600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 s="9">
        <f t="shared" si="20"/>
        <v>41572.208333333336</v>
      </c>
      <c r="N254">
        <v>1383109200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 s="9">
        <f t="shared" si="20"/>
        <v>40641.208333333336</v>
      </c>
      <c r="N255">
        <v>1303275600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 s="9">
        <f t="shared" si="20"/>
        <v>42787.25</v>
      </c>
      <c r="N256">
        <v>1487829600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 s="9">
        <f t="shared" si="20"/>
        <v>40590.25</v>
      </c>
      <c r="N257">
        <v>1298268000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IFERROR(E258/D258,0)</f>
        <v>0.23390243902439026</v>
      </c>
      <c r="G258" t="s">
        <v>14</v>
      </c>
      <c r="H258">
        <v>15</v>
      </c>
      <c r="I258" s="6">
        <f t="shared" ref="I258:I321" si="25">IFERROR(E258/H258,0)</f>
        <v>63.93333333333333</v>
      </c>
      <c r="J258" t="s">
        <v>40</v>
      </c>
      <c r="K258" t="s">
        <v>41</v>
      </c>
      <c r="L258">
        <v>1453615200</v>
      </c>
      <c r="M258" s="9">
        <f t="shared" ref="M258:M321" si="26">(((L258/60)/60)/24)+DATE(1970,1,1)</f>
        <v>42393.25</v>
      </c>
      <c r="N258">
        <v>1456812000</v>
      </c>
      <c r="O258" s="9">
        <f t="shared" ref="O258:O321" si="27">(((N258/60)/60)/24)+DATE(1970,1,1)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8">LEFT(R258,SEARCH("/",R258)-1)</f>
        <v>music</v>
      </c>
      <c r="T258" t="str">
        <f t="shared" ref="T258:T321" si="29">RIGHT(R258,LEN(R258)-SEARCH("/",R258))</f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1.46</v>
      </c>
      <c r="G259" t="s">
        <v>20</v>
      </c>
      <c r="H259">
        <v>92</v>
      </c>
      <c r="I259" s="6">
        <f t="shared" si="25"/>
        <v>90.456521739130437</v>
      </c>
      <c r="J259" t="s">
        <v>21</v>
      </c>
      <c r="K259" t="s">
        <v>22</v>
      </c>
      <c r="L259">
        <v>1362463200</v>
      </c>
      <c r="M259" s="9">
        <f t="shared" si="26"/>
        <v>41338.25</v>
      </c>
      <c r="N259">
        <v>1363669200</v>
      </c>
      <c r="O259" s="9">
        <f t="shared" si="27"/>
        <v>41352.208333333336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 s="9">
        <f t="shared" si="26"/>
        <v>42712.25</v>
      </c>
      <c r="N260">
        <v>1482904800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 s="9">
        <f t="shared" si="26"/>
        <v>41251.25</v>
      </c>
      <c r="N261">
        <v>1356588000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 s="9">
        <f t="shared" si="26"/>
        <v>41180.208333333336</v>
      </c>
      <c r="N262">
        <v>1349845200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 s="9">
        <f t="shared" si="26"/>
        <v>40415.208333333336</v>
      </c>
      <c r="N263">
        <v>1283058000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 s="9">
        <f t="shared" si="26"/>
        <v>40638.208333333336</v>
      </c>
      <c r="N264">
        <v>1304226000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 s="9">
        <f t="shared" si="26"/>
        <v>40187.25</v>
      </c>
      <c r="N265">
        <v>1263016800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 s="9">
        <f t="shared" si="26"/>
        <v>41317.25</v>
      </c>
      <c r="N266">
        <v>1362031200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 s="9">
        <f t="shared" si="26"/>
        <v>42372.25</v>
      </c>
      <c r="N267">
        <v>1455602400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 s="9">
        <f t="shared" si="26"/>
        <v>41950.25</v>
      </c>
      <c r="N268">
        <v>1418191200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 s="9">
        <f t="shared" si="26"/>
        <v>41206.208333333336</v>
      </c>
      <c r="N269">
        <v>1352440800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 s="9">
        <f t="shared" si="26"/>
        <v>41186.208333333336</v>
      </c>
      <c r="N270">
        <v>1353304800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 s="9">
        <f t="shared" si="26"/>
        <v>43496.25</v>
      </c>
      <c r="N271">
        <v>1550728800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 s="9">
        <f t="shared" si="26"/>
        <v>40514.25</v>
      </c>
      <c r="N272">
        <v>1291442400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 s="9">
        <f t="shared" si="26"/>
        <v>42345.25</v>
      </c>
      <c r="N273">
        <v>1452146400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 s="9">
        <f t="shared" si="26"/>
        <v>43656.208333333328</v>
      </c>
      <c r="N274">
        <v>1564894800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 s="9">
        <f t="shared" si="26"/>
        <v>42995.208333333328</v>
      </c>
      <c r="N275">
        <v>1505883600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 s="9">
        <f t="shared" si="26"/>
        <v>43045.25</v>
      </c>
      <c r="N276">
        <v>1510380000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 s="9">
        <f t="shared" si="26"/>
        <v>43561.208333333328</v>
      </c>
      <c r="N277">
        <v>1555218000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 s="9">
        <f t="shared" si="26"/>
        <v>41018.208333333336</v>
      </c>
      <c r="N278">
        <v>1335243600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 s="9">
        <f t="shared" si="26"/>
        <v>40378.208333333336</v>
      </c>
      <c r="N279">
        <v>1279688400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 s="9">
        <f t="shared" si="26"/>
        <v>41239.25</v>
      </c>
      <c r="N280">
        <v>1356069600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 s="9">
        <f t="shared" si="26"/>
        <v>43346.208333333328</v>
      </c>
      <c r="N281">
        <v>1536210000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 s="9">
        <f t="shared" si="26"/>
        <v>43060.25</v>
      </c>
      <c r="N282">
        <v>1511762400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 s="9">
        <f t="shared" si="26"/>
        <v>40979.25</v>
      </c>
      <c r="N283">
        <v>1333256400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 s="9">
        <f t="shared" si="26"/>
        <v>42701.25</v>
      </c>
      <c r="N284">
        <v>1480744800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 s="9">
        <f t="shared" si="26"/>
        <v>42520.208333333328</v>
      </c>
      <c r="N285">
        <v>1465016400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 s="9">
        <f t="shared" si="26"/>
        <v>41030.208333333336</v>
      </c>
      <c r="N286">
        <v>1336280400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 s="9">
        <f t="shared" si="26"/>
        <v>42623.208333333328</v>
      </c>
      <c r="N287">
        <v>1476766800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 s="9">
        <f t="shared" si="26"/>
        <v>42697.25</v>
      </c>
      <c r="N288">
        <v>1480485600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 s="9">
        <f t="shared" si="26"/>
        <v>42122.208333333328</v>
      </c>
      <c r="N289">
        <v>1430197200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 s="9">
        <f t="shared" si="26"/>
        <v>40982.208333333336</v>
      </c>
      <c r="N290">
        <v>1331787600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 s="9">
        <f t="shared" si="26"/>
        <v>42219.208333333328</v>
      </c>
      <c r="N291">
        <v>1438837200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 s="9">
        <f t="shared" si="26"/>
        <v>41404.208333333336</v>
      </c>
      <c r="N292">
        <v>1370926800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 s="9">
        <f t="shared" si="26"/>
        <v>40831.208333333336</v>
      </c>
      <c r="N293">
        <v>1319000400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 s="9">
        <f t="shared" si="26"/>
        <v>40984.208333333336</v>
      </c>
      <c r="N294">
        <v>1333429200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 s="9">
        <f t="shared" si="26"/>
        <v>40456.208333333336</v>
      </c>
      <c r="N295">
        <v>1287032400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 s="9">
        <f t="shared" si="26"/>
        <v>43399.208333333328</v>
      </c>
      <c r="N296">
        <v>1541570400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 s="9">
        <f t="shared" si="26"/>
        <v>41562.208333333336</v>
      </c>
      <c r="N297">
        <v>1383976800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 s="9">
        <f t="shared" si="26"/>
        <v>43493.25</v>
      </c>
      <c r="N298">
        <v>1550556000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 s="9">
        <f t="shared" si="26"/>
        <v>41653.25</v>
      </c>
      <c r="N299">
        <v>1390456800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 s="9">
        <f t="shared" si="26"/>
        <v>42426.25</v>
      </c>
      <c r="N300">
        <v>1458018000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 s="9">
        <f t="shared" si="26"/>
        <v>42432.25</v>
      </c>
      <c r="N301">
        <v>1461819600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 s="9">
        <f t="shared" si="26"/>
        <v>42977.208333333328</v>
      </c>
      <c r="N302">
        <v>1504155600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 s="9">
        <f t="shared" si="26"/>
        <v>42061.25</v>
      </c>
      <c r="N303">
        <v>1426395600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 s="9">
        <f t="shared" si="26"/>
        <v>43345.208333333328</v>
      </c>
      <c r="N304">
        <v>1537074000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 s="9">
        <f t="shared" si="26"/>
        <v>42376.25</v>
      </c>
      <c r="N305">
        <v>1452578400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 s="9">
        <f t="shared" si="26"/>
        <v>42589.208333333328</v>
      </c>
      <c r="N306">
        <v>1474088400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 s="9">
        <f t="shared" si="26"/>
        <v>42448.208333333328</v>
      </c>
      <c r="N307">
        <v>1461906000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 s="9">
        <f t="shared" si="26"/>
        <v>42930.208333333328</v>
      </c>
      <c r="N308">
        <v>1500267600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 s="9">
        <f t="shared" si="26"/>
        <v>41066.208333333336</v>
      </c>
      <c r="N309">
        <v>1340686800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 s="9">
        <f t="shared" si="26"/>
        <v>40651.208333333336</v>
      </c>
      <c r="N310">
        <v>1303189200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 s="9">
        <f t="shared" si="26"/>
        <v>40807.208333333336</v>
      </c>
      <c r="N311">
        <v>1318309200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 s="9">
        <f t="shared" si="26"/>
        <v>40277.208333333336</v>
      </c>
      <c r="N312">
        <v>1272171600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 s="9">
        <f t="shared" si="26"/>
        <v>40590.25</v>
      </c>
      <c r="N313">
        <v>1298872800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 s="9">
        <f t="shared" si="26"/>
        <v>41572.208333333336</v>
      </c>
      <c r="N314">
        <v>1383282000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 s="9">
        <f t="shared" si="26"/>
        <v>40966.25</v>
      </c>
      <c r="N315">
        <v>1330495200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 s="9">
        <f t="shared" si="26"/>
        <v>43536.208333333328</v>
      </c>
      <c r="N316">
        <v>1552798800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 s="9">
        <f t="shared" si="26"/>
        <v>41783.208333333336</v>
      </c>
      <c r="N317">
        <v>1403413200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 s="9">
        <f t="shared" si="26"/>
        <v>43788.25</v>
      </c>
      <c r="N318">
        <v>1574229600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 s="9">
        <f t="shared" si="26"/>
        <v>42869.208333333328</v>
      </c>
      <c r="N319">
        <v>1495861200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 s="9">
        <f t="shared" si="26"/>
        <v>41684.25</v>
      </c>
      <c r="N320">
        <v>1392530400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 s="9">
        <f t="shared" si="26"/>
        <v>40402.208333333336</v>
      </c>
      <c r="N321">
        <v>1283662800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IFERROR(E322/D322,0)</f>
        <v>9.5876777251184833E-2</v>
      </c>
      <c r="G322" t="s">
        <v>14</v>
      </c>
      <c r="H322">
        <v>80</v>
      </c>
      <c r="I322" s="6">
        <f t="shared" ref="I322:I385" si="31">IFERROR(E322/H322,0)</f>
        <v>101.15</v>
      </c>
      <c r="J322" t="s">
        <v>21</v>
      </c>
      <c r="K322" t="s">
        <v>22</v>
      </c>
      <c r="L322">
        <v>1305003600</v>
      </c>
      <c r="M322" s="9">
        <f t="shared" ref="M322:M385" si="32">(((L322/60)/60)/24)+DATE(1970,1,1)</f>
        <v>40673.208333333336</v>
      </c>
      <c r="N322">
        <v>1305781200</v>
      </c>
      <c r="O322" s="9">
        <f t="shared" ref="O322:O385" si="33">(((N322/60)/60)/24)+DATE(1970,1,1)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4">LEFT(R322,SEARCH("/",R322)-1)</f>
        <v>publishing</v>
      </c>
      <c r="T322" t="str">
        <f t="shared" ref="T322:T385" si="35">RIGHT(R322,LEN(R322)-SEARCH("/",R322))</f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0.94144366197183094</v>
      </c>
      <c r="G323" t="s">
        <v>14</v>
      </c>
      <c r="H323">
        <v>2468</v>
      </c>
      <c r="I323" s="6">
        <f t="shared" si="31"/>
        <v>65.000810372771468</v>
      </c>
      <c r="J323" t="s">
        <v>21</v>
      </c>
      <c r="K323" t="s">
        <v>22</v>
      </c>
      <c r="L323">
        <v>1301634000</v>
      </c>
      <c r="M323" s="9">
        <f t="shared" si="32"/>
        <v>40634.208333333336</v>
      </c>
      <c r="N323">
        <v>1302325200</v>
      </c>
      <c r="O323" s="9">
        <f t="shared" si="33"/>
        <v>40642.208333333336</v>
      </c>
      <c r="P323" t="b">
        <v>0</v>
      </c>
      <c r="Q323" t="b">
        <v>0</v>
      </c>
      <c r="R323" t="s">
        <v>100</v>
      </c>
      <c r="S323" t="str">
        <f t="shared" si="34"/>
        <v>film &amp; video</v>
      </c>
      <c r="T323" t="str">
        <f t="shared" si="35"/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 s="9">
        <f t="shared" si="32"/>
        <v>40507.25</v>
      </c>
      <c r="N324">
        <v>1291788000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 s="9">
        <f t="shared" si="32"/>
        <v>41725.208333333336</v>
      </c>
      <c r="N325">
        <v>1396069200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 s="9">
        <f t="shared" si="32"/>
        <v>42176.208333333328</v>
      </c>
      <c r="N326">
        <v>1435899600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 s="9">
        <f t="shared" si="32"/>
        <v>43267.208333333328</v>
      </c>
      <c r="N327">
        <v>1531112400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 s="9">
        <f t="shared" si="32"/>
        <v>42364.25</v>
      </c>
      <c r="N328">
        <v>1451628000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 s="9">
        <f t="shared" si="32"/>
        <v>43705.208333333328</v>
      </c>
      <c r="N329">
        <v>1567314000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 s="9">
        <f t="shared" si="32"/>
        <v>43434.25</v>
      </c>
      <c r="N330">
        <v>1544508000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 s="9">
        <f t="shared" si="32"/>
        <v>42716.25</v>
      </c>
      <c r="N331">
        <v>1482472800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 s="9">
        <f t="shared" si="32"/>
        <v>43077.25</v>
      </c>
      <c r="N332">
        <v>1512799200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 s="9">
        <f t="shared" si="32"/>
        <v>40896.25</v>
      </c>
      <c r="N333">
        <v>1324360800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 s="9">
        <f t="shared" si="32"/>
        <v>41361.208333333336</v>
      </c>
      <c r="N334">
        <v>1364533200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 s="9">
        <f t="shared" si="32"/>
        <v>43424.25</v>
      </c>
      <c r="N335">
        <v>1545112800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 s="9">
        <f t="shared" si="32"/>
        <v>43110.25</v>
      </c>
      <c r="N336">
        <v>1516168800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 s="9">
        <f t="shared" si="32"/>
        <v>43784.25</v>
      </c>
      <c r="N337">
        <v>1574920800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 s="9">
        <f t="shared" si="32"/>
        <v>40527.25</v>
      </c>
      <c r="N338">
        <v>1292479200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 s="9">
        <f t="shared" si="32"/>
        <v>43780.25</v>
      </c>
      <c r="N339">
        <v>1573538400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 s="9">
        <f t="shared" si="32"/>
        <v>40821.208333333336</v>
      </c>
      <c r="N340">
        <v>1320382800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 s="9">
        <f t="shared" si="32"/>
        <v>42949.208333333328</v>
      </c>
      <c r="N341">
        <v>1502859600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 s="9">
        <f t="shared" si="32"/>
        <v>40889.25</v>
      </c>
      <c r="N342">
        <v>1323756000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 s="9">
        <f t="shared" si="32"/>
        <v>42244.208333333328</v>
      </c>
      <c r="N343">
        <v>1441342800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 s="9">
        <f t="shared" si="32"/>
        <v>41475.208333333336</v>
      </c>
      <c r="N344">
        <v>1375333200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 s="9">
        <f t="shared" si="32"/>
        <v>41597.25</v>
      </c>
      <c r="N345">
        <v>1389420000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 s="9">
        <f t="shared" si="32"/>
        <v>43122.25</v>
      </c>
      <c r="N346">
        <v>1520056800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 s="9">
        <f t="shared" si="32"/>
        <v>42194.208333333328</v>
      </c>
      <c r="N347">
        <v>1436504400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 s="9">
        <f t="shared" si="32"/>
        <v>42971.208333333328</v>
      </c>
      <c r="N348">
        <v>1508302800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 s="9">
        <f t="shared" si="32"/>
        <v>42046.25</v>
      </c>
      <c r="N349">
        <v>1425708000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 s="9">
        <f t="shared" si="32"/>
        <v>42782.25</v>
      </c>
      <c r="N350">
        <v>1488348000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 s="9">
        <f t="shared" si="32"/>
        <v>42930.208333333328</v>
      </c>
      <c r="N351">
        <v>1502600400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 s="9">
        <f t="shared" si="32"/>
        <v>42144.208333333328</v>
      </c>
      <c r="N352">
        <v>1433653200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 s="9">
        <f t="shared" si="32"/>
        <v>42240.208333333328</v>
      </c>
      <c r="N353">
        <v>1441602000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 s="9">
        <f t="shared" si="32"/>
        <v>42315.25</v>
      </c>
      <c r="N354">
        <v>1447567200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 s="9">
        <f t="shared" si="32"/>
        <v>43651.208333333328</v>
      </c>
      <c r="N355">
        <v>1562389200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 s="9">
        <f t="shared" si="32"/>
        <v>41520.208333333336</v>
      </c>
      <c r="N356">
        <v>1378789200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 s="9">
        <f t="shared" si="32"/>
        <v>42757.25</v>
      </c>
      <c r="N357">
        <v>1488520800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 s="9">
        <f t="shared" si="32"/>
        <v>40922.25</v>
      </c>
      <c r="N358">
        <v>1327298400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 s="9">
        <f t="shared" si="32"/>
        <v>42250.208333333328</v>
      </c>
      <c r="N359">
        <v>1443416400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 s="9">
        <f t="shared" si="32"/>
        <v>43322.208333333328</v>
      </c>
      <c r="N360">
        <v>1534136400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 s="9">
        <f t="shared" si="32"/>
        <v>40782.208333333336</v>
      </c>
      <c r="N361">
        <v>1315026000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 s="9">
        <f t="shared" si="32"/>
        <v>40544.25</v>
      </c>
      <c r="N362">
        <v>1295071200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 s="9">
        <f t="shared" si="32"/>
        <v>43015.208333333328</v>
      </c>
      <c r="N363">
        <v>1509426000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 s="9">
        <f t="shared" si="32"/>
        <v>40570.25</v>
      </c>
      <c r="N364">
        <v>1299391200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 s="9">
        <f t="shared" si="32"/>
        <v>40904.25</v>
      </c>
      <c r="N365">
        <v>1325052000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 s="9">
        <f t="shared" si="32"/>
        <v>43164.25</v>
      </c>
      <c r="N366">
        <v>1522818000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 s="9">
        <f t="shared" si="32"/>
        <v>42733.25</v>
      </c>
      <c r="N367">
        <v>1485324000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 s="9">
        <f t="shared" si="32"/>
        <v>40546.25</v>
      </c>
      <c r="N368">
        <v>1294120800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 s="9">
        <f t="shared" si="32"/>
        <v>41930.208333333336</v>
      </c>
      <c r="N369">
        <v>1415685600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 s="9">
        <f t="shared" si="32"/>
        <v>40464.208333333336</v>
      </c>
      <c r="N370">
        <v>1288933200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 s="9">
        <f t="shared" si="32"/>
        <v>41308.25</v>
      </c>
      <c r="N371">
        <v>1363237200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 s="9">
        <f t="shared" si="32"/>
        <v>43570.208333333328</v>
      </c>
      <c r="N372">
        <v>1555822800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 s="9">
        <f t="shared" si="32"/>
        <v>42043.25</v>
      </c>
      <c r="N373">
        <v>1427778000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 s="9">
        <f t="shared" si="32"/>
        <v>42012.25</v>
      </c>
      <c r="N374">
        <v>1422424800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 s="9">
        <f t="shared" si="32"/>
        <v>42964.208333333328</v>
      </c>
      <c r="N375">
        <v>1503637200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 s="9">
        <f t="shared" si="32"/>
        <v>43476.25</v>
      </c>
      <c r="N376">
        <v>1547618400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 s="9">
        <f t="shared" si="32"/>
        <v>42293.208333333328</v>
      </c>
      <c r="N377">
        <v>1449900000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 s="9">
        <f t="shared" si="32"/>
        <v>41826.208333333336</v>
      </c>
      <c r="N378">
        <v>1405141200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 s="9">
        <f t="shared" si="32"/>
        <v>43760.208333333328</v>
      </c>
      <c r="N379">
        <v>1572933600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 s="9">
        <f t="shared" si="32"/>
        <v>43241.208333333328</v>
      </c>
      <c r="N380">
        <v>1530162000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 s="9">
        <f t="shared" si="32"/>
        <v>40843.208333333336</v>
      </c>
      <c r="N381">
        <v>1320904800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 s="9">
        <f t="shared" si="32"/>
        <v>41448.208333333336</v>
      </c>
      <c r="N382">
        <v>1372395600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 s="9">
        <f t="shared" si="32"/>
        <v>42163.208333333328</v>
      </c>
      <c r="N383">
        <v>1437714000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 s="9">
        <f t="shared" si="32"/>
        <v>43024.208333333328</v>
      </c>
      <c r="N384">
        <v>1509771600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 s="9">
        <f t="shared" si="32"/>
        <v>43509.25</v>
      </c>
      <c r="N385">
        <v>1550556000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IFERROR(E386/D386,0)</f>
        <v>1.7200961538461539</v>
      </c>
      <c r="G386" t="s">
        <v>20</v>
      </c>
      <c r="H386">
        <v>4799</v>
      </c>
      <c r="I386" s="6">
        <f t="shared" ref="I386:I449" si="37">IFERROR(E386/H386,0)</f>
        <v>41.004167534903104</v>
      </c>
      <c r="J386" t="s">
        <v>21</v>
      </c>
      <c r="K386" t="s">
        <v>22</v>
      </c>
      <c r="L386">
        <v>1486706400</v>
      </c>
      <c r="M386" s="9">
        <f t="shared" ref="M386:M449" si="38">(((L386/60)/60)/24)+DATE(1970,1,1)</f>
        <v>42776.25</v>
      </c>
      <c r="N386">
        <v>1489039200</v>
      </c>
      <c r="O386" s="9">
        <f t="shared" ref="O386:O449" si="39">(((N386/60)/60)/24)+DATE(1970,1,1)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40">LEFT(R386,SEARCH("/",R386)-1)</f>
        <v>film &amp; video</v>
      </c>
      <c r="T386" t="str">
        <f t="shared" ref="T386:T449" si="41">RIGHT(R386,LEN(R386)-SEARCH("/",R386))</f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1.4616709511568124</v>
      </c>
      <c r="G387" t="s">
        <v>20</v>
      </c>
      <c r="H387">
        <v>1137</v>
      </c>
      <c r="I387" s="6">
        <f t="shared" si="37"/>
        <v>50.007915567282325</v>
      </c>
      <c r="J387" t="s">
        <v>21</v>
      </c>
      <c r="K387" t="s">
        <v>22</v>
      </c>
      <c r="L387">
        <v>1553835600</v>
      </c>
      <c r="M387" s="9">
        <f t="shared" si="38"/>
        <v>43553.208333333328</v>
      </c>
      <c r="N387">
        <v>1556600400</v>
      </c>
      <c r="O387" s="9">
        <f t="shared" si="39"/>
        <v>43585.208333333328</v>
      </c>
      <c r="P387" t="b">
        <v>0</v>
      </c>
      <c r="Q387" t="b">
        <v>0</v>
      </c>
      <c r="R387" t="s">
        <v>68</v>
      </c>
      <c r="S387" t="str">
        <f t="shared" si="40"/>
        <v>publishing</v>
      </c>
      <c r="T387" t="str">
        <f t="shared" si="41"/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 s="9">
        <f t="shared" si="38"/>
        <v>40355.208333333336</v>
      </c>
      <c r="N388">
        <v>1278565200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 s="9">
        <f t="shared" si="38"/>
        <v>41072.208333333336</v>
      </c>
      <c r="N389">
        <v>1339909200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 s="9">
        <f t="shared" si="38"/>
        <v>40912.25</v>
      </c>
      <c r="N390">
        <v>1325829600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 s="9">
        <f t="shared" si="38"/>
        <v>40479.208333333336</v>
      </c>
      <c r="N391">
        <v>1290578400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 s="9">
        <f t="shared" si="38"/>
        <v>41530.208333333336</v>
      </c>
      <c r="N392">
        <v>1380344400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 s="9">
        <f t="shared" si="38"/>
        <v>41653.25</v>
      </c>
      <c r="N393">
        <v>1389852000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 s="9">
        <f t="shared" si="38"/>
        <v>40549.25</v>
      </c>
      <c r="N394">
        <v>1294466400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 s="9">
        <f t="shared" si="38"/>
        <v>42933.208333333328</v>
      </c>
      <c r="N395">
        <v>1500354000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 s="9">
        <f t="shared" si="38"/>
        <v>41484.208333333336</v>
      </c>
      <c r="N396">
        <v>1375938000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 s="9">
        <f t="shared" si="38"/>
        <v>40885.25</v>
      </c>
      <c r="N397">
        <v>1323410400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 s="9">
        <f t="shared" si="38"/>
        <v>43378.208333333328</v>
      </c>
      <c r="N398">
        <v>1539406800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 s="9">
        <f t="shared" si="38"/>
        <v>41417.208333333336</v>
      </c>
      <c r="N399">
        <v>1369803600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 s="9">
        <f t="shared" si="38"/>
        <v>43228.208333333328</v>
      </c>
      <c r="N400">
        <v>1525928400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 s="9">
        <f t="shared" si="38"/>
        <v>40576.25</v>
      </c>
      <c r="N401">
        <v>1297231200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 s="9">
        <f t="shared" si="38"/>
        <v>41502.208333333336</v>
      </c>
      <c r="N402">
        <v>1378530000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 s="9">
        <f t="shared" si="38"/>
        <v>43765.208333333328</v>
      </c>
      <c r="N403">
        <v>1572152400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 s="9">
        <f t="shared" si="38"/>
        <v>40914.25</v>
      </c>
      <c r="N404">
        <v>1329890400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 s="9">
        <f t="shared" si="38"/>
        <v>40310.208333333336</v>
      </c>
      <c r="N405">
        <v>1276750800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 s="9">
        <f t="shared" si="38"/>
        <v>43053.25</v>
      </c>
      <c r="N406">
        <v>1510898400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 s="9">
        <f t="shared" si="38"/>
        <v>43255.208333333328</v>
      </c>
      <c r="N407">
        <v>1532408400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 s="9">
        <f t="shared" si="38"/>
        <v>41304.25</v>
      </c>
      <c r="N408">
        <v>1360562400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 s="9">
        <f t="shared" si="38"/>
        <v>43751.208333333328</v>
      </c>
      <c r="N409">
        <v>1571547600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 s="9">
        <f t="shared" si="38"/>
        <v>42541.208333333328</v>
      </c>
      <c r="N410">
        <v>1468126800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 s="9">
        <f t="shared" si="38"/>
        <v>42843.208333333328</v>
      </c>
      <c r="N411">
        <v>1492837200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 s="9">
        <f t="shared" si="38"/>
        <v>42122.208333333328</v>
      </c>
      <c r="N412">
        <v>1430197200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 s="9">
        <f t="shared" si="38"/>
        <v>42884.208333333328</v>
      </c>
      <c r="N413">
        <v>1496206800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 s="9">
        <f t="shared" si="38"/>
        <v>41642.25</v>
      </c>
      <c r="N414">
        <v>1389592800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 s="9">
        <f t="shared" si="38"/>
        <v>43431.25</v>
      </c>
      <c r="N415">
        <v>1545631200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 s="9">
        <f t="shared" si="38"/>
        <v>40288.208333333336</v>
      </c>
      <c r="N416">
        <v>1272430800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 s="9">
        <f t="shared" si="38"/>
        <v>40921.25</v>
      </c>
      <c r="N417">
        <v>1327903200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 s="9">
        <f t="shared" si="38"/>
        <v>40560.25</v>
      </c>
      <c r="N418">
        <v>1296021600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 s="9">
        <f t="shared" si="38"/>
        <v>43407.208333333328</v>
      </c>
      <c r="N419">
        <v>1543298400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 s="9">
        <f t="shared" si="38"/>
        <v>41035.208333333336</v>
      </c>
      <c r="N420">
        <v>1336366800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 s="9">
        <f t="shared" si="38"/>
        <v>40899.25</v>
      </c>
      <c r="N421">
        <v>1325052000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 s="9">
        <f t="shared" si="38"/>
        <v>42911.208333333328</v>
      </c>
      <c r="N422">
        <v>1499576400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 s="9">
        <f t="shared" si="38"/>
        <v>42915.208333333328</v>
      </c>
      <c r="N423">
        <v>1501304400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 s="9">
        <f t="shared" si="38"/>
        <v>40285.208333333336</v>
      </c>
      <c r="N424">
        <v>1273208400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 s="9">
        <f t="shared" si="38"/>
        <v>40808.208333333336</v>
      </c>
      <c r="N425">
        <v>1316840400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 s="9">
        <f t="shared" si="38"/>
        <v>43208.208333333328</v>
      </c>
      <c r="N426">
        <v>1524546000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 s="9">
        <f t="shared" si="38"/>
        <v>42213.208333333328</v>
      </c>
      <c r="N427">
        <v>1438578000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 s="9">
        <f t="shared" si="38"/>
        <v>41332.25</v>
      </c>
      <c r="N428">
        <v>1362549600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 s="9">
        <f t="shared" si="38"/>
        <v>41895.208333333336</v>
      </c>
      <c r="N429">
        <v>1413349200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 s="9">
        <f t="shared" si="38"/>
        <v>40585.25</v>
      </c>
      <c r="N430">
        <v>1298008800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 s="9">
        <f t="shared" si="38"/>
        <v>41680.25</v>
      </c>
      <c r="N431">
        <v>1394427600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 s="9">
        <f t="shared" si="38"/>
        <v>43737.208333333328</v>
      </c>
      <c r="N432">
        <v>1572670800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 s="9">
        <f t="shared" si="38"/>
        <v>43273.208333333328</v>
      </c>
      <c r="N433">
        <v>1531112400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 s="9">
        <f t="shared" si="38"/>
        <v>41761.208333333336</v>
      </c>
      <c r="N434">
        <v>1400734800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 s="9">
        <f t="shared" si="38"/>
        <v>41603.25</v>
      </c>
      <c r="N435">
        <v>1386741600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 s="9">
        <f t="shared" si="38"/>
        <v>42705.25</v>
      </c>
      <c r="N436">
        <v>1481781600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 s="9">
        <f t="shared" si="38"/>
        <v>41988.25</v>
      </c>
      <c r="N437">
        <v>1419660000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 s="9">
        <f t="shared" si="38"/>
        <v>43575.208333333328</v>
      </c>
      <c r="N438">
        <v>1555822800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 s="9">
        <f t="shared" si="38"/>
        <v>42260.208333333328</v>
      </c>
      <c r="N439">
        <v>1442379600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 s="9">
        <f t="shared" si="38"/>
        <v>41337.25</v>
      </c>
      <c r="N440">
        <v>1364965200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 s="9">
        <f t="shared" si="38"/>
        <v>42680.208333333328</v>
      </c>
      <c r="N441">
        <v>1479016800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 s="9">
        <f t="shared" si="38"/>
        <v>42916.208333333328</v>
      </c>
      <c r="N442">
        <v>1499662800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 s="9">
        <f t="shared" si="38"/>
        <v>41025.208333333336</v>
      </c>
      <c r="N443">
        <v>1337835600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 s="9">
        <f t="shared" si="38"/>
        <v>42980.208333333328</v>
      </c>
      <c r="N444">
        <v>1505710800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 s="9">
        <f t="shared" si="38"/>
        <v>40451.208333333336</v>
      </c>
      <c r="N445">
        <v>1287464400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 s="9">
        <f t="shared" si="38"/>
        <v>40748.208333333336</v>
      </c>
      <c r="N446">
        <v>1311656400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 s="9">
        <f t="shared" si="38"/>
        <v>40515.25</v>
      </c>
      <c r="N447">
        <v>1293170400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 s="9">
        <f t="shared" si="38"/>
        <v>41261.25</v>
      </c>
      <c r="N448">
        <v>1355983200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 s="9">
        <f t="shared" si="38"/>
        <v>43088.25</v>
      </c>
      <c r="N449">
        <v>1515045600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IFERROR(E450/D450,0)</f>
        <v>0.50482758620689661</v>
      </c>
      <c r="G450" t="s">
        <v>14</v>
      </c>
      <c r="H450">
        <v>605</v>
      </c>
      <c r="I450" s="6">
        <f t="shared" ref="I450:I513" si="43">IFERROR(E450/H450,0)</f>
        <v>75.014876033057845</v>
      </c>
      <c r="J450" t="s">
        <v>21</v>
      </c>
      <c r="K450" t="s">
        <v>22</v>
      </c>
      <c r="L450">
        <v>1365915600</v>
      </c>
      <c r="M450" s="9">
        <f t="shared" ref="M450:M513" si="44">(((L450/60)/60)/24)+DATE(1970,1,1)</f>
        <v>41378.208333333336</v>
      </c>
      <c r="N450">
        <v>1366088400</v>
      </c>
      <c r="O450" s="9">
        <f t="shared" ref="O450:O513" si="45">(((N450/60)/60)/24)+DATE(1970,1,1)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6">LEFT(R450,SEARCH("/",R450)-1)</f>
        <v>games</v>
      </c>
      <c r="T450" t="str">
        <f t="shared" ref="T450:T513" si="47">RIGHT(R450,LEN(R450)-SEARCH("/",R450))</f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9.67</v>
      </c>
      <c r="G451" t="s">
        <v>20</v>
      </c>
      <c r="H451">
        <v>86</v>
      </c>
      <c r="I451" s="6">
        <f t="shared" si="43"/>
        <v>101.19767441860465</v>
      </c>
      <c r="J451" t="s">
        <v>36</v>
      </c>
      <c r="K451" t="s">
        <v>37</v>
      </c>
      <c r="L451">
        <v>1551852000</v>
      </c>
      <c r="M451" s="9">
        <f t="shared" si="44"/>
        <v>43530.25</v>
      </c>
      <c r="N451">
        <v>1553317200</v>
      </c>
      <c r="O451" s="9">
        <f t="shared" si="45"/>
        <v>43547.208333333328</v>
      </c>
      <c r="P451" t="b">
        <v>0</v>
      </c>
      <c r="Q451" t="b">
        <v>0</v>
      </c>
      <c r="R451" t="s">
        <v>89</v>
      </c>
      <c r="S451" t="str">
        <f t="shared" si="46"/>
        <v>games</v>
      </c>
      <c r="T451" t="str">
        <f t="shared" si="47"/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 s="9">
        <f t="shared" si="44"/>
        <v>43394.208333333328</v>
      </c>
      <c r="N452">
        <v>1542088800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 s="9">
        <f t="shared" si="44"/>
        <v>42935.208333333328</v>
      </c>
      <c r="N453">
        <v>1503118800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 s="9">
        <f t="shared" si="44"/>
        <v>40365.208333333336</v>
      </c>
      <c r="N454">
        <v>1278478800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 s="9">
        <f t="shared" si="44"/>
        <v>42705.25</v>
      </c>
      <c r="N455">
        <v>1484114400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 s="9">
        <f t="shared" si="44"/>
        <v>41568.208333333336</v>
      </c>
      <c r="N456">
        <v>1385445600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 s="9">
        <f t="shared" si="44"/>
        <v>40809.208333333336</v>
      </c>
      <c r="N457">
        <v>1318741200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 s="9">
        <f t="shared" si="44"/>
        <v>43141.25</v>
      </c>
      <c r="N458">
        <v>1518242400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 s="9">
        <f t="shared" si="44"/>
        <v>42657.208333333328</v>
      </c>
      <c r="N459">
        <v>1476594000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 s="9">
        <f t="shared" si="44"/>
        <v>40265.208333333336</v>
      </c>
      <c r="N460">
        <v>1273554000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 s="9">
        <f t="shared" si="44"/>
        <v>42001.25</v>
      </c>
      <c r="N461">
        <v>1421906400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 s="9">
        <f t="shared" si="44"/>
        <v>40399.208333333336</v>
      </c>
      <c r="N462">
        <v>1281589200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 s="9">
        <f t="shared" si="44"/>
        <v>41757.208333333336</v>
      </c>
      <c r="N463">
        <v>1400389200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 s="9">
        <f t="shared" si="44"/>
        <v>41304.25</v>
      </c>
      <c r="N464">
        <v>1362808800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 s="9">
        <f t="shared" si="44"/>
        <v>41639.25</v>
      </c>
      <c r="N465">
        <v>1388815200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 s="9">
        <f t="shared" si="44"/>
        <v>43142.25</v>
      </c>
      <c r="N466">
        <v>1519538400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 s="9">
        <f t="shared" si="44"/>
        <v>43127.25</v>
      </c>
      <c r="N467">
        <v>1517810400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 s="9">
        <f t="shared" si="44"/>
        <v>41409.208333333336</v>
      </c>
      <c r="N468">
        <v>1370581200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 s="9">
        <f t="shared" si="44"/>
        <v>42331.25</v>
      </c>
      <c r="N469">
        <v>1448863200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 s="9">
        <f t="shared" si="44"/>
        <v>43569.208333333328</v>
      </c>
      <c r="N470">
        <v>1556600400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 s="9">
        <f t="shared" si="44"/>
        <v>42142.208333333328</v>
      </c>
      <c r="N471">
        <v>1432098000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 s="9">
        <f t="shared" si="44"/>
        <v>42716.25</v>
      </c>
      <c r="N472">
        <v>1482127200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 s="9">
        <f t="shared" si="44"/>
        <v>41031.208333333336</v>
      </c>
      <c r="N473">
        <v>1335934800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 s="9">
        <f t="shared" si="44"/>
        <v>43535.208333333328</v>
      </c>
      <c r="N474">
        <v>1556946000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 s="9">
        <f t="shared" si="44"/>
        <v>43277.208333333328</v>
      </c>
      <c r="N475">
        <v>1530075600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 s="9">
        <f t="shared" si="44"/>
        <v>41989.25</v>
      </c>
      <c r="N476">
        <v>1418796000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 s="9">
        <f t="shared" si="44"/>
        <v>41450.208333333336</v>
      </c>
      <c r="N477">
        <v>1372482000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 s="9">
        <f t="shared" si="44"/>
        <v>43322.208333333328</v>
      </c>
      <c r="N478">
        <v>1534395600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 s="9">
        <f t="shared" si="44"/>
        <v>40720.208333333336</v>
      </c>
      <c r="N479">
        <v>1311397200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 s="9">
        <f t="shared" si="44"/>
        <v>42072.208333333328</v>
      </c>
      <c r="N480">
        <v>1426914000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 s="9">
        <f t="shared" si="44"/>
        <v>42945.208333333328</v>
      </c>
      <c r="N481">
        <v>1501477200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 s="9">
        <f t="shared" si="44"/>
        <v>40248.25</v>
      </c>
      <c r="N482">
        <v>1269061200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 s="9">
        <f t="shared" si="44"/>
        <v>41913.208333333336</v>
      </c>
      <c r="N483">
        <v>1415772000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 s="9">
        <f t="shared" si="44"/>
        <v>40963.25</v>
      </c>
      <c r="N484">
        <v>1331013600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 s="9">
        <f t="shared" si="44"/>
        <v>43811.25</v>
      </c>
      <c r="N485">
        <v>1576735200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 s="9">
        <f t="shared" si="44"/>
        <v>41855.208333333336</v>
      </c>
      <c r="N486">
        <v>1411362000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 s="9">
        <f t="shared" si="44"/>
        <v>43626.208333333328</v>
      </c>
      <c r="N487">
        <v>1563685200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 s="9">
        <f t="shared" si="44"/>
        <v>43168.25</v>
      </c>
      <c r="N488">
        <v>1521867600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 s="9">
        <f t="shared" si="44"/>
        <v>42845.208333333328</v>
      </c>
      <c r="N489">
        <v>1495515600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 s="9">
        <f t="shared" si="44"/>
        <v>42403.25</v>
      </c>
      <c r="N490">
        <v>1455948000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 s="9">
        <f t="shared" si="44"/>
        <v>40406.208333333336</v>
      </c>
      <c r="N491">
        <v>1282366800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 s="9">
        <f t="shared" si="44"/>
        <v>43786.25</v>
      </c>
      <c r="N492">
        <v>1574575200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 s="9">
        <f t="shared" si="44"/>
        <v>41456.208333333336</v>
      </c>
      <c r="N493">
        <v>1374901200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 s="9">
        <f t="shared" si="44"/>
        <v>40336.208333333336</v>
      </c>
      <c r="N494">
        <v>1278910800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 s="9">
        <f t="shared" si="44"/>
        <v>43645.208333333328</v>
      </c>
      <c r="N495">
        <v>1562907600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 s="9">
        <f t="shared" si="44"/>
        <v>40990.208333333336</v>
      </c>
      <c r="N496">
        <v>1332478800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 s="9">
        <f t="shared" si="44"/>
        <v>41800.208333333336</v>
      </c>
      <c r="N497">
        <v>1402722000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 s="9">
        <f t="shared" si="44"/>
        <v>42876.208333333328</v>
      </c>
      <c r="N498">
        <v>1496811600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 s="9">
        <f t="shared" si="44"/>
        <v>42724.25</v>
      </c>
      <c r="N499">
        <v>1482213600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 s="9">
        <f t="shared" si="44"/>
        <v>42005.25</v>
      </c>
      <c r="N500">
        <v>1420264800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 s="9">
        <f t="shared" si="44"/>
        <v>42444.208333333328</v>
      </c>
      <c r="N501">
        <v>1458450000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 s="9">
        <f t="shared" si="44"/>
        <v>41395.208333333336</v>
      </c>
      <c r="N502">
        <v>1369803600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 s="9">
        <f t="shared" si="44"/>
        <v>41345.208333333336</v>
      </c>
      <c r="N503">
        <v>1363237200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 s="9">
        <f t="shared" si="44"/>
        <v>41117.208333333336</v>
      </c>
      <c r="N504">
        <v>1345870800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 s="9">
        <f t="shared" si="44"/>
        <v>42186.208333333328</v>
      </c>
      <c r="N505">
        <v>1437454800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 s="9">
        <f t="shared" si="44"/>
        <v>42142.208333333328</v>
      </c>
      <c r="N506">
        <v>1432011600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 s="9">
        <f t="shared" si="44"/>
        <v>41341.25</v>
      </c>
      <c r="N507">
        <v>1366347600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 s="9">
        <f t="shared" si="44"/>
        <v>43062.25</v>
      </c>
      <c r="N508">
        <v>1512885600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 s="9">
        <f t="shared" si="44"/>
        <v>41373.208333333336</v>
      </c>
      <c r="N509">
        <v>1369717200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 s="9">
        <f t="shared" si="44"/>
        <v>43310.208333333328</v>
      </c>
      <c r="N510">
        <v>1534654800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 s="9">
        <f t="shared" si="44"/>
        <v>41034.208333333336</v>
      </c>
      <c r="N511">
        <v>1337058000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 s="9">
        <f t="shared" si="44"/>
        <v>43251.208333333328</v>
      </c>
      <c r="N512">
        <v>1529816400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 s="9">
        <f t="shared" si="44"/>
        <v>43671.208333333328</v>
      </c>
      <c r="N513">
        <v>1564894800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IFERROR(E514/D514,0)</f>
        <v>1.3931868131868133</v>
      </c>
      <c r="G514" t="s">
        <v>20</v>
      </c>
      <c r="H514">
        <v>239</v>
      </c>
      <c r="I514" s="6">
        <f t="shared" ref="I514:I577" si="49">IFERROR(E514/H514,0)</f>
        <v>53.046025104602514</v>
      </c>
      <c r="J514" t="s">
        <v>21</v>
      </c>
      <c r="K514" t="s">
        <v>22</v>
      </c>
      <c r="L514">
        <v>1404536400</v>
      </c>
      <c r="M514" s="9">
        <f t="shared" ref="M514:M577" si="50">(((L514/60)/60)/24)+DATE(1970,1,1)</f>
        <v>41825.208333333336</v>
      </c>
      <c r="N514">
        <v>1404622800</v>
      </c>
      <c r="O514" s="9">
        <f t="shared" ref="O514:O577" si="51">(((N514/60)/60)/24)+DATE(1970,1,1)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2">LEFT(R514,SEARCH("/",R514)-1)</f>
        <v>games</v>
      </c>
      <c r="T514" t="str">
        <f t="shared" ref="T514:T577" si="53">RIGHT(R514,LEN(R514)-SEARCH("/",R514))</f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0.39277108433734942</v>
      </c>
      <c r="G515" t="s">
        <v>74</v>
      </c>
      <c r="H515">
        <v>35</v>
      </c>
      <c r="I515" s="6">
        <f t="shared" si="49"/>
        <v>93.142857142857139</v>
      </c>
      <c r="J515" t="s">
        <v>21</v>
      </c>
      <c r="K515" t="s">
        <v>22</v>
      </c>
      <c r="L515">
        <v>1284008400</v>
      </c>
      <c r="M515" s="9">
        <f t="shared" si="50"/>
        <v>40430.208333333336</v>
      </c>
      <c r="N515">
        <v>1284181200</v>
      </c>
      <c r="O515" s="9">
        <f t="shared" si="51"/>
        <v>40432.208333333336</v>
      </c>
      <c r="P515" t="b">
        <v>0</v>
      </c>
      <c r="Q515" t="b">
        <v>0</v>
      </c>
      <c r="R515" t="s">
        <v>269</v>
      </c>
      <c r="S515" t="str">
        <f t="shared" si="52"/>
        <v>film &amp; video</v>
      </c>
      <c r="T515" t="str">
        <f t="shared" si="53"/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 s="9">
        <f t="shared" si="50"/>
        <v>41614.25</v>
      </c>
      <c r="N516">
        <v>1386741600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 s="9">
        <f t="shared" si="50"/>
        <v>40900.25</v>
      </c>
      <c r="N517">
        <v>1324792800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 s="9">
        <f t="shared" si="50"/>
        <v>40396.208333333336</v>
      </c>
      <c r="N518">
        <v>1284354000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 s="9">
        <f t="shared" si="50"/>
        <v>42860.208333333328</v>
      </c>
      <c r="N519">
        <v>1494392400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 s="9">
        <f t="shared" si="50"/>
        <v>43154.25</v>
      </c>
      <c r="N520">
        <v>1519538400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 s="9">
        <f t="shared" si="50"/>
        <v>42012.25</v>
      </c>
      <c r="N521">
        <v>1421906400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 s="9">
        <f t="shared" si="50"/>
        <v>43574.208333333328</v>
      </c>
      <c r="N522">
        <v>1555909200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 s="9">
        <f t="shared" si="50"/>
        <v>42605.208333333328</v>
      </c>
      <c r="N523">
        <v>1472446800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 s="9">
        <f t="shared" si="50"/>
        <v>41093.208333333336</v>
      </c>
      <c r="N524">
        <v>1342328400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 s="9">
        <f t="shared" si="50"/>
        <v>40241.25</v>
      </c>
      <c r="N525">
        <v>1268114400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 s="9">
        <f t="shared" si="50"/>
        <v>40294.208333333336</v>
      </c>
      <c r="N526">
        <v>1273381200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 s="9">
        <f t="shared" si="50"/>
        <v>40505.25</v>
      </c>
      <c r="N527">
        <v>1290837600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 s="9">
        <f t="shared" si="50"/>
        <v>42364.25</v>
      </c>
      <c r="N528">
        <v>1454306400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 s="9">
        <f t="shared" si="50"/>
        <v>42405.25</v>
      </c>
      <c r="N529">
        <v>1457762400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 s="9">
        <f t="shared" si="50"/>
        <v>41601.25</v>
      </c>
      <c r="N530">
        <v>1389074400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 s="9">
        <f t="shared" si="50"/>
        <v>41769.208333333336</v>
      </c>
      <c r="N531">
        <v>1402117200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 s="9">
        <f t="shared" si="50"/>
        <v>40421.208333333336</v>
      </c>
      <c r="N532">
        <v>1284440400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 s="9">
        <f t="shared" si="50"/>
        <v>41589.25</v>
      </c>
      <c r="N533">
        <v>1388988000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 s="9">
        <f t="shared" si="50"/>
        <v>43125.25</v>
      </c>
      <c r="N534">
        <v>1516946400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 s="9">
        <f t="shared" si="50"/>
        <v>41479.208333333336</v>
      </c>
      <c r="N535">
        <v>1377752400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 s="9">
        <f t="shared" si="50"/>
        <v>43329.208333333328</v>
      </c>
      <c r="N536">
        <v>1534568400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 s="9">
        <f t="shared" si="50"/>
        <v>43259.208333333328</v>
      </c>
      <c r="N537">
        <v>1528606800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 s="9">
        <f t="shared" si="50"/>
        <v>40414.208333333336</v>
      </c>
      <c r="N538">
        <v>1284872400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 s="9">
        <f t="shared" si="50"/>
        <v>43342.208333333328</v>
      </c>
      <c r="N539">
        <v>1537592400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 s="9">
        <f t="shared" si="50"/>
        <v>41539.208333333336</v>
      </c>
      <c r="N540">
        <v>1381208400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 s="9">
        <f t="shared" si="50"/>
        <v>43647.208333333328</v>
      </c>
      <c r="N541">
        <v>1562475600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 s="9">
        <f t="shared" si="50"/>
        <v>43225.208333333328</v>
      </c>
      <c r="N542">
        <v>1527397200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 s="9">
        <f t="shared" si="50"/>
        <v>42165.208333333328</v>
      </c>
      <c r="N543">
        <v>1436158800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 s="9">
        <f t="shared" si="50"/>
        <v>42391.25</v>
      </c>
      <c r="N544">
        <v>1456034400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 s="9">
        <f t="shared" si="50"/>
        <v>41528.208333333336</v>
      </c>
      <c r="N545">
        <v>1380171600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 s="9">
        <f t="shared" si="50"/>
        <v>42377.25</v>
      </c>
      <c r="N546">
        <v>1453356000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 s="9">
        <f t="shared" si="50"/>
        <v>43824.25</v>
      </c>
      <c r="N547">
        <v>1578981600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 s="9">
        <f t="shared" si="50"/>
        <v>43360.208333333328</v>
      </c>
      <c r="N548">
        <v>1537419600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 s="9">
        <f t="shared" si="50"/>
        <v>42029.25</v>
      </c>
      <c r="N549">
        <v>1423202400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 s="9">
        <f t="shared" si="50"/>
        <v>42461.208333333328</v>
      </c>
      <c r="N550">
        <v>1460610000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 s="9">
        <f t="shared" si="50"/>
        <v>41422.208333333336</v>
      </c>
      <c r="N551">
        <v>1370494800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 s="9">
        <f t="shared" si="50"/>
        <v>40968.25</v>
      </c>
      <c r="N552">
        <v>1332306000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 s="9">
        <f t="shared" si="50"/>
        <v>41993.25</v>
      </c>
      <c r="N553">
        <v>1422511200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 s="9">
        <f t="shared" si="50"/>
        <v>42700.25</v>
      </c>
      <c r="N554">
        <v>1480312800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 s="9">
        <f t="shared" si="50"/>
        <v>40545.25</v>
      </c>
      <c r="N555">
        <v>1294034400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 s="9">
        <f t="shared" si="50"/>
        <v>42723.25</v>
      </c>
      <c r="N556">
        <v>1482645600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 s="9">
        <f t="shared" si="50"/>
        <v>41731.208333333336</v>
      </c>
      <c r="N557">
        <v>1399093200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 s="9">
        <f t="shared" si="50"/>
        <v>40792.208333333336</v>
      </c>
      <c r="N558">
        <v>1315890000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 s="9">
        <f t="shared" si="50"/>
        <v>42279.208333333328</v>
      </c>
      <c r="N559">
        <v>1444021200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 s="9">
        <f t="shared" si="50"/>
        <v>42424.25</v>
      </c>
      <c r="N560">
        <v>1460005200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 s="9">
        <f t="shared" si="50"/>
        <v>42584.208333333328</v>
      </c>
      <c r="N561">
        <v>1470718800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 s="9">
        <f t="shared" si="50"/>
        <v>40865.25</v>
      </c>
      <c r="N562">
        <v>1325052000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 s="9">
        <f t="shared" si="50"/>
        <v>40833.208333333336</v>
      </c>
      <c r="N563">
        <v>1319000400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 s="9">
        <f t="shared" si="50"/>
        <v>43536.208333333328</v>
      </c>
      <c r="N564">
        <v>1552539600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 s="9">
        <f t="shared" si="50"/>
        <v>43417.25</v>
      </c>
      <c r="N565">
        <v>1543816800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 s="9">
        <f t="shared" si="50"/>
        <v>42078.208333333328</v>
      </c>
      <c r="N566">
        <v>1427086800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 s="9">
        <f t="shared" si="50"/>
        <v>40862.25</v>
      </c>
      <c r="N567">
        <v>1323064800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 s="9">
        <f t="shared" si="50"/>
        <v>42424.25</v>
      </c>
      <c r="N568">
        <v>1458277200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 s="9">
        <f t="shared" si="50"/>
        <v>41830.208333333336</v>
      </c>
      <c r="N569">
        <v>1405141200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 s="9">
        <f t="shared" si="50"/>
        <v>40374.208333333336</v>
      </c>
      <c r="N570">
        <v>1283058000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 s="9">
        <f t="shared" si="50"/>
        <v>40554.25</v>
      </c>
      <c r="N571">
        <v>1295762400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 s="9">
        <f t="shared" si="50"/>
        <v>41993.25</v>
      </c>
      <c r="N572">
        <v>1419573600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 s="9">
        <f t="shared" si="50"/>
        <v>42174.208333333328</v>
      </c>
      <c r="N573">
        <v>1438750800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 s="9">
        <f t="shared" si="50"/>
        <v>42275.208333333328</v>
      </c>
      <c r="N574">
        <v>1444798800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 s="9">
        <f t="shared" si="50"/>
        <v>41761.208333333336</v>
      </c>
      <c r="N575">
        <v>1399179600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 s="9">
        <f t="shared" si="50"/>
        <v>43806.25</v>
      </c>
      <c r="N576">
        <v>1576562400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 s="9">
        <f t="shared" si="50"/>
        <v>41779.208333333336</v>
      </c>
      <c r="N577">
        <v>1400821200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IFERROR(E578/D578,0)</f>
        <v>0.6492783505154639</v>
      </c>
      <c r="G578" t="s">
        <v>14</v>
      </c>
      <c r="H578">
        <v>64</v>
      </c>
      <c r="I578" s="6">
        <f t="shared" ref="I578:I641" si="55">IFERROR(E578/H578,0)</f>
        <v>98.40625</v>
      </c>
      <c r="J578" t="s">
        <v>21</v>
      </c>
      <c r="K578" t="s">
        <v>22</v>
      </c>
      <c r="L578">
        <v>1509512400</v>
      </c>
      <c r="M578" s="9">
        <f t="shared" ref="M578:M641" si="56">(((L578/60)/60)/24)+DATE(1970,1,1)</f>
        <v>43040.208333333328</v>
      </c>
      <c r="N578">
        <v>1510984800</v>
      </c>
      <c r="O578" s="9">
        <f t="shared" ref="O578:O641" si="57">(((N578/60)/60)/24)+DATE(1970,1,1)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8">LEFT(R578,SEARCH("/",R578)-1)</f>
        <v>theater</v>
      </c>
      <c r="T578" t="str">
        <f t="shared" ref="T578:T641" si="59">RIGHT(R578,LEN(R578)-SEARCH("/",R578))</f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0.18853658536585366</v>
      </c>
      <c r="G579" t="s">
        <v>74</v>
      </c>
      <c r="H579">
        <v>37</v>
      </c>
      <c r="I579" s="6">
        <f t="shared" si="55"/>
        <v>41.783783783783782</v>
      </c>
      <c r="J579" t="s">
        <v>21</v>
      </c>
      <c r="K579" t="s">
        <v>22</v>
      </c>
      <c r="L579">
        <v>1299823200</v>
      </c>
      <c r="M579" s="9">
        <f t="shared" si="56"/>
        <v>40613.25</v>
      </c>
      <c r="N579">
        <v>1302066000</v>
      </c>
      <c r="O579" s="9">
        <f t="shared" si="57"/>
        <v>40639.208333333336</v>
      </c>
      <c r="P579" t="b">
        <v>0</v>
      </c>
      <c r="Q579" t="b">
        <v>0</v>
      </c>
      <c r="R579" t="s">
        <v>159</v>
      </c>
      <c r="S579" t="str">
        <f t="shared" si="58"/>
        <v>music</v>
      </c>
      <c r="T579" t="str">
        <f t="shared" si="59"/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 s="9">
        <f t="shared" si="56"/>
        <v>40878.25</v>
      </c>
      <c r="N580">
        <v>1322978400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 s="9">
        <f t="shared" si="56"/>
        <v>40762.208333333336</v>
      </c>
      <c r="N581">
        <v>1313730000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 s="9">
        <f t="shared" si="56"/>
        <v>41696.25</v>
      </c>
      <c r="N582">
        <v>1394085600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 s="9">
        <f t="shared" si="56"/>
        <v>40662.208333333336</v>
      </c>
      <c r="N583">
        <v>1305349200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 s="9">
        <f t="shared" si="56"/>
        <v>42165.208333333328</v>
      </c>
      <c r="N584">
        <v>1434344400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 s="9">
        <f t="shared" si="56"/>
        <v>40959.25</v>
      </c>
      <c r="N585">
        <v>1331186400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 s="9">
        <f t="shared" si="56"/>
        <v>41024.208333333336</v>
      </c>
      <c r="N586">
        <v>1336539600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 s="9">
        <f t="shared" si="56"/>
        <v>40255.208333333336</v>
      </c>
      <c r="N587">
        <v>1269752400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 s="9">
        <f t="shared" si="56"/>
        <v>40499.25</v>
      </c>
      <c r="N588">
        <v>1291615200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 s="9">
        <f t="shared" si="56"/>
        <v>43484.25</v>
      </c>
      <c r="N589">
        <v>1552366800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 s="9">
        <f t="shared" si="56"/>
        <v>40262.208333333336</v>
      </c>
      <c r="N590">
        <v>1272171600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 s="9">
        <f t="shared" si="56"/>
        <v>42190.208333333328</v>
      </c>
      <c r="N591">
        <v>1436677200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 s="9">
        <f t="shared" si="56"/>
        <v>41994.25</v>
      </c>
      <c r="N592">
        <v>1420092000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 s="9">
        <f t="shared" si="56"/>
        <v>40373.208333333336</v>
      </c>
      <c r="N593">
        <v>1279947600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 s="9">
        <f t="shared" si="56"/>
        <v>41789.208333333336</v>
      </c>
      <c r="N594">
        <v>1402203600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 s="9">
        <f t="shared" si="56"/>
        <v>41724.208333333336</v>
      </c>
      <c r="N595">
        <v>1396933200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 s="9">
        <f t="shared" si="56"/>
        <v>42548.208333333328</v>
      </c>
      <c r="N596">
        <v>1467262800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 s="9">
        <f t="shared" si="56"/>
        <v>40253.208333333336</v>
      </c>
      <c r="N597">
        <v>1270530000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 s="9">
        <f t="shared" si="56"/>
        <v>42434.25</v>
      </c>
      <c r="N598">
        <v>1457762400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 s="9">
        <f t="shared" si="56"/>
        <v>43786.25</v>
      </c>
      <c r="N599">
        <v>1575525600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 s="9">
        <f t="shared" si="56"/>
        <v>40344.208333333336</v>
      </c>
      <c r="N600">
        <v>1279083600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 s="9">
        <f t="shared" si="56"/>
        <v>42047.25</v>
      </c>
      <c r="N601">
        <v>1424412000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 s="9">
        <f t="shared" si="56"/>
        <v>41485.208333333336</v>
      </c>
      <c r="N602">
        <v>1376197200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 s="9">
        <f t="shared" si="56"/>
        <v>41789.208333333336</v>
      </c>
      <c r="N603">
        <v>1402894800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 s="9">
        <f t="shared" si="56"/>
        <v>42160.208333333328</v>
      </c>
      <c r="N604">
        <v>1434430800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 s="9">
        <f t="shared" si="56"/>
        <v>43573.208333333328</v>
      </c>
      <c r="N605">
        <v>1557896400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 s="9">
        <f t="shared" si="56"/>
        <v>40565.25</v>
      </c>
      <c r="N606">
        <v>1297490400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 s="9">
        <f t="shared" si="56"/>
        <v>42280.208333333328</v>
      </c>
      <c r="N607">
        <v>1447394400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 s="9">
        <f t="shared" si="56"/>
        <v>42436.25</v>
      </c>
      <c r="N608">
        <v>1458277200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 s="9">
        <f t="shared" si="56"/>
        <v>41721.208333333336</v>
      </c>
      <c r="N609">
        <v>1395723600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 s="9">
        <f t="shared" si="56"/>
        <v>43530.25</v>
      </c>
      <c r="N610">
        <v>1552197600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 s="9">
        <f t="shared" si="56"/>
        <v>43481.25</v>
      </c>
      <c r="N611">
        <v>1549087200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 s="9">
        <f t="shared" si="56"/>
        <v>41259.25</v>
      </c>
      <c r="N612">
        <v>1356847200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 s="9">
        <f t="shared" si="56"/>
        <v>41480.208333333336</v>
      </c>
      <c r="N613">
        <v>1375765200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 s="9">
        <f t="shared" si="56"/>
        <v>40474.208333333336</v>
      </c>
      <c r="N614">
        <v>1289800800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 s="9">
        <f t="shared" si="56"/>
        <v>42973.208333333328</v>
      </c>
      <c r="N615">
        <v>1504501200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 s="9">
        <f t="shared" si="56"/>
        <v>42746.25</v>
      </c>
      <c r="N616">
        <v>1485669600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 s="9">
        <f t="shared" si="56"/>
        <v>42489.208333333328</v>
      </c>
      <c r="N617">
        <v>1462770000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 s="9">
        <f t="shared" si="56"/>
        <v>41537.208333333336</v>
      </c>
      <c r="N618">
        <v>1379739600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 s="9">
        <f t="shared" si="56"/>
        <v>41794.208333333336</v>
      </c>
      <c r="N619">
        <v>1402722000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 s="9">
        <f t="shared" si="56"/>
        <v>41396.208333333336</v>
      </c>
      <c r="N620">
        <v>1369285200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 s="9">
        <f t="shared" si="56"/>
        <v>40669.208333333336</v>
      </c>
      <c r="N621">
        <v>1304744400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 s="9">
        <f t="shared" si="56"/>
        <v>42559.208333333328</v>
      </c>
      <c r="N622">
        <v>1468299600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 s="9">
        <f t="shared" si="56"/>
        <v>42626.208333333328</v>
      </c>
      <c r="N623">
        <v>1474174800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 s="9">
        <f t="shared" si="56"/>
        <v>43205.208333333328</v>
      </c>
      <c r="N624">
        <v>1526014800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 s="9">
        <f t="shared" si="56"/>
        <v>42201.208333333328</v>
      </c>
      <c r="N625">
        <v>1437454800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 s="9">
        <f t="shared" si="56"/>
        <v>42029.25</v>
      </c>
      <c r="N626">
        <v>1422684000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 s="9">
        <f t="shared" si="56"/>
        <v>43857.25</v>
      </c>
      <c r="N627">
        <v>1581314400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 s="9">
        <f t="shared" si="56"/>
        <v>40449.208333333336</v>
      </c>
      <c r="N628">
        <v>1286427600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 s="9">
        <f t="shared" si="56"/>
        <v>40345.208333333336</v>
      </c>
      <c r="N629">
        <v>1278738000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 s="9">
        <f t="shared" si="56"/>
        <v>40455.208333333336</v>
      </c>
      <c r="N630">
        <v>1286427600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 s="9">
        <f t="shared" si="56"/>
        <v>42557.208333333328</v>
      </c>
      <c r="N631">
        <v>1467954000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 s="9">
        <f t="shared" si="56"/>
        <v>43586.208333333328</v>
      </c>
      <c r="N632">
        <v>1557637200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 s="9">
        <f t="shared" si="56"/>
        <v>43550.208333333328</v>
      </c>
      <c r="N633">
        <v>1553922000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 s="9">
        <f t="shared" si="56"/>
        <v>41945.208333333336</v>
      </c>
      <c r="N634">
        <v>1416463200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 s="9">
        <f t="shared" si="56"/>
        <v>42315.25</v>
      </c>
      <c r="N635">
        <v>1447221600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 s="9">
        <f t="shared" si="56"/>
        <v>42819.208333333328</v>
      </c>
      <c r="N636">
        <v>1491627600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 s="9">
        <f t="shared" si="56"/>
        <v>41314.25</v>
      </c>
      <c r="N637">
        <v>1363150800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 s="9">
        <f t="shared" si="56"/>
        <v>40926.25</v>
      </c>
      <c r="N638">
        <v>1330754400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 s="9">
        <f t="shared" si="56"/>
        <v>42688.25</v>
      </c>
      <c r="N639">
        <v>1479794400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 s="9">
        <f t="shared" si="56"/>
        <v>40386.208333333336</v>
      </c>
      <c r="N640">
        <v>1281243600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 s="9">
        <f t="shared" si="56"/>
        <v>43309.208333333328</v>
      </c>
      <c r="N641">
        <v>1532754000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IFERROR(E642/D642,0)</f>
        <v>0.16501669449081802</v>
      </c>
      <c r="G642" t="s">
        <v>14</v>
      </c>
      <c r="H642">
        <v>257</v>
      </c>
      <c r="I642" s="6">
        <f t="shared" ref="I642:I705" si="61">IFERROR(E642/H642,0)</f>
        <v>76.922178988326849</v>
      </c>
      <c r="J642" t="s">
        <v>21</v>
      </c>
      <c r="K642" t="s">
        <v>22</v>
      </c>
      <c r="L642">
        <v>1453096800</v>
      </c>
      <c r="M642" s="9">
        <f t="shared" ref="M642:M705" si="62">(((L642/60)/60)/24)+DATE(1970,1,1)</f>
        <v>42387.25</v>
      </c>
      <c r="N642">
        <v>1453356000</v>
      </c>
      <c r="O642" s="9">
        <f t="shared" ref="O642:O705" si="63">(((N642/60)/60)/24)+DATE(1970,1,1)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4">LEFT(R642,SEARCH("/",R642)-1)</f>
        <v>theater</v>
      </c>
      <c r="T642" t="str">
        <f t="shared" ref="T642:T705" si="65">RIGHT(R642,LEN(R642)-SEARCH("/",R642))</f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1.1996808510638297</v>
      </c>
      <c r="G643" t="s">
        <v>20</v>
      </c>
      <c r="H643">
        <v>194</v>
      </c>
      <c r="I643" s="6">
        <f t="shared" si="61"/>
        <v>58.128865979381445</v>
      </c>
      <c r="J643" t="s">
        <v>98</v>
      </c>
      <c r="K643" t="s">
        <v>99</v>
      </c>
      <c r="L643">
        <v>1487570400</v>
      </c>
      <c r="M643" s="9">
        <f t="shared" si="62"/>
        <v>42786.25</v>
      </c>
      <c r="N643">
        <v>1489986000</v>
      </c>
      <c r="O643" s="9">
        <f t="shared" si="63"/>
        <v>42814.208333333328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 s="9">
        <f t="shared" si="62"/>
        <v>43451.25</v>
      </c>
      <c r="N644">
        <v>1545804000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 s="9">
        <f t="shared" si="62"/>
        <v>42795.25</v>
      </c>
      <c r="N645">
        <v>1489899600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 s="9">
        <f t="shared" si="62"/>
        <v>43452.25</v>
      </c>
      <c r="N646">
        <v>1546495200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 s="9">
        <f t="shared" si="62"/>
        <v>43369.208333333328</v>
      </c>
      <c r="N647">
        <v>1539752400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 s="9">
        <f t="shared" si="62"/>
        <v>41346.208333333336</v>
      </c>
      <c r="N648">
        <v>1364101200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 s="9">
        <f t="shared" si="62"/>
        <v>43199.208333333328</v>
      </c>
      <c r="N649">
        <v>1525323600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 s="9">
        <f t="shared" si="62"/>
        <v>42922.208333333328</v>
      </c>
      <c r="N650">
        <v>1500872400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 s="9">
        <f t="shared" si="62"/>
        <v>40471.208333333336</v>
      </c>
      <c r="N651">
        <v>1288501200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 s="9">
        <f t="shared" si="62"/>
        <v>41828.208333333336</v>
      </c>
      <c r="N652">
        <v>1407128400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 s="9">
        <f t="shared" si="62"/>
        <v>41692.25</v>
      </c>
      <c r="N653">
        <v>1394344800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 s="9">
        <f t="shared" si="62"/>
        <v>42587.208333333328</v>
      </c>
      <c r="N654">
        <v>1474088400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 s="9">
        <f t="shared" si="62"/>
        <v>42468.208333333328</v>
      </c>
      <c r="N655">
        <v>1460264400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 s="9">
        <f t="shared" si="62"/>
        <v>42240.208333333328</v>
      </c>
      <c r="N656">
        <v>1440824400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 s="9">
        <f t="shared" si="62"/>
        <v>42796.25</v>
      </c>
      <c r="N657">
        <v>1489554000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 s="9">
        <f t="shared" si="62"/>
        <v>43097.25</v>
      </c>
      <c r="N658">
        <v>1514872800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 s="9">
        <f t="shared" si="62"/>
        <v>43096.25</v>
      </c>
      <c r="N659">
        <v>1515736800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 s="9">
        <f t="shared" si="62"/>
        <v>42246.208333333328</v>
      </c>
      <c r="N660">
        <v>1442898000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 s="9">
        <f t="shared" si="62"/>
        <v>40570.25</v>
      </c>
      <c r="N661">
        <v>1296194400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 s="9">
        <f t="shared" si="62"/>
        <v>42237.208333333328</v>
      </c>
      <c r="N662">
        <v>1440910800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 s="9">
        <f t="shared" si="62"/>
        <v>40996.208333333336</v>
      </c>
      <c r="N663">
        <v>1335502800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 s="9">
        <f t="shared" si="62"/>
        <v>43443.25</v>
      </c>
      <c r="N664">
        <v>1544680800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 s="9">
        <f t="shared" si="62"/>
        <v>40458.208333333336</v>
      </c>
      <c r="N665">
        <v>1288414800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 s="9">
        <f t="shared" si="62"/>
        <v>40959.25</v>
      </c>
      <c r="N666">
        <v>1330581600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 s="9">
        <f t="shared" si="62"/>
        <v>40733.208333333336</v>
      </c>
      <c r="N667">
        <v>1311397200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 s="9">
        <f t="shared" si="62"/>
        <v>41516.208333333336</v>
      </c>
      <c r="N668">
        <v>1378357200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 s="9">
        <f t="shared" si="62"/>
        <v>41892.208333333336</v>
      </c>
      <c r="N669">
        <v>1411102800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 s="9">
        <f t="shared" si="62"/>
        <v>41122.208333333336</v>
      </c>
      <c r="N670">
        <v>1344834000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 s="9">
        <f t="shared" si="62"/>
        <v>42912.208333333328</v>
      </c>
      <c r="N671">
        <v>1499230800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 s="9">
        <f t="shared" si="62"/>
        <v>42425.25</v>
      </c>
      <c r="N672">
        <v>1457416800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 s="9">
        <f t="shared" si="62"/>
        <v>40390.208333333336</v>
      </c>
      <c r="N673">
        <v>1280898000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 s="9">
        <f t="shared" si="62"/>
        <v>43180.208333333328</v>
      </c>
      <c r="N674">
        <v>1522472400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 s="9">
        <f t="shared" si="62"/>
        <v>42475.208333333328</v>
      </c>
      <c r="N675">
        <v>1462510800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 s="9">
        <f t="shared" si="62"/>
        <v>40774.208333333336</v>
      </c>
      <c r="N676">
        <v>1317790800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 s="9">
        <f t="shared" si="62"/>
        <v>43719.208333333328</v>
      </c>
      <c r="N677">
        <v>1568782800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 s="9">
        <f t="shared" si="62"/>
        <v>41178.208333333336</v>
      </c>
      <c r="N678">
        <v>1349413200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 s="9">
        <f t="shared" si="62"/>
        <v>42561.208333333328</v>
      </c>
      <c r="N679">
        <v>1472446800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 s="9">
        <f t="shared" si="62"/>
        <v>43484.25</v>
      </c>
      <c r="N680">
        <v>1548050400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 s="9">
        <f t="shared" si="62"/>
        <v>43756.208333333328</v>
      </c>
      <c r="N681">
        <v>1571806800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 s="9">
        <f t="shared" si="62"/>
        <v>43813.25</v>
      </c>
      <c r="N682">
        <v>1576476000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 s="9">
        <f t="shared" si="62"/>
        <v>40898.25</v>
      </c>
      <c r="N683">
        <v>1324965600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 s="9">
        <f t="shared" si="62"/>
        <v>41619.25</v>
      </c>
      <c r="N684">
        <v>1387519200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 s="9">
        <f t="shared" si="62"/>
        <v>43359.208333333328</v>
      </c>
      <c r="N685">
        <v>1537246800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 s="9">
        <f t="shared" si="62"/>
        <v>40358.208333333336</v>
      </c>
      <c r="N686">
        <v>1279515600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 s="9">
        <f t="shared" si="62"/>
        <v>42239.208333333328</v>
      </c>
      <c r="N687">
        <v>1442379600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 s="9">
        <f t="shared" si="62"/>
        <v>43186.208333333328</v>
      </c>
      <c r="N688">
        <v>1523077200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 s="9">
        <f t="shared" si="62"/>
        <v>42806.25</v>
      </c>
      <c r="N689">
        <v>1489554000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 s="9">
        <f t="shared" si="62"/>
        <v>43475.25</v>
      </c>
      <c r="N690">
        <v>1548482400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 s="9">
        <f t="shared" si="62"/>
        <v>41576.208333333336</v>
      </c>
      <c r="N691">
        <v>1384063200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 s="9">
        <f t="shared" si="62"/>
        <v>40874.25</v>
      </c>
      <c r="N692">
        <v>1322892000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 s="9">
        <f t="shared" si="62"/>
        <v>41185.208333333336</v>
      </c>
      <c r="N693">
        <v>1350709200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 s="9">
        <f t="shared" si="62"/>
        <v>43655.208333333328</v>
      </c>
      <c r="N694">
        <v>1564203600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 s="9">
        <f t="shared" si="62"/>
        <v>43025.208333333328</v>
      </c>
      <c r="N695">
        <v>1509685200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 s="9">
        <f t="shared" si="62"/>
        <v>43066.25</v>
      </c>
      <c r="N696">
        <v>1514959200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 s="9">
        <f t="shared" si="62"/>
        <v>42322.25</v>
      </c>
      <c r="N697">
        <v>1448863200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 s="9">
        <f t="shared" si="62"/>
        <v>42114.208333333328</v>
      </c>
      <c r="N698">
        <v>1429592400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 s="9">
        <f t="shared" si="62"/>
        <v>43190.208333333328</v>
      </c>
      <c r="N699">
        <v>1522645200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 s="9">
        <f t="shared" si="62"/>
        <v>40871.25</v>
      </c>
      <c r="N700">
        <v>1323324000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 s="9">
        <f t="shared" si="62"/>
        <v>43641.208333333328</v>
      </c>
      <c r="N701">
        <v>1561525200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 s="9">
        <f t="shared" si="62"/>
        <v>40203.25</v>
      </c>
      <c r="N702">
        <v>1265695200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 s="9">
        <f t="shared" si="62"/>
        <v>40629.208333333336</v>
      </c>
      <c r="N703">
        <v>1301806800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 s="9">
        <f t="shared" si="62"/>
        <v>41477.208333333336</v>
      </c>
      <c r="N704">
        <v>1374901200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 s="9">
        <f t="shared" si="62"/>
        <v>41020.208333333336</v>
      </c>
      <c r="N705">
        <v>1336453200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IFERROR(E706/D706,0)</f>
        <v>1.2278160919540231</v>
      </c>
      <c r="G706" t="s">
        <v>20</v>
      </c>
      <c r="H706">
        <v>116</v>
      </c>
      <c r="I706" s="6">
        <f t="shared" ref="I706:I769" si="67">IFERROR(E706/H706,0)</f>
        <v>92.08620689655173</v>
      </c>
      <c r="J706" t="s">
        <v>21</v>
      </c>
      <c r="K706" t="s">
        <v>22</v>
      </c>
      <c r="L706">
        <v>1467608400</v>
      </c>
      <c r="M706" s="9">
        <f t="shared" ref="M706:M769" si="68">(((L706/60)/60)/24)+DATE(1970,1,1)</f>
        <v>42555.208333333328</v>
      </c>
      <c r="N706">
        <v>1468904400</v>
      </c>
      <c r="O706" s="9">
        <f t="shared" ref="O706:O769" si="69">(((N706/60)/60)/24)+DATE(1970,1,1)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70">LEFT(R706,SEARCH("/",R706)-1)</f>
        <v>film &amp; video</v>
      </c>
      <c r="T706" t="str">
        <f t="shared" ref="T706:T769" si="71">RIGHT(R706,LEN(R706)-SEARCH("/",R706))</f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0.99026517383618151</v>
      </c>
      <c r="G707" t="s">
        <v>14</v>
      </c>
      <c r="H707">
        <v>2025</v>
      </c>
      <c r="I707" s="6">
        <f t="shared" si="67"/>
        <v>82.986666666666665</v>
      </c>
      <c r="J707" t="s">
        <v>40</v>
      </c>
      <c r="K707" t="s">
        <v>41</v>
      </c>
      <c r="L707">
        <v>1386741600</v>
      </c>
      <c r="M707" s="9">
        <f t="shared" si="68"/>
        <v>41619.25</v>
      </c>
      <c r="N707">
        <v>1387087200</v>
      </c>
      <c r="O707" s="9">
        <f t="shared" si="69"/>
        <v>41623.25</v>
      </c>
      <c r="P707" t="b">
        <v>0</v>
      </c>
      <c r="Q707" t="b">
        <v>0</v>
      </c>
      <c r="R707" t="s">
        <v>68</v>
      </c>
      <c r="S707" t="str">
        <f t="shared" si="70"/>
        <v>publishing</v>
      </c>
      <c r="T707" t="str">
        <f t="shared" si="71"/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 s="9">
        <f t="shared" si="68"/>
        <v>43471.25</v>
      </c>
      <c r="N708">
        <v>1547445600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 s="9">
        <f t="shared" si="68"/>
        <v>43442.25</v>
      </c>
      <c r="N709">
        <v>1547359200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 s="9">
        <f t="shared" si="68"/>
        <v>42877.208333333328</v>
      </c>
      <c r="N710">
        <v>1496293200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 s="9">
        <f t="shared" si="68"/>
        <v>41018.208333333336</v>
      </c>
      <c r="N711">
        <v>1335416400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 s="9">
        <f t="shared" si="68"/>
        <v>43295.208333333328</v>
      </c>
      <c r="N712">
        <v>1532149200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 s="9">
        <f t="shared" si="68"/>
        <v>42393.25</v>
      </c>
      <c r="N713">
        <v>1453788000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 s="9">
        <f t="shared" si="68"/>
        <v>42559.208333333328</v>
      </c>
      <c r="N714">
        <v>1471496400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 s="9">
        <f t="shared" si="68"/>
        <v>42604.208333333328</v>
      </c>
      <c r="N715">
        <v>1472878800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 s="9">
        <f t="shared" si="68"/>
        <v>41870.208333333336</v>
      </c>
      <c r="N716">
        <v>1408510800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 s="9">
        <f t="shared" si="68"/>
        <v>40397.208333333336</v>
      </c>
      <c r="N717">
        <v>1281589200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 s="9">
        <f t="shared" si="68"/>
        <v>41465.208333333336</v>
      </c>
      <c r="N718">
        <v>1375851600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 s="9">
        <f t="shared" si="68"/>
        <v>40777.208333333336</v>
      </c>
      <c r="N719">
        <v>1315803600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 s="9">
        <f t="shared" si="68"/>
        <v>41442.208333333336</v>
      </c>
      <c r="N720">
        <v>1373691600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 s="9">
        <f t="shared" si="68"/>
        <v>41058.208333333336</v>
      </c>
      <c r="N721">
        <v>1339218000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 s="9">
        <f t="shared" si="68"/>
        <v>43152.25</v>
      </c>
      <c r="N722">
        <v>1520402400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 s="9">
        <f t="shared" si="68"/>
        <v>43194.208333333328</v>
      </c>
      <c r="N723">
        <v>1523336400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 s="9">
        <f t="shared" si="68"/>
        <v>43045.25</v>
      </c>
      <c r="N724">
        <v>1512280800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 s="9">
        <f t="shared" si="68"/>
        <v>42431.25</v>
      </c>
      <c r="N725">
        <v>1458709200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 s="9">
        <f t="shared" si="68"/>
        <v>41934.208333333336</v>
      </c>
      <c r="N726">
        <v>1414126800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 s="9">
        <f t="shared" si="68"/>
        <v>41958.25</v>
      </c>
      <c r="N727">
        <v>1416204000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 s="9">
        <f t="shared" si="68"/>
        <v>40476.208333333336</v>
      </c>
      <c r="N728">
        <v>1288501200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 s="9">
        <f t="shared" si="68"/>
        <v>43485.25</v>
      </c>
      <c r="N729">
        <v>1552971600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 s="9">
        <f t="shared" si="68"/>
        <v>42515.208333333328</v>
      </c>
      <c r="N730">
        <v>1465102800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 s="9">
        <f t="shared" si="68"/>
        <v>41309.25</v>
      </c>
      <c r="N731">
        <v>1360130400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 s="9">
        <f t="shared" si="68"/>
        <v>42147.208333333328</v>
      </c>
      <c r="N732">
        <v>1432875600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 s="9">
        <f t="shared" si="68"/>
        <v>42939.208333333328</v>
      </c>
      <c r="N733">
        <v>1500872400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 s="9">
        <f t="shared" si="68"/>
        <v>42816.208333333328</v>
      </c>
      <c r="N734">
        <v>1492146000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 s="9">
        <f t="shared" si="68"/>
        <v>41844.208333333336</v>
      </c>
      <c r="N735">
        <v>1407301200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 s="9">
        <f t="shared" si="68"/>
        <v>42763.25</v>
      </c>
      <c r="N736">
        <v>1486620000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 s="9">
        <f t="shared" si="68"/>
        <v>42459.208333333328</v>
      </c>
      <c r="N737">
        <v>1459918800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 s="9">
        <f t="shared" si="68"/>
        <v>42055.25</v>
      </c>
      <c r="N738">
        <v>1424757600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 s="9">
        <f t="shared" si="68"/>
        <v>42685.25</v>
      </c>
      <c r="N739">
        <v>1479880800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 s="9">
        <f t="shared" si="68"/>
        <v>41959.25</v>
      </c>
      <c r="N740">
        <v>1418018400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 s="9">
        <f t="shared" si="68"/>
        <v>41089.208333333336</v>
      </c>
      <c r="N741">
        <v>1341032400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 s="9">
        <f t="shared" si="68"/>
        <v>42769.25</v>
      </c>
      <c r="N742">
        <v>1486360800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 s="9">
        <f t="shared" si="68"/>
        <v>40321.208333333336</v>
      </c>
      <c r="N743">
        <v>1274677200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 s="9">
        <f t="shared" si="68"/>
        <v>40197.25</v>
      </c>
      <c r="N744">
        <v>1267509600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 s="9">
        <f t="shared" si="68"/>
        <v>42298.208333333328</v>
      </c>
      <c r="N745">
        <v>1445922000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 s="9">
        <f t="shared" si="68"/>
        <v>43322.208333333328</v>
      </c>
      <c r="N746">
        <v>1534050000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 s="9">
        <f t="shared" si="68"/>
        <v>40328.208333333336</v>
      </c>
      <c r="N747">
        <v>1277528400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 s="9">
        <f t="shared" si="68"/>
        <v>40825.208333333336</v>
      </c>
      <c r="N748">
        <v>1318568400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 s="9">
        <f t="shared" si="68"/>
        <v>40423.208333333336</v>
      </c>
      <c r="N749">
        <v>1284354000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 s="9">
        <f t="shared" si="68"/>
        <v>40238.25</v>
      </c>
      <c r="N750">
        <v>1269579600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 s="9">
        <f t="shared" si="68"/>
        <v>41920.208333333336</v>
      </c>
      <c r="N751">
        <v>1413781200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 s="9">
        <f t="shared" si="68"/>
        <v>40360.208333333336</v>
      </c>
      <c r="N752">
        <v>1280120400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 s="9">
        <f t="shared" si="68"/>
        <v>42446.208333333328</v>
      </c>
      <c r="N753">
        <v>1459486800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 s="9">
        <f t="shared" si="68"/>
        <v>40395.208333333336</v>
      </c>
      <c r="N754">
        <v>1282539600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 s="9">
        <f t="shared" si="68"/>
        <v>40321.208333333336</v>
      </c>
      <c r="N755">
        <v>1275886800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 s="9">
        <f t="shared" si="68"/>
        <v>41210.208333333336</v>
      </c>
      <c r="N756">
        <v>1355983200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 s="9">
        <f t="shared" si="68"/>
        <v>43096.25</v>
      </c>
      <c r="N757">
        <v>1515391200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 s="9">
        <f t="shared" si="68"/>
        <v>42024.25</v>
      </c>
      <c r="N758">
        <v>1422252000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 s="9">
        <f t="shared" si="68"/>
        <v>40675.208333333336</v>
      </c>
      <c r="N759">
        <v>1305522000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 s="9">
        <f t="shared" si="68"/>
        <v>41936.208333333336</v>
      </c>
      <c r="N760">
        <v>1414904400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 s="9">
        <f t="shared" si="68"/>
        <v>43136.25</v>
      </c>
      <c r="N761">
        <v>1520402400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 s="9">
        <f t="shared" si="68"/>
        <v>43678.208333333328</v>
      </c>
      <c r="N762">
        <v>1567141200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 s="9">
        <f t="shared" si="68"/>
        <v>42938.208333333328</v>
      </c>
      <c r="N763">
        <v>1501131600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 s="9">
        <f t="shared" si="68"/>
        <v>41241.25</v>
      </c>
      <c r="N764">
        <v>1355032800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 s="9">
        <f t="shared" si="68"/>
        <v>41037.208333333336</v>
      </c>
      <c r="N765">
        <v>1339477200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 s="9">
        <f t="shared" si="68"/>
        <v>40676.208333333336</v>
      </c>
      <c r="N766">
        <v>1305954000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 s="9">
        <f t="shared" si="68"/>
        <v>42840.208333333328</v>
      </c>
      <c r="N767">
        <v>1494392400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 s="9">
        <f t="shared" si="68"/>
        <v>43362.208333333328</v>
      </c>
      <c r="N768">
        <v>1537419600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 s="9">
        <f t="shared" si="68"/>
        <v>42283.208333333328</v>
      </c>
      <c r="N769">
        <v>1447999200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IFERROR(E770/D770,0)</f>
        <v>2.31</v>
      </c>
      <c r="G770" t="s">
        <v>20</v>
      </c>
      <c r="H770">
        <v>150</v>
      </c>
      <c r="I770" s="6">
        <f t="shared" ref="I770:I833" si="73">IFERROR(E770/H770,0)</f>
        <v>73.92</v>
      </c>
      <c r="J770" t="s">
        <v>21</v>
      </c>
      <c r="K770" t="s">
        <v>22</v>
      </c>
      <c r="L770">
        <v>1386741600</v>
      </c>
      <c r="M770" s="9">
        <f t="shared" ref="M770:M833" si="74">(((L770/60)/60)/24)+DATE(1970,1,1)</f>
        <v>41619.25</v>
      </c>
      <c r="N770">
        <v>1388037600</v>
      </c>
      <c r="O770" s="9">
        <f t="shared" ref="O770:O833" si="75">(((N770/60)/60)/24)+DATE(1970,1,1)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6">LEFT(R770,SEARCH("/",R770)-1)</f>
        <v>theater</v>
      </c>
      <c r="T770" t="str">
        <f t="shared" ref="T770:T833" si="77">RIGHT(R770,LEN(R770)-SEARCH("/",R770))</f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0.86867834394904464</v>
      </c>
      <c r="G771" t="s">
        <v>14</v>
      </c>
      <c r="H771">
        <v>3410</v>
      </c>
      <c r="I771" s="6">
        <f t="shared" si="73"/>
        <v>31.995894428152493</v>
      </c>
      <c r="J771" t="s">
        <v>21</v>
      </c>
      <c r="K771" t="s">
        <v>22</v>
      </c>
      <c r="L771">
        <v>1376542800</v>
      </c>
      <c r="M771" s="9">
        <f t="shared" si="74"/>
        <v>41501.208333333336</v>
      </c>
      <c r="N771">
        <v>1378789200</v>
      </c>
      <c r="O771" s="9">
        <f t="shared" si="75"/>
        <v>41527.208333333336</v>
      </c>
      <c r="P771" t="b">
        <v>0</v>
      </c>
      <c r="Q771" t="b">
        <v>0</v>
      </c>
      <c r="R771" t="s">
        <v>89</v>
      </c>
      <c r="S771" t="str">
        <f t="shared" si="76"/>
        <v>games</v>
      </c>
      <c r="T771" t="str">
        <f t="shared" si="77"/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 s="9">
        <f t="shared" si="74"/>
        <v>41743.208333333336</v>
      </c>
      <c r="N772">
        <v>1398056400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 s="9">
        <f t="shared" si="74"/>
        <v>43491.25</v>
      </c>
      <c r="N773">
        <v>1550815200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 s="9">
        <f t="shared" si="74"/>
        <v>43505.25</v>
      </c>
      <c r="N774">
        <v>1550037600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 s="9">
        <f t="shared" si="74"/>
        <v>42838.208333333328</v>
      </c>
      <c r="N775">
        <v>1492923600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 s="9">
        <f t="shared" si="74"/>
        <v>42513.208333333328</v>
      </c>
      <c r="N776">
        <v>1467522000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 s="9">
        <f t="shared" si="74"/>
        <v>41949.25</v>
      </c>
      <c r="N777">
        <v>1416117600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 s="9">
        <f t="shared" si="74"/>
        <v>43650.208333333328</v>
      </c>
      <c r="N778">
        <v>1563771600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 s="9">
        <f t="shared" si="74"/>
        <v>40809.208333333336</v>
      </c>
      <c r="N779">
        <v>1319259600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 s="9">
        <f t="shared" si="74"/>
        <v>40768.208333333336</v>
      </c>
      <c r="N780">
        <v>1313643600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 s="9">
        <f t="shared" si="74"/>
        <v>42230.208333333328</v>
      </c>
      <c r="N781">
        <v>1440306000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 s="9">
        <f t="shared" si="74"/>
        <v>42573.208333333328</v>
      </c>
      <c r="N782">
        <v>1470805200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 s="9">
        <f t="shared" si="74"/>
        <v>40482.208333333336</v>
      </c>
      <c r="N783">
        <v>1292911200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 s="9">
        <f t="shared" si="74"/>
        <v>40603.25</v>
      </c>
      <c r="N784">
        <v>1301374800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 s="9">
        <f t="shared" si="74"/>
        <v>41625.25</v>
      </c>
      <c r="N785">
        <v>1387864800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 s="9">
        <f t="shared" si="74"/>
        <v>42435.25</v>
      </c>
      <c r="N786">
        <v>1458190800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 s="9">
        <f t="shared" si="74"/>
        <v>43582.208333333328</v>
      </c>
      <c r="N787">
        <v>1559278800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 s="9">
        <f t="shared" si="74"/>
        <v>43186.208333333328</v>
      </c>
      <c r="N788">
        <v>1522731600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 s="9">
        <f t="shared" si="74"/>
        <v>40684.208333333336</v>
      </c>
      <c r="N789">
        <v>1306731600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 s="9">
        <f t="shared" si="74"/>
        <v>41202.208333333336</v>
      </c>
      <c r="N790">
        <v>1352527200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 s="9">
        <f t="shared" si="74"/>
        <v>41786.208333333336</v>
      </c>
      <c r="N791">
        <v>1404363600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 s="9">
        <f t="shared" si="74"/>
        <v>40223.25</v>
      </c>
      <c r="N792">
        <v>1266645600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 s="9">
        <f t="shared" si="74"/>
        <v>42715.25</v>
      </c>
      <c r="N793">
        <v>1482818400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 s="9">
        <f t="shared" si="74"/>
        <v>41451.208333333336</v>
      </c>
      <c r="N794">
        <v>1374642000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 s="9">
        <f t="shared" si="74"/>
        <v>41450.208333333336</v>
      </c>
      <c r="N795">
        <v>1372482000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 s="9">
        <f t="shared" si="74"/>
        <v>43091.25</v>
      </c>
      <c r="N796">
        <v>1514959200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 s="9">
        <f t="shared" si="74"/>
        <v>42675.208333333328</v>
      </c>
      <c r="N797">
        <v>1478235600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 s="9">
        <f t="shared" si="74"/>
        <v>41859.208333333336</v>
      </c>
      <c r="N798">
        <v>1408078800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 s="9">
        <f t="shared" si="74"/>
        <v>43464.25</v>
      </c>
      <c r="N799">
        <v>1548136800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 s="9">
        <f t="shared" si="74"/>
        <v>41060.208333333336</v>
      </c>
      <c r="N800">
        <v>1340859600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 s="9">
        <f t="shared" si="74"/>
        <v>42399.25</v>
      </c>
      <c r="N801">
        <v>1454479200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 s="9">
        <f t="shared" si="74"/>
        <v>42167.208333333328</v>
      </c>
      <c r="N802">
        <v>1434430800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 s="9">
        <f t="shared" si="74"/>
        <v>43830.25</v>
      </c>
      <c r="N803">
        <v>1579672800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 s="9">
        <f t="shared" si="74"/>
        <v>43650.208333333328</v>
      </c>
      <c r="N804">
        <v>1562389200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 s="9">
        <f t="shared" si="74"/>
        <v>43492.25</v>
      </c>
      <c r="N805">
        <v>1551506400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 s="9">
        <f t="shared" si="74"/>
        <v>43102.25</v>
      </c>
      <c r="N806">
        <v>1516600800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 s="9">
        <f t="shared" si="74"/>
        <v>41958.25</v>
      </c>
      <c r="N807">
        <v>1420437600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 s="9">
        <f t="shared" si="74"/>
        <v>40973.25</v>
      </c>
      <c r="N808">
        <v>1332997200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 s="9">
        <f t="shared" si="74"/>
        <v>43753.208333333328</v>
      </c>
      <c r="N809">
        <v>1574920800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 s="9">
        <f t="shared" si="74"/>
        <v>42507.208333333328</v>
      </c>
      <c r="N810">
        <v>1464930000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 s="9">
        <f t="shared" si="74"/>
        <v>41135.208333333336</v>
      </c>
      <c r="N811">
        <v>1345006800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 s="9">
        <f t="shared" si="74"/>
        <v>43067.25</v>
      </c>
      <c r="N812">
        <v>1512712800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 s="9">
        <f t="shared" si="74"/>
        <v>42378.25</v>
      </c>
      <c r="N813">
        <v>1452492000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 s="9">
        <f t="shared" si="74"/>
        <v>43206.208333333328</v>
      </c>
      <c r="N814">
        <v>1524286800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 s="9">
        <f t="shared" si="74"/>
        <v>41148.208333333336</v>
      </c>
      <c r="N815">
        <v>1346907600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 s="9">
        <f t="shared" si="74"/>
        <v>42517.208333333328</v>
      </c>
      <c r="N816">
        <v>1464498000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 s="9">
        <f t="shared" si="74"/>
        <v>43068.25</v>
      </c>
      <c r="N817">
        <v>1514181600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 s="9">
        <f t="shared" si="74"/>
        <v>41680.25</v>
      </c>
      <c r="N818">
        <v>1392184800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 s="9">
        <f t="shared" si="74"/>
        <v>43589.208333333328</v>
      </c>
      <c r="N819">
        <v>1559365200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 s="9">
        <f t="shared" si="74"/>
        <v>43486.25</v>
      </c>
      <c r="N820">
        <v>1549173600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 s="9">
        <f t="shared" si="74"/>
        <v>41237.25</v>
      </c>
      <c r="N821">
        <v>1355032800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 s="9">
        <f t="shared" si="74"/>
        <v>43310.208333333328</v>
      </c>
      <c r="N822">
        <v>1533963600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 s="9">
        <f t="shared" si="74"/>
        <v>42794.25</v>
      </c>
      <c r="N823">
        <v>1489381200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 s="9">
        <f t="shared" si="74"/>
        <v>41698.25</v>
      </c>
      <c r="N824">
        <v>1395032400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 s="9">
        <f t="shared" si="74"/>
        <v>41892.208333333336</v>
      </c>
      <c r="N825">
        <v>1412485200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 s="9">
        <f t="shared" si="74"/>
        <v>40348.208333333336</v>
      </c>
      <c r="N826">
        <v>1279688400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 s="9">
        <f t="shared" si="74"/>
        <v>42941.208333333328</v>
      </c>
      <c r="N827">
        <v>1501995600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 s="9">
        <f t="shared" si="74"/>
        <v>40525.25</v>
      </c>
      <c r="N828">
        <v>1294639200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 s="9">
        <f t="shared" si="74"/>
        <v>40666.208333333336</v>
      </c>
      <c r="N829">
        <v>1305435600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 s="9">
        <f t="shared" si="74"/>
        <v>43340.208333333328</v>
      </c>
      <c r="N830">
        <v>1537592400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 s="9">
        <f t="shared" si="74"/>
        <v>42164.208333333328</v>
      </c>
      <c r="N831">
        <v>1435122000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 s="9">
        <f t="shared" si="74"/>
        <v>43103.25</v>
      </c>
      <c r="N832">
        <v>1520056800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 s="9">
        <f t="shared" si="74"/>
        <v>40994.208333333336</v>
      </c>
      <c r="N833">
        <v>1335675600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IFERROR(E834/D834,0)</f>
        <v>3.1517592592592591</v>
      </c>
      <c r="G834" t="s">
        <v>20</v>
      </c>
      <c r="H834">
        <v>1297</v>
      </c>
      <c r="I834" s="6">
        <f t="shared" ref="I834:I897" si="79">IFERROR(E834/H834,0)</f>
        <v>104.97764070932922</v>
      </c>
      <c r="J834" t="s">
        <v>36</v>
      </c>
      <c r="K834" t="s">
        <v>37</v>
      </c>
      <c r="L834">
        <v>1445490000</v>
      </c>
      <c r="M834" s="9">
        <f t="shared" ref="M834:M897" si="80">(((L834/60)/60)/24)+DATE(1970,1,1)</f>
        <v>42299.208333333328</v>
      </c>
      <c r="N834">
        <v>1448431200</v>
      </c>
      <c r="O834" s="9">
        <f t="shared" ref="O834:O897" si="81">(((N834/60)/60)/24)+DATE(1970,1,1)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2">LEFT(R834,SEARCH("/",R834)-1)</f>
        <v>publishing</v>
      </c>
      <c r="T834" t="str">
        <f t="shared" ref="T834:T897" si="83">RIGHT(R834,LEN(R834)-SEARCH("/",R834))</f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1.5769117647058823</v>
      </c>
      <c r="G835" t="s">
        <v>20</v>
      </c>
      <c r="H835">
        <v>165</v>
      </c>
      <c r="I835" s="6">
        <f t="shared" si="79"/>
        <v>64.987878787878785</v>
      </c>
      <c r="J835" t="s">
        <v>36</v>
      </c>
      <c r="K835" t="s">
        <v>37</v>
      </c>
      <c r="L835">
        <v>1297663200</v>
      </c>
      <c r="M835" s="9">
        <f t="shared" si="80"/>
        <v>40588.25</v>
      </c>
      <c r="N835">
        <v>1298613600</v>
      </c>
      <c r="O835" s="9">
        <f t="shared" si="81"/>
        <v>40599.25</v>
      </c>
      <c r="P835" t="b">
        <v>0</v>
      </c>
      <c r="Q835" t="b">
        <v>0</v>
      </c>
      <c r="R835" t="s">
        <v>206</v>
      </c>
      <c r="S835" t="str">
        <f t="shared" si="82"/>
        <v>publishing</v>
      </c>
      <c r="T835" t="str">
        <f t="shared" si="83"/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 s="9">
        <f t="shared" si="80"/>
        <v>41448.208333333336</v>
      </c>
      <c r="N836">
        <v>1372482000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 s="9">
        <f t="shared" si="80"/>
        <v>42063.25</v>
      </c>
      <c r="N837">
        <v>1425621600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 s="9">
        <f t="shared" si="80"/>
        <v>40214.25</v>
      </c>
      <c r="N838">
        <v>1266300000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 s="9">
        <f t="shared" si="80"/>
        <v>40629.208333333336</v>
      </c>
      <c r="N839">
        <v>1305867600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 s="9">
        <f t="shared" si="80"/>
        <v>43370.208333333328</v>
      </c>
      <c r="N840">
        <v>1538802000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 s="9">
        <f t="shared" si="80"/>
        <v>41715.208333333336</v>
      </c>
      <c r="N841">
        <v>1398920400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 s="9">
        <f t="shared" si="80"/>
        <v>41836.208333333336</v>
      </c>
      <c r="N842">
        <v>1405659600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 s="9">
        <f t="shared" si="80"/>
        <v>42419.25</v>
      </c>
      <c r="N843">
        <v>1457244000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 s="9">
        <f t="shared" si="80"/>
        <v>43266.208333333328</v>
      </c>
      <c r="N844">
        <v>1529298000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 s="9">
        <f t="shared" si="80"/>
        <v>43338.208333333328</v>
      </c>
      <c r="N845">
        <v>1535778000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 s="9">
        <f t="shared" si="80"/>
        <v>40930.25</v>
      </c>
      <c r="N846">
        <v>1327471200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 s="9">
        <f t="shared" si="80"/>
        <v>43235.208333333328</v>
      </c>
      <c r="N847">
        <v>1529557200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 s="9">
        <f t="shared" si="80"/>
        <v>43302.208333333328</v>
      </c>
      <c r="N848">
        <v>1535259600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 s="9">
        <f t="shared" si="80"/>
        <v>43107.25</v>
      </c>
      <c r="N849">
        <v>1515564000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 s="9">
        <f t="shared" si="80"/>
        <v>40341.208333333336</v>
      </c>
      <c r="N850">
        <v>1277096400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 s="9">
        <f t="shared" si="80"/>
        <v>40948.25</v>
      </c>
      <c r="N851">
        <v>1329026400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 s="9">
        <f t="shared" si="80"/>
        <v>40866.25</v>
      </c>
      <c r="N852">
        <v>1322978400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 s="9">
        <f t="shared" si="80"/>
        <v>41031.208333333336</v>
      </c>
      <c r="N853">
        <v>1338786000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 s="9">
        <f t="shared" si="80"/>
        <v>40740.208333333336</v>
      </c>
      <c r="N854">
        <v>1311656400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 s="9">
        <f t="shared" si="80"/>
        <v>40714.208333333336</v>
      </c>
      <c r="N855">
        <v>1308978000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 s="9">
        <f t="shared" si="80"/>
        <v>43787.25</v>
      </c>
      <c r="N856">
        <v>1576389600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 s="9">
        <f t="shared" si="80"/>
        <v>40712.208333333336</v>
      </c>
      <c r="N857">
        <v>1311051600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 s="9">
        <f t="shared" si="80"/>
        <v>41023.208333333336</v>
      </c>
      <c r="N858">
        <v>1336712400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 s="9">
        <f t="shared" si="80"/>
        <v>40944.25</v>
      </c>
      <c r="N859">
        <v>1330408800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 s="9">
        <f t="shared" si="80"/>
        <v>43211.208333333328</v>
      </c>
      <c r="N860">
        <v>1524891600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 s="9">
        <f t="shared" si="80"/>
        <v>41334.25</v>
      </c>
      <c r="N861">
        <v>1363669200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 s="9">
        <f t="shared" si="80"/>
        <v>43515.25</v>
      </c>
      <c r="N862">
        <v>1551420000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 s="9">
        <f t="shared" si="80"/>
        <v>40258.208333333336</v>
      </c>
      <c r="N863">
        <v>1269838800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 s="9">
        <f t="shared" si="80"/>
        <v>40756.208333333336</v>
      </c>
      <c r="N864">
        <v>1312520400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 s="9">
        <f t="shared" si="80"/>
        <v>42172.208333333328</v>
      </c>
      <c r="N865">
        <v>1436504400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 s="9">
        <f t="shared" si="80"/>
        <v>42601.208333333328</v>
      </c>
      <c r="N866">
        <v>1472014800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 s="9">
        <f t="shared" si="80"/>
        <v>41897.208333333336</v>
      </c>
      <c r="N867">
        <v>1411534800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 s="9">
        <f t="shared" si="80"/>
        <v>40671.208333333336</v>
      </c>
      <c r="N868">
        <v>1304917200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 s="9">
        <f t="shared" si="80"/>
        <v>43382.208333333328</v>
      </c>
      <c r="N869">
        <v>1539579600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 s="9">
        <f t="shared" si="80"/>
        <v>41559.208333333336</v>
      </c>
      <c r="N870">
        <v>1382504400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 s="9">
        <f t="shared" si="80"/>
        <v>40350.208333333336</v>
      </c>
      <c r="N871">
        <v>1278306000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 s="9">
        <f t="shared" si="80"/>
        <v>42240.208333333328</v>
      </c>
      <c r="N872">
        <v>1442552400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 s="9">
        <f t="shared" si="80"/>
        <v>43040.208333333328</v>
      </c>
      <c r="N873">
        <v>1511071200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 s="9">
        <f t="shared" si="80"/>
        <v>43346.208333333328</v>
      </c>
      <c r="N874">
        <v>1536382800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 s="9">
        <f t="shared" si="80"/>
        <v>41647.25</v>
      </c>
      <c r="N875">
        <v>1389592800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 s="9">
        <f t="shared" si="80"/>
        <v>40291.208333333336</v>
      </c>
      <c r="N876">
        <v>1275282000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 s="9">
        <f t="shared" si="80"/>
        <v>40556.25</v>
      </c>
      <c r="N877">
        <v>1294984800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 s="9">
        <f t="shared" si="80"/>
        <v>43624.208333333328</v>
      </c>
      <c r="N878">
        <v>1562043600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 s="9">
        <f t="shared" si="80"/>
        <v>42577.208333333328</v>
      </c>
      <c r="N879">
        <v>1469595600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 s="9">
        <f t="shared" si="80"/>
        <v>43845.25</v>
      </c>
      <c r="N880">
        <v>1581141600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 s="9">
        <f t="shared" si="80"/>
        <v>42788.25</v>
      </c>
      <c r="N881">
        <v>1488520800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 s="9">
        <f t="shared" si="80"/>
        <v>43667.208333333328</v>
      </c>
      <c r="N882">
        <v>1563858000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 s="9">
        <f t="shared" si="80"/>
        <v>42194.208333333328</v>
      </c>
      <c r="N883">
        <v>1438923600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 s="9">
        <f t="shared" si="80"/>
        <v>42025.25</v>
      </c>
      <c r="N884">
        <v>1422165600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 s="9">
        <f t="shared" si="80"/>
        <v>40323.208333333336</v>
      </c>
      <c r="N885">
        <v>1277874000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 s="9">
        <f t="shared" si="80"/>
        <v>41763.208333333336</v>
      </c>
      <c r="N886">
        <v>1399352400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 s="9">
        <f t="shared" si="80"/>
        <v>40335.208333333336</v>
      </c>
      <c r="N887">
        <v>1279083600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 s="9">
        <f t="shared" si="80"/>
        <v>40416.208333333336</v>
      </c>
      <c r="N888">
        <v>1284354000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 s="9">
        <f t="shared" si="80"/>
        <v>42202.208333333328</v>
      </c>
      <c r="N889">
        <v>1441170000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 s="9">
        <f t="shared" si="80"/>
        <v>42836.208333333328</v>
      </c>
      <c r="N890">
        <v>1493528400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 s="9">
        <f t="shared" si="80"/>
        <v>41710.208333333336</v>
      </c>
      <c r="N891">
        <v>1395205200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 s="9">
        <f t="shared" si="80"/>
        <v>43640.208333333328</v>
      </c>
      <c r="N892">
        <v>1561438800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 s="9">
        <f t="shared" si="80"/>
        <v>40880.25</v>
      </c>
      <c r="N893">
        <v>1326693600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 s="9">
        <f t="shared" si="80"/>
        <v>40319.208333333336</v>
      </c>
      <c r="N894">
        <v>1277960400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 s="9">
        <f t="shared" si="80"/>
        <v>42170.208333333328</v>
      </c>
      <c r="N895">
        <v>1434690000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 s="9">
        <f t="shared" si="80"/>
        <v>41466.208333333336</v>
      </c>
      <c r="N896">
        <v>1376110800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 s="9">
        <f t="shared" si="80"/>
        <v>43134.25</v>
      </c>
      <c r="N897">
        <v>1518415200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IFERROR(E898/D898,0)</f>
        <v>7.7443434343434348</v>
      </c>
      <c r="G898" t="s">
        <v>20</v>
      </c>
      <c r="H898">
        <v>1460</v>
      </c>
      <c r="I898" s="6">
        <f t="shared" ref="I898:I961" si="85">IFERROR(E898/H898,0)</f>
        <v>105.02602739726028</v>
      </c>
      <c r="J898" t="s">
        <v>26</v>
      </c>
      <c r="K898" t="s">
        <v>27</v>
      </c>
      <c r="L898">
        <v>1310619600</v>
      </c>
      <c r="M898" s="9">
        <f t="shared" ref="M898:M961" si="86">(((L898/60)/60)/24)+DATE(1970,1,1)</f>
        <v>40738.208333333336</v>
      </c>
      <c r="N898">
        <v>1310878800</v>
      </c>
      <c r="O898" s="9">
        <f t="shared" ref="O898:O961" si="87">(((N898/60)/60)/24)+DATE(1970,1,1)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8">LEFT(R898,SEARCH("/",R898)-1)</f>
        <v>food</v>
      </c>
      <c r="T898" t="str">
        <f t="shared" ref="T898:T961" si="89">RIGHT(R898,LEN(R898)-SEARCH("/",R898))</f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0.27693181818181817</v>
      </c>
      <c r="G899" t="s">
        <v>14</v>
      </c>
      <c r="H899">
        <v>27</v>
      </c>
      <c r="I899" s="6">
        <f t="shared" si="85"/>
        <v>90.259259259259252</v>
      </c>
      <c r="J899" t="s">
        <v>21</v>
      </c>
      <c r="K899" t="s">
        <v>22</v>
      </c>
      <c r="L899">
        <v>1556427600</v>
      </c>
      <c r="M899" s="9">
        <f t="shared" si="86"/>
        <v>43583.208333333328</v>
      </c>
      <c r="N899">
        <v>1556600400</v>
      </c>
      <c r="O899" s="9">
        <f t="shared" si="87"/>
        <v>43585.208333333328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 s="9">
        <f t="shared" si="86"/>
        <v>43815.25</v>
      </c>
      <c r="N900">
        <v>1576994400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 s="9">
        <f t="shared" si="86"/>
        <v>41554.208333333336</v>
      </c>
      <c r="N901">
        <v>1382677200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 s="9">
        <f t="shared" si="86"/>
        <v>41901.208333333336</v>
      </c>
      <c r="N902">
        <v>1411189200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 s="9">
        <f t="shared" si="86"/>
        <v>43298.208333333328</v>
      </c>
      <c r="N903">
        <v>1534654800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 s="9">
        <f t="shared" si="86"/>
        <v>42399.25</v>
      </c>
      <c r="N904">
        <v>1457762400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 s="9">
        <f t="shared" si="86"/>
        <v>41034.208333333336</v>
      </c>
      <c r="N905">
        <v>1337490000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 s="9">
        <f t="shared" si="86"/>
        <v>41186.208333333336</v>
      </c>
      <c r="N906">
        <v>1349672400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 s="9">
        <f t="shared" si="86"/>
        <v>41536.208333333336</v>
      </c>
      <c r="N907">
        <v>1379826000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 s="9">
        <f t="shared" si="86"/>
        <v>42868.208333333328</v>
      </c>
      <c r="N908">
        <v>1497762000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 s="9">
        <f t="shared" si="86"/>
        <v>40660.208333333336</v>
      </c>
      <c r="N909">
        <v>1304485200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 s="9">
        <f t="shared" si="86"/>
        <v>41031.208333333336</v>
      </c>
      <c r="N910">
        <v>1336885200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 s="9">
        <f t="shared" si="86"/>
        <v>43255.208333333328</v>
      </c>
      <c r="N911">
        <v>1530421200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 s="9">
        <f t="shared" si="86"/>
        <v>42026.25</v>
      </c>
      <c r="N912">
        <v>1421992800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 s="9">
        <f t="shared" si="86"/>
        <v>43717.208333333328</v>
      </c>
      <c r="N913">
        <v>1568178000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 s="9">
        <f t="shared" si="86"/>
        <v>41157.208333333336</v>
      </c>
      <c r="N914">
        <v>1347944400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 s="9">
        <f t="shared" si="86"/>
        <v>43597.208333333328</v>
      </c>
      <c r="N915">
        <v>1558760400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 s="9">
        <f t="shared" si="86"/>
        <v>41490.208333333336</v>
      </c>
      <c r="N916">
        <v>1376629200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 s="9">
        <f t="shared" si="86"/>
        <v>42976.208333333328</v>
      </c>
      <c r="N917">
        <v>1504760400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 s="9">
        <f t="shared" si="86"/>
        <v>41991.25</v>
      </c>
      <c r="N918">
        <v>1419660000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 s="9">
        <f t="shared" si="86"/>
        <v>40722.208333333336</v>
      </c>
      <c r="N919">
        <v>1311310800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 s="9">
        <f t="shared" si="86"/>
        <v>41117.208333333336</v>
      </c>
      <c r="N920">
        <v>1344315600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 s="9">
        <f t="shared" si="86"/>
        <v>43022.208333333328</v>
      </c>
      <c r="N921">
        <v>1510725600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 s="9">
        <f t="shared" si="86"/>
        <v>43503.25</v>
      </c>
      <c r="N922">
        <v>1551247200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 s="9">
        <f t="shared" si="86"/>
        <v>40951.25</v>
      </c>
      <c r="N923">
        <v>1330236000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 s="9">
        <f t="shared" si="86"/>
        <v>43443.25</v>
      </c>
      <c r="N924">
        <v>1545112800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 s="9">
        <f t="shared" si="86"/>
        <v>40373.208333333336</v>
      </c>
      <c r="N925">
        <v>1279170000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 s="9">
        <f t="shared" si="86"/>
        <v>43769.208333333328</v>
      </c>
      <c r="N926">
        <v>1573452000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 s="9">
        <f t="shared" si="86"/>
        <v>43000.208333333328</v>
      </c>
      <c r="N927">
        <v>1507093200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 s="9">
        <f t="shared" si="86"/>
        <v>42502.208333333328</v>
      </c>
      <c r="N928">
        <v>1463374800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 s="9">
        <f t="shared" si="86"/>
        <v>41102.208333333336</v>
      </c>
      <c r="N929">
        <v>1344574800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 s="9">
        <f t="shared" si="86"/>
        <v>41637.25</v>
      </c>
      <c r="N930">
        <v>1389074400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 s="9">
        <f t="shared" si="86"/>
        <v>42858.208333333328</v>
      </c>
      <c r="N931">
        <v>1494997200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 s="9">
        <f t="shared" si="86"/>
        <v>42060.25</v>
      </c>
      <c r="N932">
        <v>1425448800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 s="9">
        <f t="shared" si="86"/>
        <v>41818.208333333336</v>
      </c>
      <c r="N933">
        <v>1404104400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 s="9">
        <f t="shared" si="86"/>
        <v>41709.208333333336</v>
      </c>
      <c r="N934">
        <v>1394773200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 s="9">
        <f t="shared" si="86"/>
        <v>41372.208333333336</v>
      </c>
      <c r="N935">
        <v>1366520400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 s="9">
        <f t="shared" si="86"/>
        <v>42422.25</v>
      </c>
      <c r="N936">
        <v>1456639200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 s="9">
        <f t="shared" si="86"/>
        <v>42209.208333333328</v>
      </c>
      <c r="N937">
        <v>1438318800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 s="9">
        <f t="shared" si="86"/>
        <v>43668.208333333328</v>
      </c>
      <c r="N938">
        <v>1564030800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 s="9">
        <f t="shared" si="86"/>
        <v>42334.25</v>
      </c>
      <c r="N939">
        <v>1449295200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 s="9">
        <f t="shared" si="86"/>
        <v>43263.208333333328</v>
      </c>
      <c r="N940">
        <v>1531890000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 s="9">
        <f t="shared" si="86"/>
        <v>40670.208333333336</v>
      </c>
      <c r="N941">
        <v>1306213200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 s="9">
        <f t="shared" si="86"/>
        <v>41244.25</v>
      </c>
      <c r="N942">
        <v>1356242400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 s="9">
        <f t="shared" si="86"/>
        <v>40552.25</v>
      </c>
      <c r="N943">
        <v>1297576800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 s="9">
        <f t="shared" si="86"/>
        <v>40568.25</v>
      </c>
      <c r="N944">
        <v>1296194400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 s="9">
        <f t="shared" si="86"/>
        <v>41906.208333333336</v>
      </c>
      <c r="N945">
        <v>1414558800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 s="9">
        <f t="shared" si="86"/>
        <v>42776.25</v>
      </c>
      <c r="N946">
        <v>1488348000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 s="9">
        <f t="shared" si="86"/>
        <v>41004.208333333336</v>
      </c>
      <c r="N947">
        <v>1334898000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 s="9">
        <f t="shared" si="86"/>
        <v>40710.208333333336</v>
      </c>
      <c r="N948">
        <v>1308373200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 s="9">
        <f t="shared" si="86"/>
        <v>41908.208333333336</v>
      </c>
      <c r="N949">
        <v>1412312400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 s="9">
        <f t="shared" si="86"/>
        <v>41985.25</v>
      </c>
      <c r="N950">
        <v>1419228000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 s="9">
        <f t="shared" si="86"/>
        <v>42112.208333333328</v>
      </c>
      <c r="N951">
        <v>1430974800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 s="9">
        <f t="shared" si="86"/>
        <v>43571.208333333328</v>
      </c>
      <c r="N952">
        <v>1555822800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 s="9">
        <f t="shared" si="86"/>
        <v>42730.25</v>
      </c>
      <c r="N953">
        <v>1482818400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 s="9">
        <f t="shared" si="86"/>
        <v>42591.208333333328</v>
      </c>
      <c r="N954">
        <v>1471928400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 s="9">
        <f t="shared" si="86"/>
        <v>42358.25</v>
      </c>
      <c r="N955">
        <v>1453701600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 s="9">
        <f t="shared" si="86"/>
        <v>41174.208333333336</v>
      </c>
      <c r="N956">
        <v>1350363600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 s="9">
        <f t="shared" si="86"/>
        <v>41238.25</v>
      </c>
      <c r="N957">
        <v>1353996000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 s="9">
        <f t="shared" si="86"/>
        <v>42360.25</v>
      </c>
      <c r="N958">
        <v>1451109600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 s="9">
        <f t="shared" si="86"/>
        <v>40955.25</v>
      </c>
      <c r="N959">
        <v>1329631200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 s="9">
        <f t="shared" si="86"/>
        <v>40350.208333333336</v>
      </c>
      <c r="N960">
        <v>1278997200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 s="9">
        <f t="shared" si="86"/>
        <v>40357.208333333336</v>
      </c>
      <c r="N961">
        <v>1280120400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90">IFERROR(E962/D962,0)</f>
        <v>0.85054545454545449</v>
      </c>
      <c r="G962" t="s">
        <v>14</v>
      </c>
      <c r="H962">
        <v>55</v>
      </c>
      <c r="I962" s="6">
        <f t="shared" ref="I962:I1001" si="91">IFERROR(E962/H962,0)</f>
        <v>85.054545454545448</v>
      </c>
      <c r="J962" t="s">
        <v>21</v>
      </c>
      <c r="K962" t="s">
        <v>22</v>
      </c>
      <c r="L962">
        <v>1454911200</v>
      </c>
      <c r="M962" s="9">
        <f t="shared" ref="M962:M1001" si="92">(((L962/60)/60)/24)+DATE(1970,1,1)</f>
        <v>42408.25</v>
      </c>
      <c r="N962">
        <v>1458104400</v>
      </c>
      <c r="O962" s="9">
        <f t="shared" ref="O962:O1001" si="93">(((N962/60)/60)/24)+DATE(1970,1,1)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1001" si="94">LEFT(R962,SEARCH("/",R962)-1)</f>
        <v>technology</v>
      </c>
      <c r="T962" t="str">
        <f t="shared" ref="T962:T1001" si="95">RIGHT(R962,LEN(R962)-SEARCH("/",R962))</f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1.1929824561403508</v>
      </c>
      <c r="G963" t="s">
        <v>20</v>
      </c>
      <c r="H963">
        <v>155</v>
      </c>
      <c r="I963" s="6">
        <f t="shared" si="91"/>
        <v>43.87096774193548</v>
      </c>
      <c r="J963" t="s">
        <v>21</v>
      </c>
      <c r="K963" t="s">
        <v>22</v>
      </c>
      <c r="L963">
        <v>1297922400</v>
      </c>
      <c r="M963" s="9">
        <f t="shared" si="92"/>
        <v>40591.25</v>
      </c>
      <c r="N963">
        <v>1298268000</v>
      </c>
      <c r="O963" s="9">
        <f t="shared" si="93"/>
        <v>40595.25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 s="9">
        <f t="shared" si="92"/>
        <v>41592.25</v>
      </c>
      <c r="N964">
        <v>1386223200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 s="9">
        <f t="shared" si="92"/>
        <v>40607.25</v>
      </c>
      <c r="N965">
        <v>1299823200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 s="9">
        <f t="shared" si="92"/>
        <v>42135.208333333328</v>
      </c>
      <c r="N966">
        <v>1431752400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 s="9">
        <f t="shared" si="92"/>
        <v>40203.25</v>
      </c>
      <c r="N967">
        <v>1267855200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 s="9">
        <f t="shared" si="92"/>
        <v>42901.208333333328</v>
      </c>
      <c r="N968">
        <v>1497675600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 s="9">
        <f t="shared" si="92"/>
        <v>41005.208333333336</v>
      </c>
      <c r="N969">
        <v>1336885200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 s="9">
        <f t="shared" si="92"/>
        <v>40544.25</v>
      </c>
      <c r="N970">
        <v>1295157600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 s="9">
        <f t="shared" si="92"/>
        <v>43821.25</v>
      </c>
      <c r="N971">
        <v>1577599200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 s="9">
        <f t="shared" si="92"/>
        <v>40672.208333333336</v>
      </c>
      <c r="N972">
        <v>1305003600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 s="9">
        <f t="shared" si="92"/>
        <v>41555.208333333336</v>
      </c>
      <c r="N973">
        <v>1381726800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 s="9">
        <f t="shared" si="92"/>
        <v>41792.208333333336</v>
      </c>
      <c r="N974">
        <v>1402462800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 s="9">
        <f t="shared" si="92"/>
        <v>40522.25</v>
      </c>
      <c r="N975">
        <v>1292133600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 s="9">
        <f t="shared" si="92"/>
        <v>41412.208333333336</v>
      </c>
      <c r="N976">
        <v>1368939600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 s="9">
        <f t="shared" si="92"/>
        <v>42337.25</v>
      </c>
      <c r="N977">
        <v>1452146400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 s="9">
        <f t="shared" si="92"/>
        <v>40571.25</v>
      </c>
      <c r="N978">
        <v>1296712800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 s="9">
        <f t="shared" si="92"/>
        <v>43138.25</v>
      </c>
      <c r="N979">
        <v>1520748000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 s="9">
        <f t="shared" si="92"/>
        <v>42686.25</v>
      </c>
      <c r="N980">
        <v>1480831200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 s="9">
        <f t="shared" si="92"/>
        <v>42078.208333333328</v>
      </c>
      <c r="N981">
        <v>1426914000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 s="9">
        <f t="shared" si="92"/>
        <v>42307.208333333328</v>
      </c>
      <c r="N982">
        <v>1446616800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 s="9">
        <f t="shared" si="92"/>
        <v>43094.25</v>
      </c>
      <c r="N983">
        <v>1517032800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 s="9">
        <f t="shared" si="92"/>
        <v>40743.208333333336</v>
      </c>
      <c r="N984">
        <v>1311224400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 s="9">
        <f t="shared" si="92"/>
        <v>43681.208333333328</v>
      </c>
      <c r="N985">
        <v>1566190800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 s="9">
        <f t="shared" si="92"/>
        <v>43716.208333333328</v>
      </c>
      <c r="N986">
        <v>1570165200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 s="9">
        <f t="shared" si="92"/>
        <v>41614.25</v>
      </c>
      <c r="N987">
        <v>1388556000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 s="9">
        <f t="shared" si="92"/>
        <v>40638.208333333336</v>
      </c>
      <c r="N988">
        <v>1303189200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 s="9">
        <f t="shared" si="92"/>
        <v>42852.208333333328</v>
      </c>
      <c r="N989">
        <v>1494478800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 s="9">
        <f t="shared" si="92"/>
        <v>42686.25</v>
      </c>
      <c r="N990">
        <v>1480744800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 s="9">
        <f t="shared" si="92"/>
        <v>43571.208333333328</v>
      </c>
      <c r="N991">
        <v>1555822800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 s="9">
        <f t="shared" si="92"/>
        <v>42432.25</v>
      </c>
      <c r="N992">
        <v>1458882000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 s="9">
        <f t="shared" si="92"/>
        <v>41907.208333333336</v>
      </c>
      <c r="N993">
        <v>1411966800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 s="9">
        <f t="shared" si="92"/>
        <v>43227.208333333328</v>
      </c>
      <c r="N994">
        <v>1526878800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 s="9">
        <f t="shared" si="92"/>
        <v>42362.25</v>
      </c>
      <c r="N995">
        <v>1452405600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 s="9">
        <f t="shared" si="92"/>
        <v>41929.208333333336</v>
      </c>
      <c r="N996">
        <v>1414040400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 s="9">
        <f t="shared" si="92"/>
        <v>43408.208333333328</v>
      </c>
      <c r="N997">
        <v>1543816800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 s="9">
        <f t="shared" si="92"/>
        <v>41276.25</v>
      </c>
      <c r="N998">
        <v>1359698400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 s="9">
        <f t="shared" si="92"/>
        <v>41659.25</v>
      </c>
      <c r="N999">
        <v>1390629600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 s="9">
        <f t="shared" si="92"/>
        <v>40220.25</v>
      </c>
      <c r="N1000">
        <v>1267077600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 s="9">
        <f t="shared" si="92"/>
        <v>42550.208333333328</v>
      </c>
      <c r="N1001">
        <v>1467781200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ontainsText" dxfId="3" priority="9" operator="containsText" text="successful">
      <formula>NOT(ISERROR(SEARCH("successful",G1)))</formula>
    </cfRule>
    <cfRule type="containsText" dxfId="2" priority="10" operator="containsText" text="live">
      <formula>NOT(ISERROR(SEARCH("live",G1)))</formula>
    </cfRule>
    <cfRule type="containsText" dxfId="1" priority="11" operator="containsText" text="canceled">
      <formula>NOT(ISERROR(SEARCH("canceled",G1)))</formula>
    </cfRule>
    <cfRule type="containsText" dxfId="0" priority="12" operator="containsText" text="failed">
      <formula>NOT(ISERROR(SEARCH("failed",G1)))</formula>
    </cfRule>
  </conditionalFormatting>
  <conditionalFormatting sqref="F1:F1048576">
    <cfRule type="colorScale" priority="2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My Own Summary Statistics Table</vt:lpstr>
      <vt:lpstr>Crowdfunding Goal Analysis</vt:lpstr>
      <vt:lpstr>Counts for Category &amp; Years</vt:lpstr>
      <vt:lpstr>Counts for Country &amp; Category</vt:lpstr>
      <vt:lpstr>Counts for Country</vt:lpstr>
      <vt:lpstr>Crowdfunding</vt:lpstr>
      <vt:lpstr>failed_backers_count</vt:lpstr>
      <vt:lpstr>goal</vt:lpstr>
      <vt:lpstr>outcome</vt:lpstr>
      <vt:lpstr>successful_backers_count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Sheila LaRoue</cp:lastModifiedBy>
  <dcterms:created xsi:type="dcterms:W3CDTF">2021-09-29T18:52:28Z</dcterms:created>
  <dcterms:modified xsi:type="dcterms:W3CDTF">2022-12-19T05:59:00Z</dcterms:modified>
</cp:coreProperties>
</file>