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netzschoffice365-my.sharepoint.com/personal/maximilian_muenzner_netzsch_com/Documents/Dokumente/02_Shared Data/Königswarter/Week 34/"/>
    </mc:Choice>
  </mc:AlternateContent>
  <xr:revisionPtr revIDLastSave="22" documentId="11_D856F71EB23180418561B3E3E997E156242E376D" xr6:coauthVersionLast="47" xr6:coauthVersionMax="47" xr10:uidLastSave="{8C4DD6C0-7C15-480A-9DD8-E8926CFA87CA}"/>
  <bookViews>
    <workbookView xWindow="-108" yWindow="-108" windowWidth="23256" windowHeight="12576" tabRatio="388" activeTab="2" xr2:uid="{00000000-000D-0000-FFFF-FFFF00000000}"/>
  </bookViews>
  <sheets>
    <sheet name="Deckblatt" sheetId="3" r:id="rId1"/>
    <sheet name="B" sheetId="8" r:id="rId2"/>
    <sheet name="C" sheetId="9" r:id="rId3"/>
    <sheet name="D" sheetId="10" r:id="rId4"/>
    <sheet name="E" sheetId="11" r:id="rId5"/>
    <sheet name="Plan" sheetId="7" r:id="rId6"/>
    <sheet name="Scale-up" sheetId="12" r:id="rId7"/>
    <sheet name="Sheet1" sheetId="13" r:id="rId8"/>
    <sheet name="translation List" sheetId="4" state="hidden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2" l="1"/>
  <c r="H18" i="9" l="1"/>
  <c r="I18" i="9"/>
  <c r="J18" i="9"/>
  <c r="K18" i="9"/>
  <c r="L18" i="9"/>
  <c r="G18" i="9"/>
  <c r="B9" i="12"/>
  <c r="B14" i="12"/>
  <c r="B15" i="12" s="1"/>
  <c r="A33" i="9"/>
  <c r="A39" i="11"/>
  <c r="A38" i="11"/>
  <c r="A37" i="11"/>
  <c r="A36" i="11"/>
  <c r="N35" i="11"/>
  <c r="L35" i="11"/>
  <c r="J35" i="11"/>
  <c r="H35" i="11"/>
  <c r="F35" i="11"/>
  <c r="A35" i="11"/>
  <c r="A33" i="11"/>
  <c r="A32" i="11"/>
  <c r="A31" i="11"/>
  <c r="D30" i="11"/>
  <c r="D29" i="11"/>
  <c r="D28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G14" i="11"/>
  <c r="A14" i="11"/>
  <c r="A13" i="11"/>
  <c r="A12" i="11"/>
  <c r="A11" i="11"/>
  <c r="L10" i="11"/>
  <c r="A10" i="11"/>
  <c r="I9" i="11"/>
  <c r="A9" i="11"/>
  <c r="I8" i="11"/>
  <c r="A8" i="11"/>
  <c r="R7" i="11"/>
  <c r="G7" i="11" s="1"/>
  <c r="I7" i="11"/>
  <c r="A7" i="11"/>
  <c r="I6" i="11"/>
  <c r="A6" i="11"/>
  <c r="J5" i="11"/>
  <c r="A5" i="11"/>
  <c r="I4" i="11"/>
  <c r="A4" i="11"/>
  <c r="A3" i="11"/>
  <c r="A2" i="11"/>
  <c r="K1" i="11"/>
  <c r="E1" i="11"/>
  <c r="A1" i="11"/>
  <c r="A32" i="8"/>
  <c r="A39" i="10"/>
  <c r="A38" i="10"/>
  <c r="A37" i="10"/>
  <c r="A36" i="10"/>
  <c r="N35" i="10"/>
  <c r="L35" i="10"/>
  <c r="J35" i="10"/>
  <c r="H35" i="10"/>
  <c r="F35" i="10"/>
  <c r="A35" i="10"/>
  <c r="A33" i="10"/>
  <c r="A32" i="10"/>
  <c r="A31" i="10"/>
  <c r="D30" i="10"/>
  <c r="D29" i="10"/>
  <c r="D28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G14" i="10"/>
  <c r="A14" i="10"/>
  <c r="A13" i="10"/>
  <c r="A12" i="10"/>
  <c r="A11" i="10"/>
  <c r="L10" i="10"/>
  <c r="A10" i="10"/>
  <c r="I9" i="10"/>
  <c r="A9" i="10"/>
  <c r="I8" i="10"/>
  <c r="A8" i="10"/>
  <c r="R7" i="10"/>
  <c r="S7" i="10" s="1"/>
  <c r="G9" i="10" s="1"/>
  <c r="I7" i="10"/>
  <c r="G7" i="10"/>
  <c r="A7" i="10"/>
  <c r="I6" i="10"/>
  <c r="A6" i="10"/>
  <c r="J5" i="10"/>
  <c r="A5" i="10"/>
  <c r="I4" i="10"/>
  <c r="A4" i="10"/>
  <c r="A3" i="10"/>
  <c r="A2" i="10"/>
  <c r="K1" i="10"/>
  <c r="E1" i="10"/>
  <c r="A1" i="10"/>
  <c r="A42" i="9"/>
  <c r="A41" i="9"/>
  <c r="A40" i="9"/>
  <c r="A39" i="9"/>
  <c r="N38" i="9"/>
  <c r="L38" i="9"/>
  <c r="J38" i="9"/>
  <c r="H38" i="9"/>
  <c r="F38" i="9"/>
  <c r="A38" i="9"/>
  <c r="A35" i="9"/>
  <c r="A34" i="9"/>
  <c r="A32" i="9"/>
  <c r="D31" i="9"/>
  <c r="D30" i="9"/>
  <c r="D29" i="9"/>
  <c r="A29" i="9"/>
  <c r="A28" i="9"/>
  <c r="A27" i="9"/>
  <c r="A26" i="9"/>
  <c r="A25" i="9"/>
  <c r="A24" i="9"/>
  <c r="A23" i="9"/>
  <c r="A22" i="9"/>
  <c r="A21" i="9"/>
  <c r="A20" i="9"/>
  <c r="A19" i="9"/>
  <c r="A17" i="9"/>
  <c r="A16" i="9"/>
  <c r="A15" i="9"/>
  <c r="G14" i="9"/>
  <c r="A14" i="9"/>
  <c r="A12" i="9"/>
  <c r="A11" i="9"/>
  <c r="L10" i="9"/>
  <c r="A10" i="9"/>
  <c r="I9" i="9"/>
  <c r="A9" i="9"/>
  <c r="I8" i="9"/>
  <c r="A8" i="9"/>
  <c r="R7" i="9"/>
  <c r="G7" i="9" s="1"/>
  <c r="I7" i="9"/>
  <c r="A7" i="9"/>
  <c r="I6" i="9"/>
  <c r="A6" i="9"/>
  <c r="J5" i="9"/>
  <c r="A5" i="9"/>
  <c r="I4" i="9"/>
  <c r="A4" i="9"/>
  <c r="A3" i="9"/>
  <c r="A2" i="9"/>
  <c r="K1" i="9"/>
  <c r="E1" i="9"/>
  <c r="A1" i="9"/>
  <c r="A41" i="8"/>
  <c r="A40" i="8"/>
  <c r="A39" i="8"/>
  <c r="A38" i="8"/>
  <c r="N37" i="8"/>
  <c r="L37" i="8"/>
  <c r="J37" i="8"/>
  <c r="H37" i="8"/>
  <c r="F37" i="8"/>
  <c r="A37" i="8"/>
  <c r="A34" i="8"/>
  <c r="A33" i="8"/>
  <c r="A31" i="8"/>
  <c r="D30" i="8"/>
  <c r="D29" i="8"/>
  <c r="D28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G14" i="8"/>
  <c r="A14" i="8"/>
  <c r="A12" i="8"/>
  <c r="A11" i="8"/>
  <c r="L10" i="8"/>
  <c r="A10" i="8"/>
  <c r="I9" i="8"/>
  <c r="A9" i="8"/>
  <c r="I8" i="8"/>
  <c r="A8" i="8"/>
  <c r="R7" i="8"/>
  <c r="S7" i="8" s="1"/>
  <c r="G9" i="8" s="1"/>
  <c r="I7" i="8"/>
  <c r="A7" i="8"/>
  <c r="I6" i="8"/>
  <c r="A6" i="8"/>
  <c r="J5" i="8"/>
  <c r="A5" i="8"/>
  <c r="I4" i="8"/>
  <c r="A4" i="8"/>
  <c r="A3" i="8"/>
  <c r="A2" i="8"/>
  <c r="K1" i="8"/>
  <c r="E1" i="8"/>
  <c r="A1" i="8"/>
  <c r="D14" i="12" l="1"/>
  <c r="D15" i="12" s="1"/>
  <c r="S7" i="11"/>
  <c r="G9" i="11" s="1"/>
  <c r="M8" i="11" s="1"/>
  <c r="M8" i="10"/>
  <c r="M7" i="10" s="1"/>
  <c r="I33" i="10"/>
  <c r="H33" i="10"/>
  <c r="O33" i="10"/>
  <c r="G33" i="10"/>
  <c r="N33" i="10"/>
  <c r="M33" i="10"/>
  <c r="G32" i="10"/>
  <c r="H32" i="10" s="1"/>
  <c r="I32" i="10" s="1"/>
  <c r="J32" i="10" s="1"/>
  <c r="K32" i="10" s="1"/>
  <c r="L32" i="10" s="1"/>
  <c r="M32" i="10" s="1"/>
  <c r="N32" i="10" s="1"/>
  <c r="O32" i="10" s="1"/>
  <c r="L33" i="10"/>
  <c r="K33" i="10"/>
  <c r="J33" i="10"/>
  <c r="S7" i="9"/>
  <c r="G9" i="9" s="1"/>
  <c r="M8" i="9" s="1"/>
  <c r="H27" i="9" s="1"/>
  <c r="G7" i="8"/>
  <c r="P9" i="9" l="1"/>
  <c r="L35" i="9"/>
  <c r="I33" i="11"/>
  <c r="H33" i="11"/>
  <c r="O33" i="11"/>
  <c r="N33" i="11"/>
  <c r="M33" i="11"/>
  <c r="G32" i="11"/>
  <c r="H32" i="11" s="1"/>
  <c r="I32" i="11" s="1"/>
  <c r="J32" i="11" s="1"/>
  <c r="K32" i="11" s="1"/>
  <c r="L32" i="11" s="1"/>
  <c r="M32" i="11" s="1"/>
  <c r="N32" i="11" s="1"/>
  <c r="O32" i="11" s="1"/>
  <c r="L33" i="11"/>
  <c r="G33" i="11"/>
  <c r="K33" i="11"/>
  <c r="J33" i="11"/>
  <c r="M7" i="11"/>
  <c r="M7" i="9"/>
  <c r="F36" i="9" s="1"/>
  <c r="I27" i="9"/>
  <c r="K27" i="9"/>
  <c r="J27" i="9"/>
  <c r="L27" i="9"/>
  <c r="G27" i="9"/>
  <c r="I35" i="9"/>
  <c r="H35" i="9"/>
  <c r="G35" i="9"/>
  <c r="G36" i="9" s="1"/>
  <c r="J35" i="9"/>
  <c r="J36" i="9" s="1"/>
  <c r="G34" i="9"/>
  <c r="H34" i="9" s="1"/>
  <c r="I34" i="9" s="1"/>
  <c r="J34" i="9" s="1"/>
  <c r="K34" i="9" s="1"/>
  <c r="L34" i="9" s="1"/>
  <c r="K35" i="9"/>
  <c r="M8" i="8"/>
  <c r="P9" i="8" s="1"/>
  <c r="H36" i="9" l="1"/>
  <c r="I36" i="9"/>
  <c r="L36" i="9"/>
  <c r="K36" i="9"/>
  <c r="L28" i="9"/>
  <c r="J28" i="9"/>
  <c r="K28" i="9"/>
  <c r="I28" i="9"/>
  <c r="H28" i="9"/>
  <c r="H26" i="8"/>
  <c r="I26" i="8"/>
  <c r="J26" i="8"/>
  <c r="K26" i="8"/>
  <c r="L26" i="8"/>
  <c r="G26" i="8"/>
  <c r="G28" i="9"/>
  <c r="A13" i="9"/>
  <c r="L34" i="8"/>
  <c r="K34" i="8"/>
  <c r="G33" i="8"/>
  <c r="H33" i="8" s="1"/>
  <c r="I33" i="8" s="1"/>
  <c r="J33" i="8" s="1"/>
  <c r="K33" i="8" s="1"/>
  <c r="L33" i="8" s="1"/>
  <c r="J34" i="8"/>
  <c r="I34" i="8"/>
  <c r="H34" i="8"/>
  <c r="G34" i="8"/>
  <c r="M7" i="8"/>
  <c r="F35" i="8" s="1"/>
  <c r="G35" i="8" l="1"/>
  <c r="H35" i="8"/>
  <c r="I35" i="8"/>
  <c r="J35" i="8"/>
  <c r="K35" i="8"/>
  <c r="L35" i="8"/>
  <c r="G27" i="8"/>
  <c r="L27" i="8"/>
  <c r="K27" i="8"/>
  <c r="J27" i="8"/>
  <c r="I27" i="8"/>
  <c r="H27" i="8"/>
  <c r="A13" i="8"/>
  <c r="B12" i="3" l="1"/>
  <c r="BI13" i="4"/>
  <c r="BI14" i="4"/>
  <c r="BI24" i="4"/>
  <c r="BI23" i="4"/>
  <c r="BI22" i="4"/>
  <c r="BI21" i="4"/>
  <c r="BI20" i="4"/>
  <c r="BI19" i="4"/>
  <c r="BI18" i="4"/>
  <c r="BI17" i="4"/>
  <c r="BI16" i="4"/>
  <c r="BI15" i="4"/>
  <c r="BI12" i="4"/>
  <c r="BI11" i="4"/>
  <c r="BI10" i="4"/>
  <c r="BI9" i="4"/>
  <c r="BI8" i="4"/>
  <c r="BI7" i="4"/>
  <c r="BI6" i="4"/>
  <c r="BI5" i="4"/>
  <c r="BI4" i="4"/>
  <c r="BI3" i="4"/>
  <c r="BI2" i="4"/>
  <c r="BI1" i="4"/>
  <c r="B39" i="4"/>
  <c r="B38" i="4"/>
  <c r="B37" i="4"/>
  <c r="B36" i="4"/>
  <c r="B35" i="4"/>
  <c r="B34" i="4"/>
  <c r="D27" i="4"/>
  <c r="D26" i="4"/>
  <c r="D25" i="4"/>
  <c r="D24" i="4"/>
  <c r="D23" i="4"/>
  <c r="D22" i="4"/>
  <c r="B31" i="4"/>
  <c r="B30" i="4"/>
  <c r="B29" i="4"/>
  <c r="B28" i="4"/>
  <c r="B27" i="4"/>
  <c r="B26" i="4"/>
  <c r="E15" i="4"/>
  <c r="H3" i="11" l="1"/>
  <c r="H3" i="8"/>
  <c r="H3" i="10"/>
  <c r="H3" i="9"/>
  <c r="E31" i="4" l="1"/>
  <c r="E30" i="4"/>
  <c r="E29" i="4"/>
  <c r="E28" i="4"/>
  <c r="E27" i="4"/>
  <c r="E26" i="4"/>
  <c r="A2" i="3" l="1"/>
  <c r="B24" i="3" l="1"/>
  <c r="B21" i="3"/>
  <c r="B18" i="3"/>
  <c r="B15" i="3"/>
  <c r="B8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Münzner, Dr. Maximilian</author>
  </authors>
  <commentList>
    <comment ref="L18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Münzner, Dr. Maximilian:</t>
        </r>
        <r>
          <rPr>
            <sz val="9"/>
            <color indexed="81"/>
            <rFont val="Segoe UI"/>
            <family val="2"/>
          </rPr>
          <t xml:space="preserve">
Unterschiedliche Umfangsgeschwindigkeit 10 m/s oder 12 m/s</t>
        </r>
      </text>
    </comment>
    <comment ref="L20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Münzner, Dr. Maximilian:</t>
        </r>
        <r>
          <rPr>
            <sz val="9"/>
            <color indexed="81"/>
            <rFont val="Segoe UI"/>
            <family val="2"/>
          </rPr>
          <t xml:space="preserve">
Nicht schneller als 120 (Empfehlung 100), kein Effekt
</t>
        </r>
      </text>
    </comment>
  </commentList>
</comments>
</file>

<file path=xl/sharedStrings.xml><?xml version="1.0" encoding="utf-8"?>
<sst xmlns="http://schemas.openxmlformats.org/spreadsheetml/2006/main" count="1090" uniqueCount="824">
  <si>
    <t xml:space="preserve"> </t>
  </si>
  <si>
    <t>NETZSCH-Feinmahltechnik GmbH
Sedanstraße 70
D-95100 Selb</t>
  </si>
  <si>
    <t>Labstar NEOS</t>
  </si>
  <si>
    <t>Sales: Dr. M. Münzner</t>
  </si>
  <si>
    <t>Process technology: D. Menzel, Dr. R. Choudhury</t>
  </si>
  <si>
    <t>-</t>
  </si>
  <si>
    <t>Language:</t>
  </si>
  <si>
    <t>Hermann Winstermann, Jens Arends</t>
  </si>
  <si>
    <t>NMC in Water</t>
  </si>
  <si>
    <t>20.-22.08.2024</t>
  </si>
  <si>
    <t>kW</t>
  </si>
  <si>
    <t>SiC / PU green ZETA</t>
  </si>
  <si>
    <t>Hosepump</t>
  </si>
  <si>
    <t>mm</t>
  </si>
  <si>
    <t>Ø</t>
  </si>
  <si>
    <t>water / Gylcol</t>
  </si>
  <si>
    <t>ZetaBeads (3.65 kg/l)</t>
  </si>
  <si>
    <t>0,1-0,2</t>
  </si>
  <si>
    <t>kg</t>
  </si>
  <si>
    <t>%</t>
  </si>
  <si>
    <t>NMC</t>
  </si>
  <si>
    <t>Wasser</t>
  </si>
  <si>
    <t>NMC cake in Water</t>
  </si>
  <si>
    <t>°C</t>
  </si>
  <si>
    <t>Acetic Acid (60%)</t>
  </si>
  <si>
    <t>DI-Water</t>
  </si>
  <si>
    <t>kg/l</t>
  </si>
  <si>
    <t>using Shearmaster</t>
  </si>
  <si>
    <t>min</t>
  </si>
  <si>
    <t>PSD, Rheology, Zetapotential, Solid Content*, pH</t>
  </si>
  <si>
    <t>µm</t>
  </si>
  <si>
    <t>t [min]</t>
  </si>
  <si>
    <t xml:space="preserve"> n [1/min]</t>
  </si>
  <si>
    <r>
      <t xml:space="preserve"> m [kg</t>
    </r>
    <r>
      <rPr>
        <vertAlign val="subscript"/>
        <sz val="9"/>
        <rFont val="Arial"/>
        <family val="2"/>
      </rPr>
      <t>slurry</t>
    </r>
    <r>
      <rPr>
        <sz val="9"/>
        <rFont val="Arial"/>
        <family val="2"/>
      </rPr>
      <t>/h]</t>
    </r>
  </si>
  <si>
    <r>
      <t xml:space="preserve"> p</t>
    </r>
    <r>
      <rPr>
        <vertAlign val="subscript"/>
        <sz val="9"/>
        <rFont val="Arial"/>
        <family val="2"/>
      </rPr>
      <t>M</t>
    </r>
    <r>
      <rPr>
        <sz val="9"/>
        <rFont val="Arial"/>
        <family val="2"/>
      </rPr>
      <t xml:space="preserve"> [bar]</t>
    </r>
  </si>
  <si>
    <r>
      <t>T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[°C]</t>
    </r>
  </si>
  <si>
    <r>
      <t>T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[°C]</t>
    </r>
  </si>
  <si>
    <r>
      <t>P</t>
    </r>
    <r>
      <rPr>
        <vertAlign val="subscript"/>
        <sz val="9"/>
        <rFont val="Arial"/>
        <family val="2"/>
      </rPr>
      <t>total</t>
    </r>
    <r>
      <rPr>
        <sz val="9"/>
        <rFont val="Arial"/>
        <family val="2"/>
      </rPr>
      <t xml:space="preserve"> [kW]</t>
    </r>
  </si>
  <si>
    <r>
      <t>P</t>
    </r>
    <r>
      <rPr>
        <vertAlign val="subscript"/>
        <sz val="9"/>
        <rFont val="Arial"/>
        <family val="2"/>
      </rPr>
      <t>net</t>
    </r>
    <r>
      <rPr>
        <sz val="9"/>
        <rFont val="Arial"/>
        <family val="2"/>
      </rPr>
      <t xml:space="preserve"> [kW]</t>
    </r>
  </si>
  <si>
    <r>
      <t>E</t>
    </r>
    <r>
      <rPr>
        <vertAlign val="subscript"/>
        <sz val="9"/>
        <rFont val="Arial"/>
        <family val="2"/>
      </rPr>
      <t>net</t>
    </r>
    <r>
      <rPr>
        <sz val="9"/>
        <rFont val="Arial"/>
        <family val="2"/>
      </rPr>
      <t xml:space="preserve"> [kWh]</t>
    </r>
  </si>
  <si>
    <r>
      <t>E [kWh/kg</t>
    </r>
    <r>
      <rPr>
        <vertAlign val="subscript"/>
        <sz val="9"/>
        <rFont val="Arial"/>
        <family val="2"/>
      </rPr>
      <t>solid</t>
    </r>
    <r>
      <rPr>
        <sz val="9"/>
        <rFont val="Arial"/>
        <family val="2"/>
      </rPr>
      <t>]</t>
    </r>
  </si>
  <si>
    <t>Mastersizer</t>
  </si>
  <si>
    <t>Sample from the outlet</t>
  </si>
  <si>
    <t>[µm]</t>
  </si>
  <si>
    <r>
      <t>[n</t>
    </r>
    <r>
      <rPr>
        <vertAlign val="subscript"/>
        <sz val="10"/>
        <color theme="1"/>
        <rFont val="Arial"/>
        <family val="2"/>
      </rPr>
      <t>circ</t>
    </r>
    <r>
      <rPr>
        <sz val="10"/>
        <color theme="1"/>
        <rFont val="Arial"/>
        <family val="2"/>
      </rPr>
      <t>]</t>
    </r>
  </si>
  <si>
    <r>
      <t>m</t>
    </r>
    <r>
      <rPr>
        <vertAlign val="subscript"/>
        <sz val="8"/>
        <rFont val="Arial"/>
        <family val="2"/>
      </rPr>
      <t>c</t>
    </r>
    <r>
      <rPr>
        <sz val="8"/>
        <rFont val="Arial"/>
        <family val="2"/>
      </rPr>
      <t>[kg</t>
    </r>
    <r>
      <rPr>
        <vertAlign val="subscript"/>
        <sz val="8"/>
        <rFont val="Arial"/>
        <family val="2"/>
      </rPr>
      <t>slurry</t>
    </r>
    <r>
      <rPr>
        <sz val="8"/>
        <rFont val="Arial"/>
        <family val="2"/>
      </rPr>
      <t>/h]</t>
    </r>
  </si>
  <si>
    <t>NMC-Cake</t>
  </si>
  <si>
    <t>Water</t>
  </si>
  <si>
    <t>using Shearmaster (1200 rpm)</t>
  </si>
  <si>
    <t>1,2</t>
  </si>
  <si>
    <r>
      <t>E [kWh/kg</t>
    </r>
    <r>
      <rPr>
        <vertAlign val="subscript"/>
        <sz val="9"/>
        <rFont val="Arial"/>
        <family val="2"/>
      </rPr>
      <t>slurry</t>
    </r>
    <r>
      <rPr>
        <sz val="9"/>
        <rFont val="Arial"/>
        <family val="2"/>
      </rPr>
      <t>]</t>
    </r>
  </si>
  <si>
    <t>pH</t>
  </si>
  <si>
    <t xml:space="preserve">Solidcontent </t>
  </si>
  <si>
    <r>
      <t>m</t>
    </r>
    <r>
      <rPr>
        <vertAlign val="subscript"/>
        <sz val="9"/>
        <rFont val="Arial"/>
        <family val="2"/>
      </rPr>
      <t>kW</t>
    </r>
    <r>
      <rPr>
        <sz val="9"/>
        <rFont val="Arial"/>
        <family val="2"/>
      </rPr>
      <t xml:space="preserve"> [l/h]</t>
    </r>
  </si>
  <si>
    <t>Zetapotential of B5: diluted in 20 g water with 1 drop
pH 4,9 = 34,7 mV</t>
  </si>
  <si>
    <t>Tip Speed</t>
  </si>
  <si>
    <t>v [m/s]</t>
  </si>
  <si>
    <t>Zetapotential of C6: diluted in 20 g water with 1 drop
pH 4,1 = 34,7 mV</t>
  </si>
  <si>
    <t>from Batch C</t>
  </si>
  <si>
    <t>After adding 1 g of Li2CO3 there was a gas reaction. After 3 min the power and the pressure of the mill increased. The slurry becomes thick and the hose of the hose pipe was destroyed of the high viscosity and pressure.</t>
  </si>
  <si>
    <t>Pressure in the hose of the hose pump. Throughput was decreased and it looks like particles are blocking the screen. This could be from the previous test with Li2CO3.</t>
  </si>
  <si>
    <t>Geplante Versuche:</t>
  </si>
  <si>
    <t>1. 20 wt% solids, acetic acid dispersant to adjust pH down slightly.</t>
  </si>
  <si>
    <t>2. Find highest solid wt% suspension possible using acetic acid dispersant to adjust pH down slightly. Achieving the higher solid wt% may require adding additional solids during the milling.</t>
  </si>
  <si>
    <r>
      <t xml:space="preserve">3. Test 2 condition, </t>
    </r>
    <r>
      <rPr>
        <strike/>
        <sz val="11"/>
        <rFont val="Calibri"/>
        <family val="2"/>
      </rPr>
      <t>plus lithium hydroxide or</t>
    </r>
    <r>
      <rPr>
        <sz val="11"/>
        <rFont val="Calibri"/>
        <family val="2"/>
      </rPr>
      <t xml:space="preserve"> carbonate to adjust pH up slightly.</t>
    </r>
  </si>
  <si>
    <r>
      <t>4. Test 2 condition,</t>
    </r>
    <r>
      <rPr>
        <strike/>
        <sz val="11"/>
        <rFont val="Calibri"/>
        <family val="2"/>
      </rPr>
      <t xml:space="preserve"> plus more lithium hydroxide</t>
    </r>
    <r>
      <rPr>
        <sz val="11"/>
        <rFont val="Calibri"/>
        <family val="2"/>
      </rPr>
      <t xml:space="preserve"> or carbonate and acetic acid to target lithium concentration and pH.</t>
    </r>
  </si>
  <si>
    <t>5. Test 2 condition, plus low dose of Dolapix CA.</t>
  </si>
  <si>
    <t>6. Test 2 condition, plus high dose of Dolapix CA.</t>
  </si>
  <si>
    <t>7. Test 2 condition, plus Polyacrylic acid.</t>
  </si>
  <si>
    <t>8. Test 2 condition, plus Polyvinyl alcohol.</t>
  </si>
  <si>
    <t>9. Test 2 condition, plus Surfynol 104 Z.</t>
  </si>
  <si>
    <t>Filterkuchen</t>
  </si>
  <si>
    <t>9-10</t>
  </si>
  <si>
    <t>stabile Bedingungen</t>
  </si>
  <si>
    <t>Feststoff</t>
  </si>
  <si>
    <t>120°C</t>
  </si>
  <si>
    <t>5 g Probenmenge</t>
  </si>
  <si>
    <t>Rheologie</t>
  </si>
  <si>
    <t>25°C</t>
  </si>
  <si>
    <t>1000 bis 0,1</t>
  </si>
  <si>
    <t>Scherrate</t>
  </si>
  <si>
    <t>Zylinder</t>
  </si>
  <si>
    <t>Scale Up</t>
  </si>
  <si>
    <t>Plan</t>
  </si>
  <si>
    <t>Throughput Solid</t>
  </si>
  <si>
    <t>kg/h</t>
  </si>
  <si>
    <t>Tested</t>
  </si>
  <si>
    <t>Test Labstar C</t>
  </si>
  <si>
    <t>Labstar</t>
  </si>
  <si>
    <t>NEOS 10</t>
  </si>
  <si>
    <t>Test Labstar B</t>
  </si>
  <si>
    <t>NEOS 120</t>
  </si>
  <si>
    <t>Scale-Up</t>
  </si>
  <si>
    <t>NEOS 400</t>
  </si>
  <si>
    <t>Biggest Machine</t>
  </si>
  <si>
    <t>Factor</t>
  </si>
  <si>
    <t>Number</t>
  </si>
  <si>
    <t>Energy Consumption</t>
  </si>
  <si>
    <t>Cooling Water?</t>
  </si>
  <si>
    <t>Price Single Machine</t>
  </si>
  <si>
    <t>1.2 - 1.5 Mio€</t>
  </si>
  <si>
    <t>0.6 - 0.7 Mio€</t>
  </si>
  <si>
    <t>Englisch</t>
  </si>
  <si>
    <t>english</t>
  </si>
  <si>
    <t>Test report</t>
  </si>
  <si>
    <t>Toll grinding</t>
  </si>
  <si>
    <t>Machine</t>
  </si>
  <si>
    <t>responsible - NETZSCH</t>
  </si>
  <si>
    <t>Operator</t>
  </si>
  <si>
    <t>Customer / address</t>
  </si>
  <si>
    <t>Customer present</t>
  </si>
  <si>
    <t>Product</t>
  </si>
  <si>
    <t>Date</t>
  </si>
  <si>
    <t>Installed power</t>
  </si>
  <si>
    <t>Machine equipment</t>
  </si>
  <si>
    <t>Pump</t>
  </si>
  <si>
    <t>Sealing liquid</t>
  </si>
  <si>
    <t>Type of grinding beads</t>
  </si>
  <si>
    <t>Volume</t>
  </si>
  <si>
    <t>Separating system</t>
  </si>
  <si>
    <t>Solid</t>
  </si>
  <si>
    <t>Max. temperature</t>
  </si>
  <si>
    <t>Solid content</t>
  </si>
  <si>
    <t>Total mass</t>
  </si>
  <si>
    <t>Density</t>
  </si>
  <si>
    <t>Dispersant</t>
  </si>
  <si>
    <t>Solvent</t>
  </si>
  <si>
    <t>Material preparation</t>
  </si>
  <si>
    <t>Duration</t>
  </si>
  <si>
    <t>Dissolver necessary</t>
  </si>
  <si>
    <t>Target fineness</t>
  </si>
  <si>
    <t>Operation mode</t>
  </si>
  <si>
    <t>Test version</t>
  </si>
  <si>
    <t>Running time</t>
  </si>
  <si>
    <t>Number of passages</t>
  </si>
  <si>
    <t>Agitator speed</t>
  </si>
  <si>
    <t>Throughput</t>
  </si>
  <si>
    <t>Pump speed</t>
  </si>
  <si>
    <t>Pressure</t>
  </si>
  <si>
    <t>Product temperature</t>
  </si>
  <si>
    <t>Gross power</t>
  </si>
  <si>
    <t>Net power input</t>
  </si>
  <si>
    <t>Grinding energy input</t>
  </si>
  <si>
    <t>Specific energy input</t>
  </si>
  <si>
    <t>Particle size</t>
  </si>
  <si>
    <t>Other measurements</t>
  </si>
  <si>
    <t>Theoretical circles</t>
  </si>
  <si>
    <t>Production capacity</t>
  </si>
  <si>
    <t>Cooling</t>
  </si>
  <si>
    <t>Temperature inlet</t>
  </si>
  <si>
    <t>Temperature outlet</t>
  </si>
  <si>
    <t>Cooling water flow rate</t>
  </si>
  <si>
    <t>Remarks</t>
  </si>
  <si>
    <t>Grinding chamber</t>
  </si>
  <si>
    <t>Mechanical seal</t>
  </si>
  <si>
    <t>Circulation tank</t>
  </si>
  <si>
    <t>Chiller</t>
  </si>
  <si>
    <t>Total</t>
  </si>
  <si>
    <t>Passage</t>
  </si>
  <si>
    <t>Circulation</t>
  </si>
  <si>
    <t>Sum</t>
  </si>
  <si>
    <t>mass</t>
  </si>
  <si>
    <t>quality requirements</t>
  </si>
  <si>
    <t>Deutsch</t>
  </si>
  <si>
    <t>Deutsch (German)</t>
  </si>
  <si>
    <t>Versuchsprotokoll</t>
  </si>
  <si>
    <t>Lohnmahlung</t>
  </si>
  <si>
    <t>Maschine</t>
  </si>
  <si>
    <t>verantwortlich - NETZSCH</t>
  </si>
  <si>
    <t>Kunde / Adresse</t>
  </si>
  <si>
    <t>Kunde anwesend</t>
  </si>
  <si>
    <t>Produkt</t>
  </si>
  <si>
    <t>Datum</t>
  </si>
  <si>
    <t>Motorleistung</t>
  </si>
  <si>
    <t>Maschinenausrüstung</t>
  </si>
  <si>
    <t>Pumpe</t>
  </si>
  <si>
    <t>Sperrflüssigkeit</t>
  </si>
  <si>
    <t>Mahlkörperart</t>
  </si>
  <si>
    <t>Volumen</t>
  </si>
  <si>
    <t>Trennvorrichtung</t>
  </si>
  <si>
    <t>max. Temperatur</t>
  </si>
  <si>
    <t>Feststoffgehalt</t>
  </si>
  <si>
    <t>Gesamtmasse</t>
  </si>
  <si>
    <t>Dichte</t>
  </si>
  <si>
    <t>Dispergiermittel</t>
  </si>
  <si>
    <t>Lösungsmittel</t>
  </si>
  <si>
    <t>Materialvorbereitung</t>
  </si>
  <si>
    <t>Dauer</t>
  </si>
  <si>
    <t>Dissolver notwendig</t>
  </si>
  <si>
    <t>Zielfeinheit</t>
  </si>
  <si>
    <t>Betriebsweise</t>
  </si>
  <si>
    <t>Versuchsvariante</t>
  </si>
  <si>
    <t>Laufzeit</t>
  </si>
  <si>
    <t>Passagenanzahl</t>
  </si>
  <si>
    <t>Drehzahl Rührwerk</t>
  </si>
  <si>
    <t>Durchsatz</t>
  </si>
  <si>
    <t>Pumpendrehzahl</t>
  </si>
  <si>
    <t>Druck</t>
  </si>
  <si>
    <t>Mahlguttemperatur</t>
  </si>
  <si>
    <t>Bruttoleistung</t>
  </si>
  <si>
    <t>Nettoleistung</t>
  </si>
  <si>
    <t>Mahlenergieeintrag</t>
  </si>
  <si>
    <t>Spez. Energieeintrag</t>
  </si>
  <si>
    <t>Partikel-größe</t>
  </si>
  <si>
    <t>Sonstige Messungen</t>
  </si>
  <si>
    <t>Theoretische Kreiszahl</t>
  </si>
  <si>
    <t>Produktionsleistung</t>
  </si>
  <si>
    <t>Kühlung</t>
  </si>
  <si>
    <t>Temperatur Einlauf</t>
  </si>
  <si>
    <t>Temperatur Auslauf</t>
  </si>
  <si>
    <t>Kühlwassermenge</t>
  </si>
  <si>
    <t>Bemerkung</t>
  </si>
  <si>
    <t>Mahlbehälter</t>
  </si>
  <si>
    <t>GRD</t>
  </si>
  <si>
    <t>Ansatzbehälter</t>
  </si>
  <si>
    <t>Kühler</t>
  </si>
  <si>
    <t>Gesamt</t>
  </si>
  <si>
    <t>Zirkulation</t>
  </si>
  <si>
    <t>Summe</t>
  </si>
  <si>
    <t>Masse</t>
  </si>
  <si>
    <t>Qualitätsanforderung</t>
  </si>
  <si>
    <t>Französisch</t>
  </si>
  <si>
    <t>français (French)</t>
  </si>
  <si>
    <t>Rapport d'essai</t>
  </si>
  <si>
    <t>Broyage à façon</t>
  </si>
  <si>
    <t>responsable - NETZSCH</t>
  </si>
  <si>
    <t>Opérateur</t>
  </si>
  <si>
    <t>Client / adresse</t>
  </si>
  <si>
    <t>Client présente</t>
  </si>
  <si>
    <t>Produit</t>
  </si>
  <si>
    <t>Puissance installée</t>
  </si>
  <si>
    <t>Équipement de la machine</t>
  </si>
  <si>
    <t>Pompe</t>
  </si>
  <si>
    <t>Liquide de barrage</t>
  </si>
  <si>
    <t>Type de billes de broyage</t>
  </si>
  <si>
    <t>Système de séparation</t>
  </si>
  <si>
    <t>Matières solides</t>
  </si>
  <si>
    <t>Température max.</t>
  </si>
  <si>
    <t>Teneur en matières solides</t>
  </si>
  <si>
    <t>Masse totale</t>
  </si>
  <si>
    <t>Densité</t>
  </si>
  <si>
    <t>Solvant</t>
  </si>
  <si>
    <t>Préparation du produit</t>
  </si>
  <si>
    <t>Durée</t>
  </si>
  <si>
    <t>Disperseur nécessaire</t>
  </si>
  <si>
    <t>Finesse cible</t>
  </si>
  <si>
    <t>Mode de fonctionnement</t>
  </si>
  <si>
    <t>Version d'essai</t>
  </si>
  <si>
    <t>Temps de fonctionnement</t>
  </si>
  <si>
    <t>Nombre de passages</t>
  </si>
  <si>
    <t>Vitesse de l'agitateur</t>
  </si>
  <si>
    <t>Débit</t>
  </si>
  <si>
    <t>Vitesse de la pompe</t>
  </si>
  <si>
    <t>Pression</t>
  </si>
  <si>
    <t>Température du produit</t>
  </si>
  <si>
    <t>Puissance brute</t>
  </si>
  <si>
    <t>Puissance nette</t>
  </si>
  <si>
    <t>Enérgie de broyage absorbée</t>
  </si>
  <si>
    <t>Enérgie absorbée specifique</t>
  </si>
  <si>
    <t>Taille granulométrique</t>
  </si>
  <si>
    <t>D'autres mesures</t>
  </si>
  <si>
    <t>Numéro de cercles théorique</t>
  </si>
  <si>
    <t>Capacité de production</t>
  </si>
  <si>
    <t>Refroidissement</t>
  </si>
  <si>
    <t>Température d'entrée</t>
  </si>
  <si>
    <t>Température de sortie</t>
  </si>
  <si>
    <t>Qté d'eau de refroidissement</t>
  </si>
  <si>
    <t>Remarques</t>
  </si>
  <si>
    <t>Chambre de broyage</t>
  </si>
  <si>
    <t>Garniture mécanique</t>
  </si>
  <si>
    <t>Réservoir de recirculation</t>
  </si>
  <si>
    <t>Refroidisseur</t>
  </si>
  <si>
    <t>Somme</t>
  </si>
  <si>
    <t>Demande en qualité</t>
  </si>
  <si>
    <t>Italienisch</t>
  </si>
  <si>
    <t>italiano (italian)</t>
  </si>
  <si>
    <t>Rapporto di prova</t>
  </si>
  <si>
    <t>Macinazione su commissione</t>
  </si>
  <si>
    <t>Macchina</t>
  </si>
  <si>
    <t>responsabile - NETZSCH</t>
  </si>
  <si>
    <t>Operatore</t>
  </si>
  <si>
    <t>Cliente / indirizzo</t>
  </si>
  <si>
    <t>Cliente presente</t>
  </si>
  <si>
    <t>Prodotto</t>
  </si>
  <si>
    <t>Data</t>
  </si>
  <si>
    <t>Potenza installata</t>
  </si>
  <si>
    <t>Equipaggiamento macchina</t>
  </si>
  <si>
    <t>Pompa</t>
  </si>
  <si>
    <t>Liquido interblocco</t>
  </si>
  <si>
    <t>Tipo sfere di macinazione</t>
  </si>
  <si>
    <t>Sistema di separazione</t>
  </si>
  <si>
    <t>Solido</t>
  </si>
  <si>
    <t>Temperatura massima</t>
  </si>
  <si>
    <t>Contenuto solido</t>
  </si>
  <si>
    <t>Massa totale</t>
  </si>
  <si>
    <t>Densità</t>
  </si>
  <si>
    <t>Disperdente</t>
  </si>
  <si>
    <t>Solvente</t>
  </si>
  <si>
    <t>Preparazione del prodotto</t>
  </si>
  <si>
    <t>Durata</t>
  </si>
  <si>
    <t>Dissolver necessario</t>
  </si>
  <si>
    <t>Finezza finale</t>
  </si>
  <si>
    <t>Modo operativo</t>
  </si>
  <si>
    <t>Variante prova</t>
  </si>
  <si>
    <t>Durata del test</t>
  </si>
  <si>
    <t>Numero dei passaggi</t>
  </si>
  <si>
    <t>Numero di giri agitatore</t>
  </si>
  <si>
    <t>Portata</t>
  </si>
  <si>
    <t>Numero di giri pompa</t>
  </si>
  <si>
    <t>Pressione</t>
  </si>
  <si>
    <t>Temperatura prodotto</t>
  </si>
  <si>
    <t>Potenza lorda</t>
  </si>
  <si>
    <t>Potenza netta</t>
  </si>
  <si>
    <t>Apporto energia macinazione</t>
  </si>
  <si>
    <t>Apporto energia specifica</t>
  </si>
  <si>
    <t>Granulometria particella</t>
  </si>
  <si>
    <t>Ulteriore misurazione</t>
  </si>
  <si>
    <t>Numero cicli teorici</t>
  </si>
  <si>
    <t>Capacità produttiva</t>
  </si>
  <si>
    <t>Raffreddamento</t>
  </si>
  <si>
    <t>Temperatura ingresso</t>
  </si>
  <si>
    <t>Temperatura scarico</t>
  </si>
  <si>
    <t>Portata acqua di raffreddamento</t>
  </si>
  <si>
    <t>Nota</t>
  </si>
  <si>
    <t>Cilindro di macinazione</t>
  </si>
  <si>
    <t>Tenuta meccanica</t>
  </si>
  <si>
    <t>Serbatoio di circolazione</t>
  </si>
  <si>
    <t>Refrigeratore</t>
  </si>
  <si>
    <t>Totale</t>
  </si>
  <si>
    <t>Passaggio</t>
  </si>
  <si>
    <t>Circolazione</t>
  </si>
  <si>
    <t>Somma</t>
  </si>
  <si>
    <t>massa</t>
  </si>
  <si>
    <t xml:space="preserve">esigenza sulla qualità </t>
  </si>
  <si>
    <t>Spanisch</t>
  </si>
  <si>
    <t>español (Spanish)</t>
  </si>
  <si>
    <t>informe de prueba</t>
  </si>
  <si>
    <t xml:space="preserve">Maquila </t>
  </si>
  <si>
    <t>Máquina</t>
  </si>
  <si>
    <t>Operador</t>
  </si>
  <si>
    <t>Cliente / dirección</t>
  </si>
  <si>
    <t>producto</t>
  </si>
  <si>
    <t>Fecha</t>
  </si>
  <si>
    <t>potencia instalada</t>
  </si>
  <si>
    <t>equipamiento de máquinas</t>
  </si>
  <si>
    <t>bomba</t>
  </si>
  <si>
    <t>liquido de sellado</t>
  </si>
  <si>
    <t>tipo de microesferas de molienda</t>
  </si>
  <si>
    <t>volumen</t>
  </si>
  <si>
    <t>sistema de separación</t>
  </si>
  <si>
    <t>sólidos</t>
  </si>
  <si>
    <t>temperatura máxima</t>
  </si>
  <si>
    <t>contenido de sólidos</t>
  </si>
  <si>
    <t>masa total</t>
  </si>
  <si>
    <t>densidad</t>
  </si>
  <si>
    <t>dispersante</t>
  </si>
  <si>
    <t>solvente</t>
  </si>
  <si>
    <t>preparación del material</t>
  </si>
  <si>
    <t>duración</t>
  </si>
  <si>
    <t>disolvente necesario</t>
  </si>
  <si>
    <t>Objetivo de finura</t>
  </si>
  <si>
    <t>modo de operación</t>
  </si>
  <si>
    <t>versión de prueba</t>
  </si>
  <si>
    <t>tiempo de ejecución</t>
  </si>
  <si>
    <t>número de pasadas</t>
  </si>
  <si>
    <t>velocidad del agitador</t>
  </si>
  <si>
    <t>rendimiento</t>
  </si>
  <si>
    <t>velocidad de la bomba</t>
  </si>
  <si>
    <t>presión</t>
  </si>
  <si>
    <t>temperatura del producto</t>
  </si>
  <si>
    <t>Potencia total</t>
  </si>
  <si>
    <t>entrada energia neta</t>
  </si>
  <si>
    <t>Energia de entrada</t>
  </si>
  <si>
    <t>energia de entrada específica</t>
  </si>
  <si>
    <t>tamaño de particula</t>
  </si>
  <si>
    <t>otras medidas</t>
  </si>
  <si>
    <t>producto teórico</t>
  </si>
  <si>
    <t>capacidad de producción</t>
  </si>
  <si>
    <t>refrigeración</t>
  </si>
  <si>
    <t>temperatura de entrada</t>
  </si>
  <si>
    <t>temperatura de salida</t>
  </si>
  <si>
    <t>refrigeración caudal agua</t>
  </si>
  <si>
    <t>observaciones</t>
  </si>
  <si>
    <t>cámara de molienda</t>
  </si>
  <si>
    <t>sello mecánico</t>
  </si>
  <si>
    <t>tanque de circulación</t>
  </si>
  <si>
    <t>refrigerador</t>
  </si>
  <si>
    <t>total</t>
  </si>
  <si>
    <t>pasada</t>
  </si>
  <si>
    <t>circulación</t>
  </si>
  <si>
    <t>suma</t>
  </si>
  <si>
    <t>masa</t>
  </si>
  <si>
    <t>Requerimientos de calidad</t>
  </si>
  <si>
    <t>Russisch</t>
  </si>
  <si>
    <t>Русский (Russian)</t>
  </si>
  <si>
    <t>Отчет о проведении испытаний</t>
  </si>
  <si>
    <t>Толлинг</t>
  </si>
  <si>
    <t>Машина</t>
  </si>
  <si>
    <t>ответственный NETZSCH</t>
  </si>
  <si>
    <t>Оператор</t>
  </si>
  <si>
    <t>Клиент / адрес</t>
  </si>
  <si>
    <t>Клиент присутствует</t>
  </si>
  <si>
    <t>Продукт</t>
  </si>
  <si>
    <t>Дата</t>
  </si>
  <si>
    <t>Установленная мощность</t>
  </si>
  <si>
    <t>Исполнение машины</t>
  </si>
  <si>
    <t>Насос</t>
  </si>
  <si>
    <t>Запорная жидкость</t>
  </si>
  <si>
    <t>Тип мелющих тел</t>
  </si>
  <si>
    <t>Объем</t>
  </si>
  <si>
    <t>Разделительная система</t>
  </si>
  <si>
    <t>Сыпучее</t>
  </si>
  <si>
    <t>Макс.температура</t>
  </si>
  <si>
    <t>Содержание сухого</t>
  </si>
  <si>
    <t>Общая масса</t>
  </si>
  <si>
    <t>Плотность</t>
  </si>
  <si>
    <t>Диспергант</t>
  </si>
  <si>
    <t>Растворитель</t>
  </si>
  <si>
    <t>Подготовка материала</t>
  </si>
  <si>
    <t>Продолжительность</t>
  </si>
  <si>
    <t>Диссольвер необходим</t>
  </si>
  <si>
    <t>Целевая тонина</t>
  </si>
  <si>
    <t>Режим работы</t>
  </si>
  <si>
    <t>Тестовая версия</t>
  </si>
  <si>
    <t>Время работы</t>
  </si>
  <si>
    <t>Кол-во проходов</t>
  </si>
  <si>
    <t>Скорость вала</t>
  </si>
  <si>
    <t>Проход</t>
  </si>
  <si>
    <t>Скорость насоса</t>
  </si>
  <si>
    <t>Давление</t>
  </si>
  <si>
    <t>Температура продукта</t>
  </si>
  <si>
    <t>Мощность брутто</t>
  </si>
  <si>
    <t>Мощность нетто</t>
  </si>
  <si>
    <t>Энергия, затраченная на измельчение</t>
  </si>
  <si>
    <t>Удельная потребляемая энергия</t>
  </si>
  <si>
    <t>Размер частиц</t>
  </si>
  <si>
    <t>Другие измерения</t>
  </si>
  <si>
    <t>Теоретическое кол-во проходов</t>
  </si>
  <si>
    <t>Производственная мощность</t>
  </si>
  <si>
    <t>Охлаждение</t>
  </si>
  <si>
    <t>Температура вход</t>
  </si>
  <si>
    <t>Температура выход</t>
  </si>
  <si>
    <t>Расход охлаждающей жидкости</t>
  </si>
  <si>
    <t>Примечания</t>
  </si>
  <si>
    <t>Размольная камера</t>
  </si>
  <si>
    <t>Торцевое уплотнение</t>
  </si>
  <si>
    <t>Циркуляционная емкость</t>
  </si>
  <si>
    <t>Чиллер</t>
  </si>
  <si>
    <t>Итого</t>
  </si>
  <si>
    <t>Циркуляция</t>
  </si>
  <si>
    <t>Сумма</t>
  </si>
  <si>
    <t>масса</t>
  </si>
  <si>
    <t>требуемое качество</t>
  </si>
  <si>
    <t>Chinesisch</t>
  </si>
  <si>
    <t>中文 (Chinese)</t>
  </si>
  <si>
    <t>测试报告</t>
    <phoneticPr fontId="4" type="noConversion"/>
  </si>
  <si>
    <t>代加工</t>
    <phoneticPr fontId="4" type="noConversion"/>
  </si>
  <si>
    <t>机器</t>
    <phoneticPr fontId="4" type="noConversion"/>
  </si>
  <si>
    <t>耐驰公司负责人</t>
    <phoneticPr fontId="4" type="noConversion"/>
  </si>
  <si>
    <t>操作人员</t>
    <phoneticPr fontId="4" type="noConversion"/>
  </si>
  <si>
    <t>客户/地址</t>
    <phoneticPr fontId="4" type="noConversion"/>
  </si>
  <si>
    <t>客户人员</t>
    <phoneticPr fontId="4" type="noConversion"/>
  </si>
  <si>
    <t>产品</t>
    <phoneticPr fontId="4" type="noConversion"/>
  </si>
  <si>
    <t>日期</t>
    <phoneticPr fontId="4" type="noConversion"/>
  </si>
  <si>
    <t>设定功率</t>
    <phoneticPr fontId="4" type="noConversion"/>
  </si>
  <si>
    <t>机器配置</t>
    <phoneticPr fontId="4" type="noConversion"/>
  </si>
  <si>
    <t>泵</t>
    <phoneticPr fontId="4" type="noConversion"/>
  </si>
  <si>
    <t>密封液</t>
    <phoneticPr fontId="4" type="noConversion"/>
  </si>
  <si>
    <t>研磨介质</t>
    <phoneticPr fontId="4" type="noConversion"/>
  </si>
  <si>
    <t>数量</t>
    <phoneticPr fontId="4" type="noConversion"/>
  </si>
  <si>
    <t>分离系统</t>
    <phoneticPr fontId="4" type="noConversion"/>
  </si>
  <si>
    <t>固体</t>
    <phoneticPr fontId="4" type="noConversion"/>
  </si>
  <si>
    <t>最大温度</t>
    <phoneticPr fontId="4" type="noConversion"/>
  </si>
  <si>
    <t>固含量</t>
    <phoneticPr fontId="4" type="noConversion"/>
  </si>
  <si>
    <t>总重</t>
    <phoneticPr fontId="4" type="noConversion"/>
  </si>
  <si>
    <t>密度</t>
    <phoneticPr fontId="4" type="noConversion"/>
  </si>
  <si>
    <t>分散剂</t>
    <phoneticPr fontId="4" type="noConversion"/>
  </si>
  <si>
    <t>溶剂</t>
    <phoneticPr fontId="4" type="noConversion"/>
  </si>
  <si>
    <t>物料准备情况</t>
    <phoneticPr fontId="4" type="noConversion"/>
  </si>
  <si>
    <t>实验时间</t>
    <phoneticPr fontId="4" type="noConversion"/>
  </si>
  <si>
    <t>预分散</t>
    <phoneticPr fontId="4" type="noConversion"/>
  </si>
  <si>
    <t>目标细度</t>
    <phoneticPr fontId="4" type="noConversion"/>
  </si>
  <si>
    <t>操作模式</t>
    <phoneticPr fontId="4" type="noConversion"/>
  </si>
  <si>
    <t>测试版本</t>
    <phoneticPr fontId="4" type="noConversion"/>
  </si>
  <si>
    <t>运行时间</t>
    <phoneticPr fontId="4" type="noConversion"/>
  </si>
  <si>
    <t>实验次数</t>
    <phoneticPr fontId="4" type="noConversion"/>
  </si>
  <si>
    <t>转速</t>
    <phoneticPr fontId="4" type="noConversion"/>
  </si>
  <si>
    <t>流量</t>
    <phoneticPr fontId="4" type="noConversion"/>
  </si>
  <si>
    <t>泵速</t>
    <phoneticPr fontId="4" type="noConversion"/>
  </si>
  <si>
    <t>压力</t>
    <phoneticPr fontId="4" type="noConversion"/>
  </si>
  <si>
    <t>物料温度</t>
    <phoneticPr fontId="4" type="noConversion"/>
  </si>
  <si>
    <t>总功率</t>
    <phoneticPr fontId="4" type="noConversion"/>
  </si>
  <si>
    <t>有效输入功率</t>
    <phoneticPr fontId="4" type="noConversion"/>
  </si>
  <si>
    <t>研磨能耗</t>
    <phoneticPr fontId="4" type="noConversion"/>
  </si>
  <si>
    <t>额定输入能耗</t>
    <phoneticPr fontId="4" type="noConversion"/>
  </si>
  <si>
    <t>粒度</t>
    <phoneticPr fontId="4" type="noConversion"/>
  </si>
  <si>
    <t>其他测试方法</t>
    <phoneticPr fontId="4" type="noConversion"/>
  </si>
  <si>
    <t>理论循环次数</t>
    <phoneticPr fontId="4" type="noConversion"/>
  </si>
  <si>
    <t>产能</t>
    <phoneticPr fontId="4" type="noConversion"/>
  </si>
  <si>
    <t>冷却</t>
    <phoneticPr fontId="4" type="noConversion"/>
  </si>
  <si>
    <t>进料温度</t>
    <phoneticPr fontId="4" type="noConversion"/>
  </si>
  <si>
    <t>出料温度</t>
    <phoneticPr fontId="4" type="noConversion"/>
  </si>
  <si>
    <t>冷却水流速</t>
    <phoneticPr fontId="4" type="noConversion"/>
  </si>
  <si>
    <t>备注</t>
    <phoneticPr fontId="4" type="noConversion"/>
  </si>
  <si>
    <t>研磨腔体</t>
    <phoneticPr fontId="4" type="noConversion"/>
  </si>
  <si>
    <t>机械密封</t>
    <phoneticPr fontId="4" type="noConversion"/>
  </si>
  <si>
    <t>循环料桶</t>
    <phoneticPr fontId="4" type="noConversion"/>
  </si>
  <si>
    <t>冷却装置</t>
    <phoneticPr fontId="4" type="noConversion"/>
  </si>
  <si>
    <t>批次</t>
    <phoneticPr fontId="4" type="noConversion"/>
  </si>
  <si>
    <t>循环</t>
    <phoneticPr fontId="4" type="noConversion"/>
  </si>
  <si>
    <t>比能输入和</t>
    <phoneticPr fontId="4" type="noConversion"/>
  </si>
  <si>
    <t>质量</t>
  </si>
  <si>
    <t>品质要求</t>
  </si>
  <si>
    <t>Portugisisch</t>
  </si>
  <si>
    <t>Português (Portuguese)</t>
  </si>
  <si>
    <t>Protocolo de Teste</t>
  </si>
  <si>
    <t>Moagem</t>
  </si>
  <si>
    <t>Responsável Netzsch</t>
  </si>
  <si>
    <t>Cliente / Endereço</t>
  </si>
  <si>
    <t>Presença de cliente</t>
  </si>
  <si>
    <t>Produto</t>
  </si>
  <si>
    <t>Potência instalada</t>
  </si>
  <si>
    <t>Equipamento</t>
  </si>
  <si>
    <t>Bomba</t>
  </si>
  <si>
    <t>Líquido de selagem</t>
  </si>
  <si>
    <t>Tipo de esferas</t>
  </si>
  <si>
    <t>Sistema de separação</t>
  </si>
  <si>
    <t>Sólidos</t>
  </si>
  <si>
    <t>Temperatura máxima</t>
  </si>
  <si>
    <t>Teor de sólidos</t>
  </si>
  <si>
    <t>Massa total</t>
  </si>
  <si>
    <t>Densidade</t>
  </si>
  <si>
    <t>Dispersante</t>
  </si>
  <si>
    <t>Preparação do material</t>
  </si>
  <si>
    <t>Duração</t>
  </si>
  <si>
    <t>Dispersor necessário</t>
  </si>
  <si>
    <t>Fineza desejada</t>
  </si>
  <si>
    <t>Modo de operação</t>
  </si>
  <si>
    <t>Versão do teste</t>
  </si>
  <si>
    <t>Tempo</t>
  </si>
  <si>
    <t>Número de passagens</t>
  </si>
  <si>
    <t>Velocidade do agitador</t>
  </si>
  <si>
    <t>Vazão</t>
  </si>
  <si>
    <t>Velocidade da Bomba</t>
  </si>
  <si>
    <t>Pressão</t>
  </si>
  <si>
    <t>Temperatura do produto</t>
  </si>
  <si>
    <t>Energia bruta</t>
  </si>
  <si>
    <t>Energia neto</t>
  </si>
  <si>
    <t>Energia de moagem</t>
  </si>
  <si>
    <t>Energia específica</t>
  </si>
  <si>
    <t>Tamanho de partícula</t>
  </si>
  <si>
    <t>Outras medições</t>
  </si>
  <si>
    <t>Número de ciclos do produto</t>
  </si>
  <si>
    <t>Capacidade de produção</t>
  </si>
  <si>
    <t>Resfriamento</t>
  </si>
  <si>
    <t>Temperatura de entrada</t>
  </si>
  <si>
    <t>Temperatura de saída</t>
  </si>
  <si>
    <t>Vazão de água de resfriamento</t>
  </si>
  <si>
    <t>Observações</t>
  </si>
  <si>
    <t>Câmara de moagem</t>
  </si>
  <si>
    <t>Selo mecânico</t>
  </si>
  <si>
    <t>Tanque de circulação</t>
  </si>
  <si>
    <t>Passagem</t>
  </si>
  <si>
    <t>Circulação</t>
  </si>
  <si>
    <t>Soma</t>
  </si>
  <si>
    <t>Qualidade Requerida</t>
  </si>
  <si>
    <t>Arabisch</t>
  </si>
  <si>
    <t>العربية (Arabic)</t>
  </si>
  <si>
    <t>تقرير الاختبار</t>
  </si>
  <si>
    <t>الطحن للإنتاج المأجور</t>
  </si>
  <si>
    <t>الألة او الماكينة</t>
  </si>
  <si>
    <t>المسؤول من نتش</t>
  </si>
  <si>
    <t>العامل</t>
  </si>
  <si>
    <t>عنوان العميل</t>
  </si>
  <si>
    <t>العميل موجود</t>
  </si>
  <si>
    <t>المادة</t>
  </si>
  <si>
    <t>تاريخ</t>
  </si>
  <si>
    <t>قوة المحرك</t>
  </si>
  <si>
    <t>أجهزة الألة او الماكينة</t>
  </si>
  <si>
    <t>المضخة</t>
  </si>
  <si>
    <t>سائل الحاجز الخاتم</t>
  </si>
  <si>
    <t>نوعية كرات الطحن</t>
  </si>
  <si>
    <t>الحجم</t>
  </si>
  <si>
    <t>نظام الفصل</t>
  </si>
  <si>
    <t>المواد الصلبة</t>
  </si>
  <si>
    <t>الحرارة القصوى</t>
  </si>
  <si>
    <t>نسبة المواد الصلبة</t>
  </si>
  <si>
    <t>مجموع الكتلة</t>
  </si>
  <si>
    <t>الكثافة</t>
  </si>
  <si>
    <t>عامل التشتيت الكيميائي</t>
  </si>
  <si>
    <t>المذيب</t>
  </si>
  <si>
    <t>تحظير المواد</t>
  </si>
  <si>
    <t>المدة</t>
  </si>
  <si>
    <t>الخلاط ضروري</t>
  </si>
  <si>
    <t>النعومة المتوخاة</t>
  </si>
  <si>
    <t>طريقة التشغيل</t>
  </si>
  <si>
    <t>رقم نسخة التجربة</t>
  </si>
  <si>
    <t>مدة التشغيل</t>
  </si>
  <si>
    <t>عدد مرات التمرير</t>
  </si>
  <si>
    <t>سرعة المحرك</t>
  </si>
  <si>
    <t>انتاجية الطحن</t>
  </si>
  <si>
    <t>سرعة المضخة</t>
  </si>
  <si>
    <t>الضغط</t>
  </si>
  <si>
    <t>حرارة المادة</t>
  </si>
  <si>
    <t>القدرة الكهربائية الإجمالية</t>
  </si>
  <si>
    <t xml:space="preserve">القدرة الكهربائية الصافية </t>
  </si>
  <si>
    <t>طاقة الطحن</t>
  </si>
  <si>
    <t xml:space="preserve">طاقة الطحن النوعية </t>
  </si>
  <si>
    <t>حجم الجزيئات</t>
  </si>
  <si>
    <t>قياسات أخرى</t>
  </si>
  <si>
    <t>عدد مرات الطحن النظري</t>
  </si>
  <si>
    <t>الطاقة الانتاجية</t>
  </si>
  <si>
    <t>التبريد</t>
  </si>
  <si>
    <t>الحرارة الأولية</t>
  </si>
  <si>
    <t>الحرارة النهائية</t>
  </si>
  <si>
    <t>كمية ماء التبريد</t>
  </si>
  <si>
    <t>ملاحظات</t>
  </si>
  <si>
    <t>وعاء الطحن</t>
  </si>
  <si>
    <t>حاجز الخاتم الميكانيكي</t>
  </si>
  <si>
    <t>وعاء الخلط</t>
  </si>
  <si>
    <t>المبرد</t>
  </si>
  <si>
    <t>الاجمالي</t>
  </si>
  <si>
    <t>التمرير</t>
  </si>
  <si>
    <t>الدوران</t>
  </si>
  <si>
    <t>المجموع</t>
  </si>
  <si>
    <t>الكتلة</t>
  </si>
  <si>
    <t>الجودة المطلوبة</t>
  </si>
  <si>
    <t>Koreanisch</t>
  </si>
  <si>
    <t>한국어 (Korean)</t>
  </si>
  <si>
    <r>
      <rPr>
        <sz val="10"/>
        <color rgb="FF222222"/>
        <rFont val="맑은 고딕"/>
        <family val="3"/>
        <charset val="129"/>
      </rPr>
      <t>테스트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리포트</t>
    </r>
  </si>
  <si>
    <r>
      <rPr>
        <sz val="10"/>
        <color rgb="FF222222"/>
        <rFont val="맑은 고딕"/>
        <family val="3"/>
        <charset val="129"/>
      </rPr>
      <t>임가공</t>
    </r>
  </si>
  <si>
    <t>설비</t>
  </si>
  <si>
    <r>
      <rPr>
        <sz val="10"/>
        <color rgb="FF222222"/>
        <rFont val="맑은 고딕"/>
        <family val="3"/>
        <charset val="129"/>
      </rPr>
      <t>담당자</t>
    </r>
    <r>
      <rPr>
        <sz val="10"/>
        <color rgb="FF222222"/>
        <rFont val="Arial"/>
        <family val="2"/>
      </rPr>
      <t xml:space="preserve"> - </t>
    </r>
    <r>
      <rPr>
        <sz val="10"/>
        <color rgb="FF222222"/>
        <rFont val="맑은 고딕"/>
        <family val="3"/>
        <charset val="129"/>
      </rPr>
      <t>네취</t>
    </r>
  </si>
  <si>
    <r>
      <rPr>
        <sz val="10"/>
        <color rgb="FF222222"/>
        <rFont val="맑은 고딕"/>
        <family val="3"/>
        <charset val="129"/>
      </rPr>
      <t>운전자</t>
    </r>
  </si>
  <si>
    <r>
      <rPr>
        <sz val="10"/>
        <color rgb="FF222222"/>
        <rFont val="맑은 고딕"/>
        <family val="3"/>
        <charset val="129"/>
      </rPr>
      <t>고객</t>
    </r>
    <r>
      <rPr>
        <sz val="10"/>
        <color rgb="FF222222"/>
        <rFont val="Arial"/>
        <family val="2"/>
      </rPr>
      <t>/</t>
    </r>
    <r>
      <rPr>
        <sz val="10"/>
        <color rgb="FF222222"/>
        <rFont val="맑은 고딕"/>
        <family val="3"/>
        <charset val="129"/>
      </rPr>
      <t>주소</t>
    </r>
  </si>
  <si>
    <r>
      <rPr>
        <sz val="10"/>
        <color rgb="FF222222"/>
        <rFont val="맑은 고딕"/>
        <family val="3"/>
        <charset val="129"/>
      </rPr>
      <t>참관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고객</t>
    </r>
  </si>
  <si>
    <r>
      <rPr>
        <sz val="10"/>
        <color rgb="FF222222"/>
        <rFont val="맑은 고딕"/>
        <family val="3"/>
        <charset val="129"/>
      </rPr>
      <t>제품</t>
    </r>
  </si>
  <si>
    <r>
      <rPr>
        <sz val="10"/>
        <color rgb="FF222222"/>
        <rFont val="맑은 고딕"/>
        <family val="3"/>
        <charset val="129"/>
      </rPr>
      <t>날짜</t>
    </r>
  </si>
  <si>
    <r>
      <rPr>
        <sz val="10"/>
        <color rgb="FF222222"/>
        <rFont val="맑은 고딕"/>
        <family val="3"/>
        <charset val="129"/>
      </rPr>
      <t>모터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용량</t>
    </r>
  </si>
  <si>
    <t>설비 장치</t>
  </si>
  <si>
    <r>
      <rPr>
        <sz val="10"/>
        <color rgb="FF222222"/>
        <rFont val="맑은 고딕"/>
        <family val="3"/>
        <charset val="129"/>
      </rPr>
      <t>펌프</t>
    </r>
  </si>
  <si>
    <r>
      <rPr>
        <sz val="10"/>
        <color rgb="FF222222"/>
        <rFont val="맑은 고딕"/>
        <family val="3"/>
        <charset val="129"/>
      </rPr>
      <t>씰링액</t>
    </r>
  </si>
  <si>
    <r>
      <rPr>
        <sz val="10"/>
        <color rgb="FF222222"/>
        <rFont val="맑은 고딕"/>
        <family val="3"/>
        <charset val="129"/>
      </rPr>
      <t>비드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종류</t>
    </r>
  </si>
  <si>
    <r>
      <rPr>
        <sz val="10"/>
        <color rgb="FF222222"/>
        <rFont val="맑은 고딕"/>
        <family val="3"/>
        <charset val="129"/>
      </rPr>
      <t>부피</t>
    </r>
  </si>
  <si>
    <r>
      <rPr>
        <sz val="10"/>
        <color rgb="FF222222"/>
        <rFont val="맑은 고딕"/>
        <family val="3"/>
        <charset val="129"/>
      </rPr>
      <t>분리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방식</t>
    </r>
  </si>
  <si>
    <r>
      <rPr>
        <sz val="10"/>
        <color rgb="FF222222"/>
        <rFont val="맑은 고딕"/>
        <family val="3"/>
        <charset val="129"/>
      </rPr>
      <t>고형분</t>
    </r>
  </si>
  <si>
    <r>
      <rPr>
        <sz val="10"/>
        <color rgb="FF222222"/>
        <rFont val="맑은 고딕"/>
        <family val="3"/>
        <charset val="129"/>
      </rPr>
      <t>최대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허용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온도</t>
    </r>
  </si>
  <si>
    <r>
      <rPr>
        <sz val="10"/>
        <color rgb="FF222222"/>
        <rFont val="맑은 고딕"/>
        <family val="3"/>
        <charset val="129"/>
      </rPr>
      <t>고형분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농도</t>
    </r>
  </si>
  <si>
    <r>
      <rPr>
        <sz val="10"/>
        <color rgb="FF222222"/>
        <rFont val="맑은 고딕"/>
        <family val="3"/>
        <charset val="129"/>
      </rPr>
      <t>총량</t>
    </r>
  </si>
  <si>
    <r>
      <rPr>
        <sz val="10"/>
        <color rgb="FF222222"/>
        <rFont val="맑은 고딕"/>
        <family val="3"/>
        <charset val="129"/>
      </rPr>
      <t>비중</t>
    </r>
  </si>
  <si>
    <r>
      <rPr>
        <sz val="10"/>
        <color rgb="FF222222"/>
        <rFont val="맑은 고딕"/>
        <family val="3"/>
        <charset val="129"/>
      </rPr>
      <t>분산제</t>
    </r>
  </si>
  <si>
    <r>
      <rPr>
        <sz val="10"/>
        <color rgb="FF222222"/>
        <rFont val="맑은 고딕"/>
        <family val="3"/>
        <charset val="129"/>
      </rPr>
      <t>용제</t>
    </r>
  </si>
  <si>
    <r>
      <rPr>
        <sz val="10"/>
        <color rgb="FF222222"/>
        <rFont val="맑은 고딕"/>
        <family val="3"/>
        <charset val="129"/>
      </rPr>
      <t>제품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전처리</t>
    </r>
  </si>
  <si>
    <r>
      <rPr>
        <sz val="10"/>
        <color rgb="FF222222"/>
        <rFont val="맑은 고딕"/>
        <family val="3"/>
        <charset val="129"/>
      </rPr>
      <t>시간</t>
    </r>
  </si>
  <si>
    <r>
      <rPr>
        <sz val="10"/>
        <color rgb="FF222222"/>
        <rFont val="맑은 고딕"/>
        <family val="3"/>
        <charset val="129"/>
      </rPr>
      <t>디졸버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필요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여부</t>
    </r>
  </si>
  <si>
    <r>
      <rPr>
        <sz val="10"/>
        <color rgb="FF222222"/>
        <rFont val="맑은 고딕"/>
        <family val="3"/>
        <charset val="129"/>
      </rPr>
      <t>목표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입도</t>
    </r>
  </si>
  <si>
    <r>
      <rPr>
        <sz val="10"/>
        <color rgb="FF222222"/>
        <rFont val="맑은 고딕"/>
        <family val="3"/>
        <charset val="129"/>
      </rPr>
      <t>운전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방식</t>
    </r>
  </si>
  <si>
    <r>
      <rPr>
        <sz val="10"/>
        <color rgb="FF222222"/>
        <rFont val="맑은 고딕"/>
        <family val="3"/>
        <charset val="129"/>
      </rPr>
      <t>테스트형식</t>
    </r>
  </si>
  <si>
    <r>
      <rPr>
        <sz val="10"/>
        <color rgb="FF222222"/>
        <rFont val="맑은 고딕"/>
        <family val="3"/>
        <charset val="129"/>
      </rPr>
      <t>운전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시간</t>
    </r>
  </si>
  <si>
    <r>
      <rPr>
        <sz val="10"/>
        <color rgb="FF222222"/>
        <rFont val="맑은 고딕"/>
        <family val="3"/>
        <charset val="129"/>
      </rPr>
      <t>패스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횟수</t>
    </r>
  </si>
  <si>
    <r>
      <rPr>
        <sz val="10"/>
        <color rgb="FF222222"/>
        <rFont val="맑은 고딕"/>
        <family val="3"/>
        <charset val="129"/>
      </rPr>
      <t>아지테이터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회전수</t>
    </r>
  </si>
  <si>
    <r>
      <rPr>
        <sz val="10"/>
        <color rgb="FF222222"/>
        <rFont val="맑은 고딕"/>
        <family val="3"/>
        <charset val="129"/>
      </rPr>
      <t>유량</t>
    </r>
  </si>
  <si>
    <r>
      <rPr>
        <sz val="10"/>
        <color rgb="FF222222"/>
        <rFont val="맑은 고딕"/>
        <family val="3"/>
        <charset val="129"/>
      </rPr>
      <t>펌프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회전수</t>
    </r>
  </si>
  <si>
    <r>
      <rPr>
        <sz val="10"/>
        <color rgb="FF222222"/>
        <rFont val="맑은 고딕"/>
        <family val="3"/>
        <charset val="129"/>
      </rPr>
      <t>압력</t>
    </r>
  </si>
  <si>
    <r>
      <rPr>
        <sz val="10"/>
        <color rgb="FF222222"/>
        <rFont val="맑은 고딕"/>
        <family val="3"/>
        <charset val="129"/>
      </rPr>
      <t>제품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온도</t>
    </r>
  </si>
  <si>
    <r>
      <rPr>
        <sz val="10"/>
        <color rgb="FF222222"/>
        <rFont val="맑은 고딕"/>
        <family val="3"/>
        <charset val="129"/>
      </rPr>
      <t>총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부하</t>
    </r>
  </si>
  <si>
    <r>
      <rPr>
        <sz val="10"/>
        <color rgb="FF222222"/>
        <rFont val="맑은 고딕"/>
        <family val="3"/>
        <charset val="129"/>
      </rPr>
      <t>순수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투입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맑은 고딕"/>
        <family val="3"/>
        <charset val="129"/>
      </rPr>
      <t>부하</t>
    </r>
    <r>
      <rPr>
        <sz val="10"/>
        <color rgb="FF222222"/>
        <rFont val="Arial"/>
        <family val="2"/>
      </rPr>
      <t xml:space="preserve"> </t>
    </r>
  </si>
  <si>
    <r>
      <rPr>
        <sz val="10"/>
        <rFont val="맑은 고딕"/>
        <family val="3"/>
        <charset val="129"/>
      </rPr>
      <t>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에너지</t>
    </r>
  </si>
  <si>
    <r>
      <rPr>
        <sz val="10"/>
        <rFont val="맑은 고딕"/>
        <family val="3"/>
        <charset val="129"/>
      </rPr>
      <t>단위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에너지</t>
    </r>
  </si>
  <si>
    <r>
      <rPr>
        <sz val="10"/>
        <rFont val="맑은 고딕"/>
        <family val="3"/>
        <charset val="129"/>
      </rPr>
      <t>입도</t>
    </r>
  </si>
  <si>
    <r>
      <rPr>
        <sz val="10"/>
        <rFont val="맑은 고딕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측정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장비</t>
    </r>
  </si>
  <si>
    <r>
      <rPr>
        <sz val="10"/>
        <rFont val="맑은 고딕"/>
        <family val="3"/>
        <charset val="129"/>
      </rPr>
      <t>제품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순환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횟수</t>
    </r>
  </si>
  <si>
    <r>
      <rPr>
        <sz val="10"/>
        <rFont val="맑은 고딕"/>
        <family val="3"/>
        <charset val="129"/>
      </rPr>
      <t>생산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용량</t>
    </r>
  </si>
  <si>
    <r>
      <rPr>
        <sz val="10"/>
        <rFont val="맑은 고딕"/>
        <family val="3"/>
        <charset val="129"/>
      </rPr>
      <t>냉각</t>
    </r>
  </si>
  <si>
    <r>
      <rPr>
        <sz val="10"/>
        <rFont val="맑은 고딕"/>
        <family val="3"/>
        <charset val="129"/>
      </rPr>
      <t>유입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온도</t>
    </r>
  </si>
  <si>
    <r>
      <rPr>
        <sz val="10"/>
        <rFont val="맑은 고딕"/>
        <family val="3"/>
        <charset val="129"/>
      </rPr>
      <t>배출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온도</t>
    </r>
  </si>
  <si>
    <r>
      <rPr>
        <sz val="10"/>
        <rFont val="맑은 고딕"/>
        <family val="3"/>
        <charset val="129"/>
      </rPr>
      <t>냉가수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유량</t>
    </r>
  </si>
  <si>
    <r>
      <rPr>
        <sz val="10"/>
        <rFont val="맑은 고딕"/>
        <family val="3"/>
        <charset val="129"/>
      </rPr>
      <t>비고</t>
    </r>
  </si>
  <si>
    <r>
      <rPr>
        <sz val="10"/>
        <rFont val="맑은 고딕"/>
        <family val="3"/>
        <charset val="129"/>
      </rPr>
      <t>그라인딩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챔버</t>
    </r>
  </si>
  <si>
    <r>
      <rPr>
        <sz val="10"/>
        <rFont val="맑은 고딕"/>
        <family val="3"/>
        <charset val="129"/>
      </rPr>
      <t>메카니칼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씰</t>
    </r>
  </si>
  <si>
    <r>
      <rPr>
        <sz val="10"/>
        <rFont val="맑은 고딕"/>
        <family val="3"/>
        <charset val="129"/>
      </rPr>
      <t>순환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탱크</t>
    </r>
  </si>
  <si>
    <r>
      <rPr>
        <sz val="10"/>
        <rFont val="맑은 고딕"/>
        <family val="3"/>
        <charset val="129"/>
      </rPr>
      <t>냉각기</t>
    </r>
  </si>
  <si>
    <r>
      <rPr>
        <sz val="10"/>
        <rFont val="맑은 고딕"/>
        <family val="3"/>
        <charset val="129"/>
      </rPr>
      <t>총합</t>
    </r>
  </si>
  <si>
    <r>
      <rPr>
        <sz val="10"/>
        <rFont val="맑은 고딕"/>
        <family val="3"/>
        <charset val="129"/>
      </rPr>
      <t>패스</t>
    </r>
  </si>
  <si>
    <r>
      <rPr>
        <sz val="10"/>
        <rFont val="맑은 고딕"/>
        <family val="3"/>
        <charset val="129"/>
      </rPr>
      <t>순환</t>
    </r>
  </si>
  <si>
    <r>
      <rPr>
        <sz val="10"/>
        <rFont val="맑은 고딕"/>
        <family val="3"/>
        <charset val="129"/>
      </rPr>
      <t>합계</t>
    </r>
  </si>
  <si>
    <t>질량</t>
  </si>
  <si>
    <t>품질요구사항</t>
  </si>
  <si>
    <t>Türkisch</t>
  </si>
  <si>
    <t>Türkçe (Turkish)</t>
  </si>
  <si>
    <t>Test Raporu</t>
  </si>
  <si>
    <t>Fason Öğütme</t>
  </si>
  <si>
    <t>Makine</t>
  </si>
  <si>
    <t>Sorumlu - NETZSCH</t>
  </si>
  <si>
    <t>Müşteri / Adres</t>
  </si>
  <si>
    <t>Müşteri Katılımı</t>
  </si>
  <si>
    <t>Ürün</t>
  </si>
  <si>
    <t>Tarih</t>
  </si>
  <si>
    <t>Kurulu Güç</t>
  </si>
  <si>
    <t>Makine Ekipmanı</t>
  </si>
  <si>
    <t>Sızdırmazlık Sıvısı</t>
  </si>
  <si>
    <t>Öğütme Bilyaları Tipi</t>
  </si>
  <si>
    <t>Hacim</t>
  </si>
  <si>
    <t>Ayırma Sistemi</t>
  </si>
  <si>
    <t>Katı</t>
  </si>
  <si>
    <t>Max. Sıcaklık</t>
  </si>
  <si>
    <t>Katı Oranı</t>
  </si>
  <si>
    <t>Toplam Kütle</t>
  </si>
  <si>
    <t>Yoğunluk</t>
  </si>
  <si>
    <t>Katkı</t>
  </si>
  <si>
    <t>Çözücü</t>
  </si>
  <si>
    <t>Malzeme Hazırlama</t>
  </si>
  <si>
    <t>Süre</t>
  </si>
  <si>
    <t>Dissolver Gerekli</t>
  </si>
  <si>
    <t>Hedef İncelik</t>
  </si>
  <si>
    <t>Operasyon Modu</t>
  </si>
  <si>
    <t>Test Versiyonu</t>
  </si>
  <si>
    <t>İşletme Süresi</t>
  </si>
  <si>
    <t>Geçiş Sayısı</t>
  </si>
  <si>
    <t>Şaft Hızı</t>
  </si>
  <si>
    <t>Debi</t>
  </si>
  <si>
    <t>Pompa Hızı</t>
  </si>
  <si>
    <t>Basınç</t>
  </si>
  <si>
    <t>Ürün Sıcaklığı</t>
  </si>
  <si>
    <t>Brüt Güç</t>
  </si>
  <si>
    <t>Net Güç Girişi</t>
  </si>
  <si>
    <t>Öğütme Enerjisi Girişi</t>
  </si>
  <si>
    <t>Spesifik Enerji Girişi</t>
  </si>
  <si>
    <t>Tanecik Boyutu</t>
  </si>
  <si>
    <t>Diğer Ölçümler</t>
  </si>
  <si>
    <t>Teorik Ürün Çevrimi</t>
  </si>
  <si>
    <t>Üretim Kapasitesi</t>
  </si>
  <si>
    <t>Soğutma</t>
  </si>
  <si>
    <t>Giriş Sıcaklığı</t>
  </si>
  <si>
    <t>Çıkış Sıcaklığı</t>
  </si>
  <si>
    <t>Soğutma Suyu Debisi</t>
  </si>
  <si>
    <t>Yorumlar</t>
  </si>
  <si>
    <t>Öğütme Haznesi</t>
  </si>
  <si>
    <t>Mekanik Salmastra</t>
  </si>
  <si>
    <t>Sirkülasyon Tankı</t>
  </si>
  <si>
    <t>Soğutucu</t>
  </si>
  <si>
    <t>Toplam</t>
  </si>
  <si>
    <t>Geçiş</t>
  </si>
  <si>
    <t>Sirkülasyon</t>
  </si>
  <si>
    <t>Miktar</t>
  </si>
  <si>
    <t>kütle</t>
  </si>
  <si>
    <t>kalite gereksinimi</t>
  </si>
  <si>
    <t>Hindi</t>
  </si>
  <si>
    <t xml:space="preserve">हिंदी (Hindi)
</t>
  </si>
  <si>
    <t>परीक्षण रिपोर्ट</t>
  </si>
  <si>
    <t>टोल पिसाई</t>
  </si>
  <si>
    <t>मशीन</t>
  </si>
  <si>
    <t>उत्तरदायी अभियंता</t>
  </si>
  <si>
    <t>ऑपरेटर</t>
  </si>
  <si>
    <t>ग्राहक / पता</t>
  </si>
  <si>
    <t xml:space="preserve">उपस्थित ग्राहक </t>
  </si>
  <si>
    <t>उत्पाद</t>
  </si>
  <si>
    <t>दिनांक</t>
  </si>
  <si>
    <t>स्थापित ऊर्जा</t>
  </si>
  <si>
    <t>मशीन उपकरण</t>
  </si>
  <si>
    <t>पंप</t>
  </si>
  <si>
    <t>सील द्रव पदार्थ</t>
  </si>
  <si>
    <t>बीदस प्रकार</t>
  </si>
  <si>
    <t>आयतन</t>
  </si>
  <si>
    <t>पृथक् प्रणाली</t>
  </si>
  <si>
    <t>ठोस</t>
  </si>
  <si>
    <t>अधिकतम तापमान</t>
  </si>
  <si>
    <t>ठोस अंश</t>
  </si>
  <si>
    <t>कुल द्रव्यमान</t>
  </si>
  <si>
    <t>घनत्व</t>
  </si>
  <si>
    <t>डिसपर्सन द्रव</t>
  </si>
  <si>
    <t>विलायक द्रव</t>
  </si>
  <si>
    <t>सामग्री बनाना</t>
  </si>
  <si>
    <t>अवधि</t>
  </si>
  <si>
    <t>विघटन आवश्यकता</t>
  </si>
  <si>
    <t>लक्षित आकार</t>
  </si>
  <si>
    <t>ऑपरेशन प्रणाली</t>
  </si>
  <si>
    <t>परीक्षण संस्करण</t>
  </si>
  <si>
    <t xml:space="preserve">समय </t>
  </si>
  <si>
    <t>पासेज की संख्या</t>
  </si>
  <si>
    <t>एजीटेटर की गति</t>
  </si>
  <si>
    <t>थ्रूपुट</t>
  </si>
  <si>
    <t>पंप की गति</t>
  </si>
  <si>
    <t>दबाव</t>
  </si>
  <si>
    <t>उत्पाद तापमान</t>
  </si>
  <si>
    <t>सकल ऊर्जा</t>
  </si>
  <si>
    <t>शुद्ध ऊर्जा इनपुट</t>
  </si>
  <si>
    <t>पिसाई ऊर्जा इनपुट</t>
  </si>
  <si>
    <t>विशिष्ट ऊर्जा इनपुट</t>
  </si>
  <si>
    <t>कण का आकार</t>
  </si>
  <si>
    <t>अन्य माप</t>
  </si>
  <si>
    <t>सैद्धांतिक उत्पाद क्षेत्र</t>
  </si>
  <si>
    <t>उत्पादन क्षमता</t>
  </si>
  <si>
    <t>ठंडा</t>
  </si>
  <si>
    <t>तापमान इनलेट</t>
  </si>
  <si>
    <t>तापमान आउटलेट</t>
  </si>
  <si>
    <t>ठंडा पानी के प्रवाह की दर</t>
  </si>
  <si>
    <t>टिप्पणी</t>
  </si>
  <si>
    <t>पिसाई कक्ष</t>
  </si>
  <si>
    <t>मैकेनिकल सील</t>
  </si>
  <si>
    <t>संचलन टैंक</t>
  </si>
  <si>
    <t>चिलर</t>
  </si>
  <si>
    <t>संपूर्ण</t>
  </si>
  <si>
    <t>पासेज</t>
  </si>
  <si>
    <t>संचलन</t>
  </si>
  <si>
    <t xml:space="preserve">
योग</t>
  </si>
  <si>
    <t>सामूहिक  </t>
  </si>
  <si>
    <t>गुणवत्ता की आवश्यकताएं</t>
  </si>
  <si>
    <t>Gearpump</t>
  </si>
  <si>
    <t>CeraBeads (3.8 kg/l)</t>
  </si>
  <si>
    <t>Sample from the circulat. tank</t>
  </si>
  <si>
    <t>Zetasizer</t>
  </si>
  <si>
    <t>Nemopump</t>
  </si>
  <si>
    <t>ZetaBeads Plus (3.65 kg/l)</t>
  </si>
  <si>
    <t>please select</t>
  </si>
  <si>
    <t>Grindometer</t>
  </si>
  <si>
    <t>Air diaphragm pump</t>
  </si>
  <si>
    <t>ZetaBeads Nano (3.65 kg/l)</t>
  </si>
  <si>
    <t>EM diaphragm pump</t>
  </si>
  <si>
    <t>SteelBeads (4.7 kg/l)</t>
  </si>
  <si>
    <t>GlassBeads (1.5 kg/l)</t>
  </si>
  <si>
    <t>Materials circ:</t>
  </si>
  <si>
    <t>ZS-Beads (2.4 kg/l)</t>
  </si>
  <si>
    <t>Materials pass: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</si>
</sst>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/\ yyyy;@"/>
    <numFmt numFmtId="165" formatCode="\d##"/>
    <numFmt numFmtId="166" formatCode="0.0"/>
    <numFmt numFmtId="167" formatCode="0.000"/>
    <numFmt numFmtId="168" formatCode="0.0%"/>
  </numFmts>
  <fonts count="44">
    <font>
      <sz val="10"/>
      <name val="Arial"/>
    </font>
    <font>
      <sz val="11"/>
      <color theme="1"/>
      <name val="Constantia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color rgb="FF22222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Constantia"/>
      <family val="2"/>
      <scheme val="minor"/>
    </font>
    <font>
      <sz val="9"/>
      <color rgb="FF222222"/>
      <name val="Arial"/>
      <family val="2"/>
    </font>
    <font>
      <sz val="10"/>
      <color rgb="FF222222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222222"/>
      <name val="宋体"/>
      <family val="3"/>
      <charset val="134"/>
    </font>
    <font>
      <sz val="11"/>
      <name val="宋体"/>
      <family val="3"/>
      <charset val="134"/>
    </font>
    <font>
      <sz val="8"/>
      <color rgb="FF222222"/>
      <name val="Arial"/>
      <family val="2"/>
    </font>
    <font>
      <sz val="11"/>
      <color rgb="FF222222"/>
      <name val="Arial"/>
      <family val="2"/>
    </font>
    <font>
      <vertAlign val="subscript"/>
      <sz val="9"/>
      <name val="Arial"/>
      <family val="2"/>
    </font>
    <font>
      <sz val="24"/>
      <color rgb="FFFF0000"/>
      <name val="Arial"/>
      <family val="2"/>
    </font>
    <font>
      <b/>
      <i/>
      <sz val="24"/>
      <color rgb="FFFF000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  <font>
      <sz val="12"/>
      <name val="Calibri"/>
      <family val="2"/>
    </font>
    <font>
      <sz val="11"/>
      <color theme="1"/>
      <name val="Mangal"/>
      <family val="1"/>
    </font>
    <font>
      <vertAlign val="subscript"/>
      <sz val="8"/>
      <name val="Arial"/>
      <family val="2"/>
    </font>
    <font>
      <sz val="10"/>
      <color rgb="FF000000"/>
      <name val="Arial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trike/>
      <sz val="11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Up="1" diagonalDown="1">
      <left style="hair">
        <color indexed="64"/>
      </left>
      <right style="hair">
        <color indexed="64"/>
      </right>
      <top/>
      <bottom/>
      <diagonal style="hair">
        <color indexed="64"/>
      </diagonal>
    </border>
    <border diagonalUp="1"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9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2" fillId="0" borderId="0" xfId="3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6" fillId="0" borderId="0" xfId="0" applyFont="1" applyAlignment="1">
      <alignment horizontal="left" vertical="center"/>
    </xf>
    <xf numFmtId="167" fontId="3" fillId="0" borderId="17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9" fillId="0" borderId="38" xfId="0" applyFont="1" applyBorder="1" applyAlignment="1">
      <alignment horizontal="right" vertical="center"/>
    </xf>
    <xf numFmtId="0" fontId="13" fillId="0" borderId="31" xfId="0" applyFont="1" applyBorder="1" applyAlignment="1">
      <alignment vertical="center"/>
    </xf>
    <xf numFmtId="165" fontId="2" fillId="0" borderId="31" xfId="0" applyNumberFormat="1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3" applyAlignment="1">
      <alignment horizontal="right" vertical="center"/>
    </xf>
    <xf numFmtId="0" fontId="32" fillId="0" borderId="0" xfId="0" applyFont="1" applyAlignment="1">
      <alignment vertical="center"/>
    </xf>
    <xf numFmtId="0" fontId="15" fillId="0" borderId="0" xfId="3" applyFont="1" applyAlignment="1">
      <alignment vertical="center"/>
    </xf>
    <xf numFmtId="0" fontId="15" fillId="0" borderId="0" xfId="2" applyFont="1" applyAlignment="1">
      <alignment vertical="center"/>
    </xf>
    <xf numFmtId="0" fontId="2" fillId="0" borderId="0" xfId="3" applyAlignment="1">
      <alignment vertical="center"/>
    </xf>
    <xf numFmtId="0" fontId="2" fillId="0" borderId="0" xfId="0" applyFont="1" applyAlignment="1">
      <alignment vertical="center"/>
    </xf>
    <xf numFmtId="166" fontId="35" fillId="0" borderId="19" xfId="0" applyNumberFormat="1" applyFont="1" applyBorder="1" applyAlignment="1">
      <alignment horizontal="center" vertical="center"/>
    </xf>
    <xf numFmtId="165" fontId="13" fillId="0" borderId="38" xfId="0" applyNumberFormat="1" applyFont="1" applyBorder="1" applyAlignment="1">
      <alignment horizontal="right" vertical="center" wrapText="1"/>
    </xf>
    <xf numFmtId="0" fontId="13" fillId="0" borderId="22" xfId="0" applyFont="1" applyBorder="1" applyAlignment="1">
      <alignment horizontal="right" vertical="center" wrapText="1"/>
    </xf>
    <xf numFmtId="165" fontId="13" fillId="0" borderId="38" xfId="0" applyNumberFormat="1" applyFont="1" applyBorder="1" applyAlignment="1">
      <alignment vertical="center" wrapText="1"/>
    </xf>
    <xf numFmtId="0" fontId="13" fillId="0" borderId="25" xfId="0" applyFont="1" applyBorder="1" applyAlignment="1">
      <alignment vertical="center"/>
    </xf>
    <xf numFmtId="0" fontId="2" fillId="0" borderId="38" xfId="0" applyFont="1" applyBorder="1" applyAlignment="1" applyProtection="1">
      <alignment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horizontal="right" vertical="center"/>
      <protection locked="0"/>
    </xf>
    <xf numFmtId="0" fontId="2" fillId="0" borderId="21" xfId="1" applyNumberFormat="1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29" xfId="0" applyFont="1" applyBorder="1" applyAlignment="1" applyProtection="1">
      <alignment horizontal="right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 hidden="1"/>
    </xf>
    <xf numFmtId="0" fontId="0" fillId="0" borderId="13" xfId="0" applyBorder="1" applyAlignment="1" applyProtection="1">
      <alignment horizontal="center" vertical="center"/>
      <protection locked="0" hidden="1"/>
    </xf>
    <xf numFmtId="0" fontId="3" fillId="0" borderId="14" xfId="0" applyFont="1" applyBorder="1" applyAlignment="1" applyProtection="1">
      <alignment horizontal="center" vertical="center"/>
      <protection locked="0" hidden="1"/>
    </xf>
    <xf numFmtId="0" fontId="3" fillId="0" borderId="15" xfId="0" applyFont="1" applyBorder="1" applyAlignment="1" applyProtection="1">
      <alignment horizontal="center" vertical="center"/>
      <protection locked="0" hidden="1"/>
    </xf>
    <xf numFmtId="0" fontId="3" fillId="0" borderId="17" xfId="0" applyFont="1" applyBorder="1" applyAlignment="1" applyProtection="1">
      <alignment horizontal="center" vertical="center"/>
      <protection locked="0" hidden="1"/>
    </xf>
    <xf numFmtId="0" fontId="3" fillId="0" borderId="18" xfId="0" applyFont="1" applyBorder="1" applyAlignment="1" applyProtection="1">
      <alignment horizontal="center" vertical="center"/>
      <protection locked="0" hidden="1"/>
    </xf>
    <xf numFmtId="167" fontId="3" fillId="0" borderId="17" xfId="0" applyNumberFormat="1" applyFont="1" applyBorder="1" applyAlignment="1" applyProtection="1">
      <alignment horizontal="center" vertical="center"/>
      <protection locked="0" hidden="1"/>
    </xf>
    <xf numFmtId="166" fontId="3" fillId="0" borderId="19" xfId="0" applyNumberFormat="1" applyFont="1" applyBorder="1" applyAlignment="1" applyProtection="1">
      <alignment horizontal="center" vertical="center"/>
      <protection locked="0" hidden="1"/>
    </xf>
    <xf numFmtId="165" fontId="2" fillId="0" borderId="25" xfId="0" applyNumberFormat="1" applyFont="1" applyBorder="1" applyAlignment="1" applyProtection="1">
      <alignment horizontal="right" vertical="center"/>
      <protection locked="0"/>
    </xf>
    <xf numFmtId="165" fontId="2" fillId="0" borderId="24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8" fillId="0" borderId="0" xfId="0" applyFont="1" applyProtection="1">
      <protection locked="0"/>
    </xf>
    <xf numFmtId="0" fontId="3" fillId="0" borderId="47" xfId="0" applyFont="1" applyBorder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38" fillId="0" borderId="0" xfId="0" applyFont="1" applyAlignment="1">
      <alignment horizontal="left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>
      <alignment horizontal="left" vertical="center" indent="1"/>
    </xf>
    <xf numFmtId="0" fontId="3" fillId="0" borderId="0" xfId="0" applyFont="1"/>
    <xf numFmtId="9" fontId="0" fillId="0" borderId="0" xfId="0" applyNumberFormat="1"/>
    <xf numFmtId="49" fontId="2" fillId="0" borderId="0" xfId="0" applyNumberFormat="1" applyFont="1"/>
    <xf numFmtId="9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68" fontId="3" fillId="0" borderId="17" xfId="0" applyNumberFormat="1" applyFont="1" applyBorder="1" applyAlignment="1" applyProtection="1">
      <alignment horizontal="center" vertical="center"/>
      <protection locked="0"/>
    </xf>
    <xf numFmtId="2" fontId="3" fillId="0" borderId="17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167" fontId="3" fillId="0" borderId="38" xfId="0" applyNumberFormat="1" applyFont="1" applyBorder="1" applyAlignment="1" applyProtection="1">
      <alignment horizontal="center" vertical="center"/>
      <protection locked="0" hidden="1"/>
    </xf>
    <xf numFmtId="0" fontId="3" fillId="0" borderId="38" xfId="0" applyFont="1" applyBorder="1" applyAlignment="1" applyProtection="1">
      <alignment horizontal="center" vertical="center"/>
      <protection locked="0" hidden="1"/>
    </xf>
    <xf numFmtId="0" fontId="41" fillId="0" borderId="0" xfId="0" applyFont="1" applyAlignment="1">
      <alignment horizontal="center" vertical="center"/>
    </xf>
    <xf numFmtId="49" fontId="3" fillId="0" borderId="17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>
      <alignment horizontal="center"/>
    </xf>
    <xf numFmtId="0" fontId="39" fillId="5" borderId="0" xfId="0" applyFont="1" applyFill="1" applyAlignment="1">
      <alignment horizontal="left" vertical="center" indent="1"/>
    </xf>
    <xf numFmtId="0" fontId="0" fillId="5" borderId="0" xfId="0" applyFill="1"/>
    <xf numFmtId="0" fontId="39" fillId="4" borderId="0" xfId="0" applyFont="1" applyFill="1" applyAlignment="1">
      <alignment horizontal="left" vertical="center" indent="1"/>
    </xf>
    <xf numFmtId="0" fontId="0" fillId="4" borderId="0" xfId="0" applyFill="1"/>
    <xf numFmtId="166" fontId="3" fillId="0" borderId="17" xfId="0" applyNumberFormat="1" applyFont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 hidden="1"/>
    </xf>
    <xf numFmtId="168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0" fillId="0" borderId="0" xfId="0" applyNumberFormat="1"/>
    <xf numFmtId="1" fontId="3" fillId="0" borderId="0" xfId="0" applyNumberFormat="1" applyFont="1"/>
    <xf numFmtId="0" fontId="10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8" borderId="0" xfId="0" applyFill="1"/>
    <xf numFmtId="167" fontId="3" fillId="0" borderId="18" xfId="0" applyNumberFormat="1" applyFont="1" applyBorder="1" applyAlignment="1" applyProtection="1">
      <alignment horizontal="center" vertical="center"/>
      <protection locked="0" hidden="1"/>
    </xf>
    <xf numFmtId="0" fontId="6" fillId="0" borderId="1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2" fontId="0" fillId="0" borderId="0" xfId="0" applyNumberFormat="1" applyProtection="1">
      <protection locked="0"/>
    </xf>
    <xf numFmtId="2" fontId="2" fillId="0" borderId="0" xfId="0" applyNumberFormat="1" applyFont="1" applyProtection="1">
      <protection locked="0"/>
    </xf>
    <xf numFmtId="166" fontId="3" fillId="0" borderId="17" xfId="0" applyNumberFormat="1" applyFont="1" applyBorder="1" applyAlignment="1" applyProtection="1">
      <alignment horizontal="center" vertical="center"/>
      <protection locked="0" hidden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166" fontId="3" fillId="0" borderId="0" xfId="0" applyNumberFormat="1" applyFont="1" applyAlignment="1" applyProtection="1">
      <alignment horizontal="center" vertical="center"/>
      <protection locked="0" hidden="1"/>
    </xf>
    <xf numFmtId="2" fontId="3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3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164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5" fillId="0" borderId="2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>
      <alignment horizontal="right" vertical="center" wrapText="1"/>
    </xf>
    <xf numFmtId="0" fontId="13" fillId="0" borderId="17" xfId="0" applyFont="1" applyBorder="1" applyAlignment="1">
      <alignment horizontal="right" vertical="center" wrapText="1"/>
    </xf>
    <xf numFmtId="0" fontId="13" fillId="0" borderId="22" xfId="0" applyFont="1" applyBorder="1" applyAlignment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3" fillId="0" borderId="34" xfId="0" applyFont="1" applyBorder="1" applyAlignment="1" applyProtection="1">
      <alignment horizontal="center" vertical="center"/>
      <protection locked="0" hidden="1"/>
    </xf>
    <xf numFmtId="0" fontId="3" fillId="0" borderId="2" xfId="0" applyFont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29" xfId="0" applyFont="1" applyBorder="1" applyAlignment="1">
      <alignment horizontal="right" vertical="center"/>
    </xf>
    <xf numFmtId="0" fontId="6" fillId="0" borderId="30" xfId="0" applyFont="1" applyBorder="1" applyAlignment="1">
      <alignment horizontal="right" vertical="center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2" fillId="0" borderId="25" xfId="0" applyFont="1" applyBorder="1" applyAlignment="1" applyProtection="1">
      <alignment horizontal="right" vertical="center" wrapText="1"/>
      <protection locked="0"/>
    </xf>
    <xf numFmtId="0" fontId="6" fillId="0" borderId="25" xfId="0" applyFont="1" applyBorder="1" applyAlignment="1">
      <alignment horizontal="right" vertical="center" wrapText="1"/>
    </xf>
    <xf numFmtId="0" fontId="6" fillId="0" borderId="31" xfId="0" applyFont="1" applyBorder="1" applyAlignment="1">
      <alignment horizontal="right" vertical="center" wrapText="1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6" fillId="0" borderId="39" xfId="0" applyFont="1" applyBorder="1" applyAlignment="1">
      <alignment horizontal="right" vertical="center"/>
    </xf>
    <xf numFmtId="0" fontId="6" fillId="0" borderId="36" xfId="0" applyFont="1" applyBorder="1" applyAlignment="1">
      <alignment horizontal="right" vertical="center"/>
    </xf>
    <xf numFmtId="0" fontId="6" fillId="0" borderId="40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34" fillId="0" borderId="38" xfId="0" applyFont="1" applyBorder="1" applyAlignment="1">
      <alignment horizontal="right" vertical="center"/>
    </xf>
    <xf numFmtId="0" fontId="34" fillId="0" borderId="21" xfId="0" applyFont="1" applyBorder="1" applyAlignment="1">
      <alignment horizontal="right" vertical="center"/>
    </xf>
    <xf numFmtId="0" fontId="6" fillId="0" borderId="38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34" fillId="0" borderId="21" xfId="0" applyFont="1" applyBorder="1" applyAlignment="1" applyProtection="1">
      <alignment horizontal="center" vertical="center"/>
      <protection locked="0"/>
    </xf>
    <xf numFmtId="0" fontId="37" fillId="0" borderId="24" xfId="0" applyFont="1" applyBorder="1" applyAlignment="1">
      <alignment horizontal="right" vertical="center"/>
    </xf>
    <xf numFmtId="0" fontId="37" fillId="0" borderId="31" xfId="0" applyFont="1" applyBorder="1" applyAlignment="1">
      <alignment horizontal="right" vertical="center"/>
    </xf>
    <xf numFmtId="0" fontId="2" fillId="0" borderId="29" xfId="0" applyFont="1" applyBorder="1" applyAlignment="1" applyProtection="1">
      <alignment horizontal="right" vertical="center"/>
      <protection locked="0"/>
    </xf>
    <xf numFmtId="2" fontId="2" fillId="0" borderId="38" xfId="0" applyNumberFormat="1" applyFont="1" applyBorder="1" applyAlignment="1">
      <alignment horizontal="right" vertical="center"/>
    </xf>
    <xf numFmtId="2" fontId="2" fillId="0" borderId="21" xfId="0" applyNumberFormat="1" applyFont="1" applyBorder="1" applyAlignment="1">
      <alignment horizontal="right" vertical="center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2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right" vertical="center"/>
    </xf>
    <xf numFmtId="0" fontId="13" fillId="0" borderId="30" xfId="0" applyFont="1" applyBorder="1" applyAlignment="1">
      <alignment horizontal="right" vertical="center"/>
    </xf>
    <xf numFmtId="0" fontId="2" fillId="0" borderId="25" xfId="0" applyFont="1" applyBorder="1" applyAlignment="1" applyProtection="1">
      <alignment horizontal="right" vertical="center"/>
      <protection locked="0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left"/>
    </xf>
    <xf numFmtId="0" fontId="6" fillId="0" borderId="41" xfId="0" applyFont="1" applyBorder="1" applyAlignment="1">
      <alignment horizontal="right" vertical="center"/>
    </xf>
    <xf numFmtId="0" fontId="6" fillId="0" borderId="37" xfId="0" applyFont="1" applyBorder="1" applyAlignment="1">
      <alignment horizontal="right" vertical="center"/>
    </xf>
    <xf numFmtId="165" fontId="2" fillId="0" borderId="22" xfId="0" applyNumberFormat="1" applyFont="1" applyBorder="1" applyAlignment="1" applyProtection="1">
      <alignment horizontal="right" vertical="center" wrapText="1"/>
      <protection locked="0"/>
    </xf>
    <xf numFmtId="165" fontId="2" fillId="0" borderId="17" xfId="0" applyNumberFormat="1" applyFont="1" applyBorder="1" applyAlignment="1" applyProtection="1">
      <alignment horizontal="right" vertical="center" wrapText="1"/>
      <protection locked="0"/>
    </xf>
    <xf numFmtId="0" fontId="6" fillId="0" borderId="17" xfId="0" applyFont="1" applyBorder="1" applyAlignment="1" applyProtection="1">
      <alignment horizontal="center" vertical="center" textRotation="90" wrapText="1"/>
      <protection locked="0"/>
    </xf>
    <xf numFmtId="0" fontId="6" fillId="0" borderId="46" xfId="0" applyFont="1" applyBorder="1" applyAlignment="1" applyProtection="1">
      <alignment horizontal="center" vertical="center" textRotation="90" wrapText="1"/>
      <protection locked="0"/>
    </xf>
    <xf numFmtId="0" fontId="6" fillId="0" borderId="47" xfId="0" applyFont="1" applyBorder="1" applyAlignment="1" applyProtection="1">
      <alignment horizontal="center" vertical="center" textRotation="90" wrapText="1"/>
      <protection locked="0"/>
    </xf>
    <xf numFmtId="0" fontId="6" fillId="0" borderId="27" xfId="0" applyFont="1" applyBorder="1" applyAlignment="1" applyProtection="1">
      <alignment horizontal="center" vertical="center" textRotation="90" wrapText="1"/>
      <protection locked="0"/>
    </xf>
    <xf numFmtId="0" fontId="6" fillId="0" borderId="19" xfId="0" applyFont="1" applyBorder="1" applyAlignment="1">
      <alignment horizontal="right" vertic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3" fillId="0" borderId="54" xfId="0" applyFont="1" applyBorder="1" applyAlignment="1" applyProtection="1">
      <alignment horizontal="center" vertical="center"/>
      <protection locked="0"/>
    </xf>
    <xf numFmtId="0" fontId="3" fillId="0" borderId="55" xfId="0" applyFont="1" applyBorder="1" applyAlignment="1" applyProtection="1">
      <alignment horizontal="center" vertical="center"/>
      <protection locked="0"/>
    </xf>
    <xf numFmtId="0" fontId="3" fillId="0" borderId="56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>
      <alignment horizontal="right" vertical="center"/>
    </xf>
    <xf numFmtId="0" fontId="6" fillId="0" borderId="35" xfId="0" applyFont="1" applyBorder="1" applyAlignment="1">
      <alignment horizontal="right" vertical="center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21" xfId="0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0" fontId="6" fillId="0" borderId="21" xfId="0" applyFont="1" applyBorder="1" applyAlignment="1">
      <alignment horizontal="left" vertical="center"/>
    </xf>
    <xf numFmtId="10" fontId="3" fillId="3" borderId="38" xfId="0" applyNumberFormat="1" applyFont="1" applyFill="1" applyBorder="1" applyAlignment="1" applyProtection="1">
      <alignment horizontal="right" vertical="center"/>
      <protection locked="0" hidden="1"/>
    </xf>
    <xf numFmtId="10" fontId="3" fillId="3" borderId="22" xfId="0" applyNumberFormat="1" applyFont="1" applyFill="1" applyBorder="1" applyAlignment="1" applyProtection="1">
      <alignment horizontal="right" vertical="center"/>
      <protection locked="0" hidden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2" fillId="0" borderId="2" xfId="0" applyFont="1" applyBorder="1" applyAlignment="1" applyProtection="1">
      <alignment horizontal="right" vertical="center"/>
      <protection locked="0"/>
    </xf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>
      <alignment horizontal="right" vertical="center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6" fillId="0" borderId="52" xfId="0" applyFont="1" applyBorder="1" applyAlignment="1">
      <alignment horizontal="right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/>
    </xf>
    <xf numFmtId="167" fontId="36" fillId="0" borderId="0" xfId="0" applyNumberFormat="1" applyFont="1" applyAlignment="1">
      <alignment horizontal="left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6" fillId="0" borderId="43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6" fillId="0" borderId="45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3" fillId="0" borderId="35" xfId="0" applyFont="1" applyBorder="1" applyAlignment="1">
      <alignment horizontal="right" vertical="center"/>
    </xf>
    <xf numFmtId="0" fontId="13" fillId="0" borderId="27" xfId="0" applyFont="1" applyBorder="1" applyAlignment="1">
      <alignment horizontal="right" vertical="center"/>
    </xf>
    <xf numFmtId="0" fontId="6" fillId="0" borderId="48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right" vertical="center"/>
    </xf>
    <xf numFmtId="0" fontId="3" fillId="0" borderId="57" xfId="0" applyFont="1" applyBorder="1" applyAlignment="1" applyProtection="1">
      <alignment horizontal="left" vertical="center" wrapText="1"/>
      <protection locked="0" hidden="1"/>
    </xf>
    <xf numFmtId="0" fontId="3" fillId="0" borderId="7" xfId="0" applyFont="1" applyBorder="1" applyAlignment="1" applyProtection="1">
      <alignment horizontal="left" vertical="center" wrapText="1"/>
      <protection locked="0" hidden="1"/>
    </xf>
    <xf numFmtId="0" fontId="3" fillId="0" borderId="9" xfId="0" applyFont="1" applyBorder="1" applyAlignment="1" applyProtection="1">
      <alignment horizontal="left" vertical="center" wrapText="1"/>
      <protection locked="0" hidden="1"/>
    </xf>
    <xf numFmtId="0" fontId="3" fillId="0" borderId="32" xfId="0" applyFont="1" applyBorder="1" applyAlignment="1" applyProtection="1">
      <alignment horizontal="left" vertical="center" wrapText="1"/>
      <protection locked="0" hidden="1"/>
    </xf>
    <xf numFmtId="0" fontId="3" fillId="0" borderId="53" xfId="0" applyFont="1" applyBorder="1" applyAlignment="1" applyProtection="1">
      <alignment horizontal="left" vertical="center" wrapText="1"/>
      <protection locked="0" hidden="1"/>
    </xf>
    <xf numFmtId="0" fontId="3" fillId="0" borderId="33" xfId="0" applyFont="1" applyBorder="1" applyAlignment="1" applyProtection="1">
      <alignment horizontal="left" vertical="center" wrapText="1"/>
      <protection locked="0" hidden="1"/>
    </xf>
    <xf numFmtId="0" fontId="3" fillId="0" borderId="58" xfId="0" applyFont="1" applyBorder="1" applyAlignment="1" applyProtection="1">
      <alignment horizontal="left" vertical="center" wrapText="1"/>
      <protection locked="0" hidden="1"/>
    </xf>
    <xf numFmtId="0" fontId="3" fillId="0" borderId="0" xfId="0" applyFont="1" applyAlignment="1" applyProtection="1">
      <alignment horizontal="left" vertical="center" wrapText="1"/>
      <protection locked="0" hidden="1"/>
    </xf>
    <xf numFmtId="0" fontId="3" fillId="0" borderId="59" xfId="0" applyFont="1" applyBorder="1" applyAlignment="1" applyProtection="1">
      <alignment horizontal="left" vertical="center" wrapText="1"/>
      <protection locked="0" hidden="1"/>
    </xf>
  </cellXfs>
  <cellStyles count="4">
    <cellStyle name="Prozent" xfId="1" builtinId="5"/>
    <cellStyle name="Standard" xfId="0" builtinId="0"/>
    <cellStyle name="Standard 2" xfId="2" xr:uid="{00000000-0005-0000-0000-000002000000}"/>
    <cellStyle name="Standard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B!$L$12</c:f>
              <c:strCache>
                <c:ptCount val="1"/>
                <c:pt idx="0">
                  <c:v>d95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B!$F$26:$O$26</c:f>
              <c:numCache>
                <c:formatCode>0.000</c:formatCode>
                <c:ptCount val="10"/>
                <c:pt idx="0">
                  <c:v>0</c:v>
                </c:pt>
                <c:pt idx="1">
                  <c:v>8.8349456941064747E-2</c:v>
                </c:pt>
                <c:pt idx="2">
                  <c:v>0.16224108255682826</c:v>
                </c:pt>
                <c:pt idx="3">
                  <c:v>0.26076325004451301</c:v>
                </c:pt>
                <c:pt idx="4">
                  <c:v>0.33465487566027657</c:v>
                </c:pt>
                <c:pt idx="5">
                  <c:v>0.43317704314796124</c:v>
                </c:pt>
                <c:pt idx="6">
                  <c:v>0.50706866876372481</c:v>
                </c:pt>
              </c:numCache>
            </c:numRef>
          </c:xVal>
          <c:yVal>
            <c:numRef>
              <c:f>B!$F$30:$O$30</c:f>
              <c:numCache>
                <c:formatCode>General</c:formatCode>
                <c:ptCount val="10"/>
                <c:pt idx="0">
                  <c:v>4.87</c:v>
                </c:pt>
                <c:pt idx="1">
                  <c:v>0.92</c:v>
                </c:pt>
                <c:pt idx="2">
                  <c:v>0.67200000000000004</c:v>
                </c:pt>
                <c:pt idx="3">
                  <c:v>0.55700000000000005</c:v>
                </c:pt>
                <c:pt idx="4">
                  <c:v>0.432</c:v>
                </c:pt>
                <c:pt idx="5">
                  <c:v>0.36099999999999999</c:v>
                </c:pt>
                <c:pt idx="6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E-4C74-AC80-4A116EB1156B}"/>
            </c:ext>
          </c:extLst>
        </c:ser>
        <c:ser>
          <c:idx val="5"/>
          <c:order val="1"/>
          <c:tx>
            <c:strRef>
              <c:f>B!$A$12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(B!$F$26,B!$A$13)</c:f>
              <c:numCache>
                <c:formatCode>0.000</c:formatCode>
                <c:ptCount val="2"/>
                <c:pt idx="0">
                  <c:v>0</c:v>
                </c:pt>
                <c:pt idx="1">
                  <c:v>0.50706866876372481</c:v>
                </c:pt>
              </c:numCache>
            </c:numRef>
          </c:xVal>
          <c:yVal>
            <c:numRef>
              <c:f>(B!$M$12,B!$M$12)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C74-AC80-4A116EB1156B}"/>
            </c:ext>
          </c:extLst>
        </c:ser>
        <c:ser>
          <c:idx val="1"/>
          <c:order val="2"/>
          <c:tx>
            <c:strRef>
              <c:f>B!$H$12</c:f>
              <c:strCache>
                <c:ptCount val="1"/>
                <c:pt idx="0">
                  <c:v>d90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B!$F$26:$O$26</c:f>
              <c:numCache>
                <c:formatCode>0.000</c:formatCode>
                <c:ptCount val="10"/>
                <c:pt idx="0">
                  <c:v>0</c:v>
                </c:pt>
                <c:pt idx="1">
                  <c:v>8.8349456941064747E-2</c:v>
                </c:pt>
                <c:pt idx="2">
                  <c:v>0.16224108255682826</c:v>
                </c:pt>
                <c:pt idx="3">
                  <c:v>0.26076325004451301</c:v>
                </c:pt>
                <c:pt idx="4">
                  <c:v>0.33465487566027657</c:v>
                </c:pt>
                <c:pt idx="5">
                  <c:v>0.43317704314796124</c:v>
                </c:pt>
                <c:pt idx="6">
                  <c:v>0.50706866876372481</c:v>
                </c:pt>
              </c:numCache>
            </c:numRef>
          </c:xVal>
          <c:yVal>
            <c:numRef>
              <c:f>B!$F$29:$O$29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0.81799999999999995</c:v>
                </c:pt>
                <c:pt idx="2">
                  <c:v>0.58899999999999997</c:v>
                </c:pt>
                <c:pt idx="3">
                  <c:v>0.47499999999999998</c:v>
                </c:pt>
                <c:pt idx="4">
                  <c:v>0.36</c:v>
                </c:pt>
                <c:pt idx="5">
                  <c:v>0.26300000000000001</c:v>
                </c:pt>
                <c:pt idx="6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E-4C74-AC80-4A116EB1156B}"/>
            </c:ext>
          </c:extLst>
        </c:ser>
        <c:ser>
          <c:idx val="2"/>
          <c:order val="3"/>
          <c:tx>
            <c:strRef>
              <c:f>B!$A$12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ysDash"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(B!$F$26,B!$A$13)</c:f>
              <c:numCache>
                <c:formatCode>0.000</c:formatCode>
                <c:ptCount val="2"/>
                <c:pt idx="0">
                  <c:v>0</c:v>
                </c:pt>
                <c:pt idx="1">
                  <c:v>0.50706866876372481</c:v>
                </c:pt>
              </c:numCache>
            </c:numRef>
          </c:xVal>
          <c:yVal>
            <c:numRef>
              <c:f>(B!$I$12,B!$I$12)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7E-4C74-AC80-4A116EB1156B}"/>
            </c:ext>
          </c:extLst>
        </c:ser>
        <c:ser>
          <c:idx val="3"/>
          <c:order val="4"/>
          <c:tx>
            <c:strRef>
              <c:f>B!$D$12</c:f>
              <c:strCache>
                <c:ptCount val="1"/>
                <c:pt idx="0">
                  <c:v>d50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B!$F$26:$O$26</c:f>
              <c:numCache>
                <c:formatCode>0.000</c:formatCode>
                <c:ptCount val="10"/>
                <c:pt idx="0">
                  <c:v>0</c:v>
                </c:pt>
                <c:pt idx="1">
                  <c:v>8.8349456941064747E-2</c:v>
                </c:pt>
                <c:pt idx="2">
                  <c:v>0.16224108255682826</c:v>
                </c:pt>
                <c:pt idx="3">
                  <c:v>0.26076325004451301</c:v>
                </c:pt>
                <c:pt idx="4">
                  <c:v>0.33465487566027657</c:v>
                </c:pt>
                <c:pt idx="5">
                  <c:v>0.43317704314796124</c:v>
                </c:pt>
                <c:pt idx="6">
                  <c:v>0.50706866876372481</c:v>
                </c:pt>
              </c:numCache>
            </c:numRef>
          </c:xVal>
          <c:yVal>
            <c:numRef>
              <c:f>B!$F$28:$O$28</c:f>
              <c:numCache>
                <c:formatCode>General</c:formatCode>
                <c:ptCount val="10"/>
                <c:pt idx="0">
                  <c:v>2</c:v>
                </c:pt>
                <c:pt idx="1">
                  <c:v>0.46600000000000003</c:v>
                </c:pt>
                <c:pt idx="2">
                  <c:v>0.28899999999999998</c:v>
                </c:pt>
                <c:pt idx="3">
                  <c:v>0.161</c:v>
                </c:pt>
                <c:pt idx="4">
                  <c:v>0.12</c:v>
                </c:pt>
                <c:pt idx="5">
                  <c:v>9.9400000000000002E-2</c:v>
                </c:pt>
                <c:pt idx="6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E-4C74-AC80-4A116EB1156B}"/>
            </c:ext>
          </c:extLst>
        </c:ser>
        <c:ser>
          <c:idx val="0"/>
          <c:order val="5"/>
          <c:tx>
            <c:strRef>
              <c:f>B!$A$12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(B!$F$26,B!$A$13)</c:f>
              <c:numCache>
                <c:formatCode>0.000</c:formatCode>
                <c:ptCount val="2"/>
                <c:pt idx="0">
                  <c:v>0</c:v>
                </c:pt>
                <c:pt idx="1">
                  <c:v>0.50706866876372481</c:v>
                </c:pt>
              </c:numCache>
            </c:numRef>
          </c:xVal>
          <c:yVal>
            <c:numRef>
              <c:f>(B!$E$12,B!$E$12)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E-4C74-AC80-4A116EB1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spec.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energy input</a:t>
                </a: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[kWh/kg</a:t>
                </a:r>
                <a:r>
                  <a:rPr lang="de-DE" sz="12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slurry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2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i="0"/>
                  <a:t>particle</a:t>
                </a:r>
                <a:r>
                  <a:rPr lang="de-DE" sz="1200" i="0" baseline="0"/>
                  <a:t> siz</a:t>
                </a:r>
                <a:r>
                  <a:rPr lang="de-DE" sz="1200" i="0"/>
                  <a:t>e [µm]</a:t>
                </a:r>
              </a:p>
            </c:rich>
          </c:tx>
          <c:layout>
            <c:manualLayout>
              <c:xMode val="edge"/>
              <c:yMode val="edge"/>
              <c:x val="6.6325113460378213E-2"/>
              <c:y val="0.56072026457685697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4783963408085"/>
          <c:y val="0.13047531729766657"/>
          <c:w val="0.25379825328851435"/>
          <c:h val="0.18804554942443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'C'!$L$12</c:f>
              <c:strCache>
                <c:ptCount val="1"/>
                <c:pt idx="0">
                  <c:v>d95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'C'!$F$27:$O$27</c:f>
              <c:numCache>
                <c:formatCode>0.00</c:formatCode>
                <c:ptCount val="10"/>
                <c:pt idx="0" formatCode="0.000">
                  <c:v>0</c:v>
                </c:pt>
                <c:pt idx="1">
                  <c:v>0.15661069651741294</c:v>
                </c:pt>
                <c:pt idx="2">
                  <c:v>0.2382587064676617</c:v>
                </c:pt>
                <c:pt idx="3">
                  <c:v>0.30706467661691544</c:v>
                </c:pt>
                <c:pt idx="4">
                  <c:v>0.39535447761194031</c:v>
                </c:pt>
                <c:pt idx="5">
                  <c:v>0.44634328358208958</c:v>
                </c:pt>
                <c:pt idx="6">
                  <c:v>0.53051616915422883</c:v>
                </c:pt>
              </c:numCache>
            </c:numRef>
          </c:xVal>
          <c:yVal>
            <c:numRef>
              <c:f>'C'!$F$31:$O$31</c:f>
              <c:numCache>
                <c:formatCode>General</c:formatCode>
                <c:ptCount val="10"/>
                <c:pt idx="0">
                  <c:v>3.01</c:v>
                </c:pt>
                <c:pt idx="1">
                  <c:v>0.93300000000000005</c:v>
                </c:pt>
                <c:pt idx="2">
                  <c:v>0.79100000000000004</c:v>
                </c:pt>
                <c:pt idx="3">
                  <c:v>0.8</c:v>
                </c:pt>
                <c:pt idx="4">
                  <c:v>0.82399999999999995</c:v>
                </c:pt>
                <c:pt idx="5">
                  <c:v>0.496</c:v>
                </c:pt>
                <c:pt idx="6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BA6-B63D-7490AECEDE1C}"/>
            </c:ext>
          </c:extLst>
        </c:ser>
        <c:ser>
          <c:idx val="5"/>
          <c:order val="1"/>
          <c:tx>
            <c:strRef>
              <c:f>'C'!$A$12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('C'!$F$27,'C'!$A$13)</c:f>
              <c:numCache>
                <c:formatCode>0.000</c:formatCode>
                <c:ptCount val="2"/>
                <c:pt idx="0">
                  <c:v>0</c:v>
                </c:pt>
                <c:pt idx="1">
                  <c:v>0.53051616915422883</c:v>
                </c:pt>
              </c:numCache>
            </c:numRef>
          </c:xVal>
          <c:yVal>
            <c:numRef>
              <c:f>('C'!$M$12,'C'!$M$12)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BA6-B63D-7490AECEDE1C}"/>
            </c:ext>
          </c:extLst>
        </c:ser>
        <c:ser>
          <c:idx val="1"/>
          <c:order val="2"/>
          <c:tx>
            <c:strRef>
              <c:f>'C'!$H$12</c:f>
              <c:strCache>
                <c:ptCount val="1"/>
                <c:pt idx="0">
                  <c:v>d90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'C'!$F$27:$O$27</c:f>
              <c:numCache>
                <c:formatCode>0.00</c:formatCode>
                <c:ptCount val="10"/>
                <c:pt idx="0" formatCode="0.000">
                  <c:v>0</c:v>
                </c:pt>
                <c:pt idx="1">
                  <c:v>0.15661069651741294</c:v>
                </c:pt>
                <c:pt idx="2">
                  <c:v>0.2382587064676617</c:v>
                </c:pt>
                <c:pt idx="3">
                  <c:v>0.30706467661691544</c:v>
                </c:pt>
                <c:pt idx="4">
                  <c:v>0.39535447761194031</c:v>
                </c:pt>
                <c:pt idx="5">
                  <c:v>0.44634328358208958</c:v>
                </c:pt>
                <c:pt idx="6">
                  <c:v>0.53051616915422883</c:v>
                </c:pt>
              </c:numCache>
            </c:numRef>
          </c:xVal>
          <c:yVal>
            <c:numRef>
              <c:f>'C'!$F$30:$O$30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0.82399999999999995</c:v>
                </c:pt>
                <c:pt idx="2">
                  <c:v>0.71099999999999997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0.44</c:v>
                </c:pt>
                <c:pt idx="6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BA6-B63D-7490AECEDE1C}"/>
            </c:ext>
          </c:extLst>
        </c:ser>
        <c:ser>
          <c:idx val="2"/>
          <c:order val="3"/>
          <c:tx>
            <c:strRef>
              <c:f>'C'!$A$12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ysDash"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('C'!$F$27,'C'!$A$13)</c:f>
              <c:numCache>
                <c:formatCode>0.000</c:formatCode>
                <c:ptCount val="2"/>
                <c:pt idx="0">
                  <c:v>0</c:v>
                </c:pt>
                <c:pt idx="1">
                  <c:v>0.53051616915422883</c:v>
                </c:pt>
              </c:numCache>
            </c:numRef>
          </c:xVal>
          <c:yVal>
            <c:numRef>
              <c:f>('C'!$I$12,'C'!$I$12)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5-4BA6-B63D-7490AECEDE1C}"/>
            </c:ext>
          </c:extLst>
        </c:ser>
        <c:ser>
          <c:idx val="3"/>
          <c:order val="4"/>
          <c:tx>
            <c:strRef>
              <c:f>'C'!$D$12</c:f>
              <c:strCache>
                <c:ptCount val="1"/>
                <c:pt idx="0">
                  <c:v>d50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'C'!$F$27:$O$27</c:f>
              <c:numCache>
                <c:formatCode>0.00</c:formatCode>
                <c:ptCount val="10"/>
                <c:pt idx="0" formatCode="0.000">
                  <c:v>0</c:v>
                </c:pt>
                <c:pt idx="1">
                  <c:v>0.15661069651741294</c:v>
                </c:pt>
                <c:pt idx="2">
                  <c:v>0.2382587064676617</c:v>
                </c:pt>
                <c:pt idx="3">
                  <c:v>0.30706467661691544</c:v>
                </c:pt>
                <c:pt idx="4">
                  <c:v>0.39535447761194031</c:v>
                </c:pt>
                <c:pt idx="5">
                  <c:v>0.44634328358208958</c:v>
                </c:pt>
                <c:pt idx="6">
                  <c:v>0.53051616915422883</c:v>
                </c:pt>
              </c:numCache>
            </c:numRef>
          </c:xVal>
          <c:yVal>
            <c:numRef>
              <c:f>'C'!$F$29:$O$29</c:f>
              <c:numCache>
                <c:formatCode>General</c:formatCode>
                <c:ptCount val="10"/>
                <c:pt idx="0">
                  <c:v>0.7</c:v>
                </c:pt>
                <c:pt idx="1">
                  <c:v>0.47399999999999998</c:v>
                </c:pt>
                <c:pt idx="2">
                  <c:v>0.43</c:v>
                </c:pt>
                <c:pt idx="3">
                  <c:v>0.42199999999999999</c:v>
                </c:pt>
                <c:pt idx="4">
                  <c:v>0.42199999999999999</c:v>
                </c:pt>
                <c:pt idx="5">
                  <c:v>0.253</c:v>
                </c:pt>
                <c:pt idx="6">
                  <c:v>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65-4BA6-B63D-7490AECEDE1C}"/>
            </c:ext>
          </c:extLst>
        </c:ser>
        <c:ser>
          <c:idx val="0"/>
          <c:order val="5"/>
          <c:tx>
            <c:strRef>
              <c:f>'C'!$A$12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('C'!$F$27,'C'!$A$13)</c:f>
              <c:numCache>
                <c:formatCode>0.000</c:formatCode>
                <c:ptCount val="2"/>
                <c:pt idx="0">
                  <c:v>0</c:v>
                </c:pt>
                <c:pt idx="1">
                  <c:v>0.53051616915422883</c:v>
                </c:pt>
              </c:numCache>
            </c:numRef>
          </c:xVal>
          <c:yVal>
            <c:numRef>
              <c:f>('C'!$E$12,'C'!$E$12)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65-4BA6-B63D-7490AECE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spec.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energy input</a:t>
                </a: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[kWh/kg</a:t>
                </a:r>
                <a:r>
                  <a:rPr lang="de-DE" sz="12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slurry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2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i="0"/>
                  <a:t>particle</a:t>
                </a:r>
                <a:r>
                  <a:rPr lang="de-DE" sz="1200" i="0" baseline="0"/>
                  <a:t> siz</a:t>
                </a:r>
                <a:r>
                  <a:rPr lang="de-DE" sz="1200" i="0"/>
                  <a:t>e [µm]</a:t>
                </a:r>
              </a:p>
            </c:rich>
          </c:tx>
          <c:layout>
            <c:manualLayout>
              <c:xMode val="edge"/>
              <c:yMode val="edge"/>
              <c:x val="6.6325113460378213E-2"/>
              <c:y val="0.56072026457685697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4783963408085"/>
          <c:y val="0.13047531729766657"/>
          <c:w val="0.25379825328851435"/>
          <c:h val="0.18804554942443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D!$L$12</c:f>
              <c:strCache>
                <c:ptCount val="1"/>
                <c:pt idx="0">
                  <c:v>d95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D!$F$26:$O$26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D!$F$30:$O$30</c:f>
              <c:numCache>
                <c:formatCode>General</c:formatCode>
                <c:ptCount val="10"/>
                <c:pt idx="0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2-4607-8E24-07230D7C3B9A}"/>
            </c:ext>
          </c:extLst>
        </c:ser>
        <c:ser>
          <c:idx val="5"/>
          <c:order val="1"/>
          <c:tx>
            <c:strRef>
              <c:f>D!$A$12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(D!$F$26,D!$A$13)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(D!$M$12,D!$M$12)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2-4607-8E24-07230D7C3B9A}"/>
            </c:ext>
          </c:extLst>
        </c:ser>
        <c:ser>
          <c:idx val="1"/>
          <c:order val="2"/>
          <c:tx>
            <c:strRef>
              <c:f>D!$H$12</c:f>
              <c:strCache>
                <c:ptCount val="1"/>
                <c:pt idx="0">
                  <c:v>d90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D!$F$29:$O$29</c:f>
              <c:numCache>
                <c:formatCode>General</c:formatCode>
                <c:ptCount val="10"/>
                <c:pt idx="0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2-4607-8E24-07230D7C3B9A}"/>
            </c:ext>
          </c:extLst>
        </c:ser>
        <c:ser>
          <c:idx val="2"/>
          <c:order val="3"/>
          <c:tx>
            <c:strRef>
              <c:f>D!$A$12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ysDash"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(D!$F$26,D!$A$13)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(D!$I$12,D!$I$12)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92-4607-8E24-07230D7C3B9A}"/>
            </c:ext>
          </c:extLst>
        </c:ser>
        <c:ser>
          <c:idx val="3"/>
          <c:order val="4"/>
          <c:tx>
            <c:strRef>
              <c:f>D!$D$12</c:f>
              <c:strCache>
                <c:ptCount val="1"/>
                <c:pt idx="0">
                  <c:v>d50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D!$F$26:$O$26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D!$F$28:$O$28</c:f>
              <c:numCache>
                <c:formatCode>General</c:formatCode>
                <c:ptCount val="10"/>
                <c:pt idx="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92-4607-8E24-07230D7C3B9A}"/>
            </c:ext>
          </c:extLst>
        </c:ser>
        <c:ser>
          <c:idx val="0"/>
          <c:order val="5"/>
          <c:tx>
            <c:strRef>
              <c:f>D!$A$12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(D!$F$26,D!$A$13)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(D!$E$12,D!$E$12)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2-4607-8E24-07230D7C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spec.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energy input</a:t>
                </a: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[kWh/kg</a:t>
                </a:r>
                <a:r>
                  <a:rPr lang="de-DE" sz="12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slurry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2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i="0"/>
                  <a:t>particle</a:t>
                </a:r>
                <a:r>
                  <a:rPr lang="de-DE" sz="1200" i="0" baseline="0"/>
                  <a:t> siz</a:t>
                </a:r>
                <a:r>
                  <a:rPr lang="de-DE" sz="1200" i="0"/>
                  <a:t>e [µm]</a:t>
                </a:r>
              </a:p>
            </c:rich>
          </c:tx>
          <c:layout>
            <c:manualLayout>
              <c:xMode val="edge"/>
              <c:yMode val="edge"/>
              <c:x val="6.6325113460378213E-2"/>
              <c:y val="0.56072026457685697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4783963408085"/>
          <c:y val="0.13047531729766657"/>
          <c:w val="0.25379825328851435"/>
          <c:h val="0.18804554942443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E!$L$12</c:f>
              <c:strCache>
                <c:ptCount val="1"/>
                <c:pt idx="0">
                  <c:v>d95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E!$F$26:$O$26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E!$F$30:$O$30</c:f>
              <c:numCache>
                <c:formatCode>General</c:formatCode>
                <c:ptCount val="10"/>
                <c:pt idx="0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5-46AE-8A14-20DE84030FB7}"/>
            </c:ext>
          </c:extLst>
        </c:ser>
        <c:ser>
          <c:idx val="5"/>
          <c:order val="1"/>
          <c:tx>
            <c:strRef>
              <c:f>E!$A$12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(E!$F$26,E!$A$13)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(E!$M$12,E!$M$12)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5-46AE-8A14-20DE84030FB7}"/>
            </c:ext>
          </c:extLst>
        </c:ser>
        <c:ser>
          <c:idx val="1"/>
          <c:order val="2"/>
          <c:tx>
            <c:strRef>
              <c:f>E!$H$12</c:f>
              <c:strCache>
                <c:ptCount val="1"/>
                <c:pt idx="0">
                  <c:v>d90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E!$F$26:$O$26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E!$F$29:$O$29</c:f>
              <c:numCache>
                <c:formatCode>General</c:formatCode>
                <c:ptCount val="10"/>
                <c:pt idx="0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5-46AE-8A14-20DE84030FB7}"/>
            </c:ext>
          </c:extLst>
        </c:ser>
        <c:ser>
          <c:idx val="2"/>
          <c:order val="3"/>
          <c:tx>
            <c:strRef>
              <c:f>E!$A$12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ysDash"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(E!$F$26,E!$A$13)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(E!$I$12,E!$I$12)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5-46AE-8A14-20DE84030FB7}"/>
            </c:ext>
          </c:extLst>
        </c:ser>
        <c:ser>
          <c:idx val="3"/>
          <c:order val="4"/>
          <c:tx>
            <c:strRef>
              <c:f>E!$D$12</c:f>
              <c:strCache>
                <c:ptCount val="1"/>
                <c:pt idx="0">
                  <c:v>d50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E!$F$26:$O$26</c:f>
              <c:numCache>
                <c:formatCode>0.000</c:formatCode>
                <c:ptCount val="10"/>
                <c:pt idx="0">
                  <c:v>0</c:v>
                </c:pt>
              </c:numCache>
            </c:numRef>
          </c:xVal>
          <c:yVal>
            <c:numRef>
              <c:f>E!$F$28:$O$28</c:f>
              <c:numCache>
                <c:formatCode>General</c:formatCode>
                <c:ptCount val="10"/>
                <c:pt idx="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5-46AE-8A14-20DE84030FB7}"/>
            </c:ext>
          </c:extLst>
        </c:ser>
        <c:ser>
          <c:idx val="0"/>
          <c:order val="5"/>
          <c:tx>
            <c:strRef>
              <c:f>E!$A$12</c:f>
              <c:strCache>
                <c:ptCount val="1"/>
                <c:pt idx="0">
                  <c:v>Target fineness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(E!$F$26,E!$A$13)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(E!$E$12,E!$E$12)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5-46AE-8A14-20DE8403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spec.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energy input</a:t>
                </a: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[kWh/kg</a:t>
                </a:r>
                <a:r>
                  <a:rPr lang="de-DE" sz="12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slurry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2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i="0"/>
                  <a:t>particle</a:t>
                </a:r>
                <a:r>
                  <a:rPr lang="de-DE" sz="1200" i="0" baseline="0"/>
                  <a:t> siz</a:t>
                </a:r>
                <a:r>
                  <a:rPr lang="de-DE" sz="1200" i="0"/>
                  <a:t>e [µm]</a:t>
                </a:r>
              </a:p>
            </c:rich>
          </c:tx>
          <c:layout>
            <c:manualLayout>
              <c:xMode val="edge"/>
              <c:yMode val="edge"/>
              <c:x val="6.6325113460378213E-2"/>
              <c:y val="0.56072026457685697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24783963408085"/>
          <c:y val="0.13047531729766657"/>
          <c:w val="0.25379825328851435"/>
          <c:h val="0.18804554942443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v>A</c:v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'[1]Labstar - 0.1-0.2mm'!$F$26:$O$26</c:f>
              <c:numCache>
                <c:formatCode>General</c:formatCode>
                <c:ptCount val="10"/>
                <c:pt idx="0">
                  <c:v>0</c:v>
                </c:pt>
                <c:pt idx="1">
                  <c:v>0.10891873963515755</c:v>
                </c:pt>
                <c:pt idx="2">
                  <c:v>0.16730348258706465</c:v>
                </c:pt>
                <c:pt idx="3">
                  <c:v>0.22700497512437812</c:v>
                </c:pt>
                <c:pt idx="4">
                  <c:v>0.27807296849087892</c:v>
                </c:pt>
                <c:pt idx="5">
                  <c:v>0.48834494195688222</c:v>
                </c:pt>
              </c:numCache>
            </c:numRef>
          </c:xVal>
          <c:yVal>
            <c:numRef>
              <c:f>'[1]Labstar - 0.1-0.2mm'!$F$29:$O$29</c:f>
              <c:numCache>
                <c:formatCode>General</c:formatCode>
                <c:ptCount val="10"/>
                <c:pt idx="0">
                  <c:v>3.93</c:v>
                </c:pt>
                <c:pt idx="1">
                  <c:v>0.97899999999999998</c:v>
                </c:pt>
                <c:pt idx="2">
                  <c:v>0.46300000000000002</c:v>
                </c:pt>
                <c:pt idx="3">
                  <c:v>0.374</c:v>
                </c:pt>
                <c:pt idx="4">
                  <c:v>0.28999999999999998</c:v>
                </c:pt>
                <c:pt idx="5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4C27-8B34-2FF8203EFC1A}"/>
            </c:ext>
          </c:extLst>
        </c:ser>
        <c:ser>
          <c:idx val="1"/>
          <c:order val="1"/>
          <c:tx>
            <c:v>B</c:v>
          </c:tx>
          <c:marker>
            <c:symbol val="triang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B!$F$26:$O$26</c:f>
              <c:numCache>
                <c:formatCode>0.000</c:formatCode>
                <c:ptCount val="10"/>
                <c:pt idx="0">
                  <c:v>0</c:v>
                </c:pt>
                <c:pt idx="1">
                  <c:v>8.8349456941064747E-2</c:v>
                </c:pt>
                <c:pt idx="2">
                  <c:v>0.16224108255682826</c:v>
                </c:pt>
                <c:pt idx="3">
                  <c:v>0.26076325004451301</c:v>
                </c:pt>
                <c:pt idx="4">
                  <c:v>0.33465487566027657</c:v>
                </c:pt>
                <c:pt idx="5">
                  <c:v>0.43317704314796124</c:v>
                </c:pt>
                <c:pt idx="6">
                  <c:v>0.50706866876372481</c:v>
                </c:pt>
              </c:numCache>
            </c:numRef>
          </c:xVal>
          <c:yVal>
            <c:numRef>
              <c:f>B!$F$29:$O$29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0.81799999999999995</c:v>
                </c:pt>
                <c:pt idx="2">
                  <c:v>0.58899999999999997</c:v>
                </c:pt>
                <c:pt idx="3">
                  <c:v>0.47499999999999998</c:v>
                </c:pt>
                <c:pt idx="4">
                  <c:v>0.36</c:v>
                </c:pt>
                <c:pt idx="5">
                  <c:v>0.26300000000000001</c:v>
                </c:pt>
                <c:pt idx="6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7-4C27-8B34-2FF8203EFC1A}"/>
            </c:ext>
          </c:extLst>
        </c:ser>
        <c:ser>
          <c:idx val="3"/>
          <c:order val="2"/>
          <c:tx>
            <c:v>C</c:v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'C'!$F$27:$O$27</c:f>
              <c:numCache>
                <c:formatCode>0.00</c:formatCode>
                <c:ptCount val="10"/>
                <c:pt idx="0" formatCode="0.000">
                  <c:v>0</c:v>
                </c:pt>
                <c:pt idx="1">
                  <c:v>0.15661069651741294</c:v>
                </c:pt>
                <c:pt idx="2">
                  <c:v>0.2382587064676617</c:v>
                </c:pt>
                <c:pt idx="3">
                  <c:v>0.30706467661691544</c:v>
                </c:pt>
                <c:pt idx="4">
                  <c:v>0.39535447761194031</c:v>
                </c:pt>
                <c:pt idx="5">
                  <c:v>0.44634328358208958</c:v>
                </c:pt>
                <c:pt idx="6">
                  <c:v>0.53051616915422883</c:v>
                </c:pt>
              </c:numCache>
            </c:numRef>
          </c:xVal>
          <c:yVal>
            <c:numRef>
              <c:f>'C'!$F$30:$O$30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0.82399999999999995</c:v>
                </c:pt>
                <c:pt idx="2">
                  <c:v>0.71099999999999997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0.44</c:v>
                </c:pt>
                <c:pt idx="6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7-4C27-8B34-2FF8203E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spec.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energy input</a:t>
                </a:r>
                <a:r>
                  <a:rPr lang="de-DE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[kWh/kg</a:t>
                </a:r>
                <a:r>
                  <a:rPr lang="de-DE" sz="12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slurry</a:t>
                </a:r>
                <a:r>
                  <a:rPr lang="de-DE" sz="12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2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200" i="0"/>
                  <a:t>particle</a:t>
                </a:r>
                <a:r>
                  <a:rPr lang="de-DE" sz="1200" i="0" baseline="0"/>
                  <a:t> siz</a:t>
                </a:r>
                <a:r>
                  <a:rPr lang="de-DE" sz="1200" i="0"/>
                  <a:t>e [µm]</a:t>
                </a:r>
              </a:p>
            </c:rich>
          </c:tx>
          <c:layout>
            <c:manualLayout>
              <c:xMode val="edge"/>
              <c:yMode val="edge"/>
              <c:x val="6.6325113460378213E-2"/>
              <c:y val="0.56072026457685697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10553943914907"/>
          <c:y val="0.13047531729766657"/>
          <c:w val="0.13294055348344613"/>
          <c:h val="0.188045549424432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v>A</c:v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'[1]Labstar - 0.1-0.2mm'!$G$35:$O$35</c:f>
              <c:numCache>
                <c:formatCode>General</c:formatCode>
                <c:ptCount val="9"/>
                <c:pt idx="0">
                  <c:v>1.9336126329358685</c:v>
                </c:pt>
                <c:pt idx="1">
                  <c:v>1.3783597518952448</c:v>
                </c:pt>
                <c:pt idx="2">
                  <c:v>1.0708548991611639</c:v>
                </c:pt>
                <c:pt idx="3">
                  <c:v>0.87552896541660619</c:v>
                </c:pt>
                <c:pt idx="4">
                  <c:v>0.5062009617818275</c:v>
                </c:pt>
              </c:numCache>
            </c:numRef>
          </c:xVal>
          <c:yVal>
            <c:numRef>
              <c:f>'[1]Labstar - 0.1-0.2mm'!$G$29:$O$29</c:f>
              <c:numCache>
                <c:formatCode>General</c:formatCode>
                <c:ptCount val="9"/>
                <c:pt idx="0">
                  <c:v>0.97899999999999998</c:v>
                </c:pt>
                <c:pt idx="1">
                  <c:v>0.46300000000000002</c:v>
                </c:pt>
                <c:pt idx="2">
                  <c:v>0.374</c:v>
                </c:pt>
                <c:pt idx="3">
                  <c:v>0.28999999999999998</c:v>
                </c:pt>
                <c:pt idx="4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5-4EA2-9F7C-67161CBE02BC}"/>
            </c:ext>
          </c:extLst>
        </c:ser>
        <c:ser>
          <c:idx val="1"/>
          <c:order val="1"/>
          <c:tx>
            <c:v>B</c:v>
          </c:tx>
          <c:spPr>
            <a:ln w="25400"/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B!$G$35:$O$35</c:f>
              <c:numCache>
                <c:formatCode>0.00</c:formatCode>
                <c:ptCount val="9"/>
                <c:pt idx="0">
                  <c:v>3.3454252317613866</c:v>
                </c:pt>
                <c:pt idx="1">
                  <c:v>1.8217734855136083</c:v>
                </c:pt>
                <c:pt idx="2">
                  <c:v>1.2516965766852663</c:v>
                </c:pt>
                <c:pt idx="3">
                  <c:v>0.95336549506087764</c:v>
                </c:pt>
                <c:pt idx="4">
                  <c:v>0.76987292458955581</c:v>
                </c:pt>
                <c:pt idx="5">
                  <c:v>0.64561294337274433</c:v>
                </c:pt>
              </c:numCache>
            </c:numRef>
          </c:xVal>
          <c:yVal>
            <c:numRef>
              <c:f>B!$G$29:$O$29</c:f>
              <c:numCache>
                <c:formatCode>General</c:formatCode>
                <c:ptCount val="9"/>
                <c:pt idx="0">
                  <c:v>0.81799999999999995</c:v>
                </c:pt>
                <c:pt idx="1">
                  <c:v>0.58899999999999997</c:v>
                </c:pt>
                <c:pt idx="2">
                  <c:v>0.47499999999999998</c:v>
                </c:pt>
                <c:pt idx="3">
                  <c:v>0.36</c:v>
                </c:pt>
                <c:pt idx="4">
                  <c:v>0.26300000000000001</c:v>
                </c:pt>
                <c:pt idx="5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5-4EA2-9F7C-67161CBE02BC}"/>
            </c:ext>
          </c:extLst>
        </c:ser>
        <c:ser>
          <c:idx val="3"/>
          <c:order val="2"/>
          <c:tx>
            <c:v>C</c:v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'C'!$G$36:$O$36</c:f>
              <c:numCache>
                <c:formatCode>0.00</c:formatCode>
                <c:ptCount val="9"/>
                <c:pt idx="0">
                  <c:v>2.8742514970059885</c:v>
                </c:pt>
                <c:pt idx="1">
                  <c:v>1.7977528089887644</c:v>
                </c:pt>
                <c:pt idx="2">
                  <c:v>1.3079019073569487</c:v>
                </c:pt>
                <c:pt idx="3">
                  <c:v>1.0278372591006424</c:v>
                </c:pt>
                <c:pt idx="4">
                  <c:v>0.84656084656084674</c:v>
                </c:pt>
                <c:pt idx="5">
                  <c:v>0.71964017991004514</c:v>
                </c:pt>
              </c:numCache>
            </c:numRef>
          </c:xVal>
          <c:yVal>
            <c:numRef>
              <c:f>'C'!$G$30:$O$30</c:f>
              <c:numCache>
                <c:formatCode>General</c:formatCode>
                <c:ptCount val="9"/>
                <c:pt idx="0">
                  <c:v>0.82399999999999995</c:v>
                </c:pt>
                <c:pt idx="1">
                  <c:v>0.71099999999999997</c:v>
                </c:pt>
                <c:pt idx="2">
                  <c:v>0.71599999999999997</c:v>
                </c:pt>
                <c:pt idx="3">
                  <c:v>0.73399999999999999</c:v>
                </c:pt>
                <c:pt idx="4">
                  <c:v>0.44</c:v>
                </c:pt>
                <c:pt idx="5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5-4EA2-9F7C-67161CBE02BC}"/>
            </c:ext>
          </c:extLst>
        </c:ser>
        <c:ser>
          <c:idx val="0"/>
          <c:order val="3"/>
          <c:tx>
            <c:v>Target fineness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Sheet1!$Y$8:$Y$9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Sheet1!$Z$8:$Z$9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A-42FD-ADA1-E455A4FB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  <c:max val="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Production capacity [kg/h</a:t>
                </a:r>
                <a:r>
                  <a:rPr lang="de-DE" sz="18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solids</a:t>
                </a:r>
                <a:r>
                  <a:rPr lang="de-DE" sz="18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8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800" i="0"/>
                  <a:t>particle</a:t>
                </a:r>
                <a:r>
                  <a:rPr lang="de-DE" sz="1800" i="0" baseline="0"/>
                  <a:t> siz</a:t>
                </a:r>
                <a:r>
                  <a:rPr lang="de-DE" sz="1800" i="0"/>
                  <a:t>e - d90 [µm]</a:t>
                </a:r>
              </a:p>
            </c:rich>
          </c:tx>
          <c:layout>
            <c:manualLayout>
              <c:xMode val="edge"/>
              <c:yMode val="edge"/>
              <c:x val="4.2806635802469135E-2"/>
              <c:y val="0.30789614197530868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06944444444441"/>
          <c:y val="0.62464969135802473"/>
          <c:w val="0.23561728395061729"/>
          <c:h val="0.15111358024691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290257483518"/>
          <c:y val="7.1893018959222274E-2"/>
          <c:w val="0.8222883341842796"/>
          <c:h val="0.79783093593747711"/>
        </c:manualLayout>
      </c:layout>
      <c:scatterChart>
        <c:scatterStyle val="lineMarker"/>
        <c:varyColors val="0"/>
        <c:ser>
          <c:idx val="4"/>
          <c:order val="0"/>
          <c:tx>
            <c:v>A</c:v>
          </c:tx>
          <c:spPr>
            <a:ln w="25400"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'[1]Labstar - 0.1-0.2mm'!$G$35:$O$35</c:f>
              <c:numCache>
                <c:formatCode>General</c:formatCode>
                <c:ptCount val="9"/>
                <c:pt idx="0">
                  <c:v>1.9336126329358685</c:v>
                </c:pt>
                <c:pt idx="1">
                  <c:v>1.3783597518952448</c:v>
                </c:pt>
                <c:pt idx="2">
                  <c:v>1.0708548991611639</c:v>
                </c:pt>
                <c:pt idx="3">
                  <c:v>0.87552896541660619</c:v>
                </c:pt>
                <c:pt idx="4">
                  <c:v>0.5062009617818275</c:v>
                </c:pt>
              </c:numCache>
            </c:numRef>
          </c:xVal>
          <c:yVal>
            <c:numRef>
              <c:f>'[1]Labstar - 0.1-0.2mm'!$G$28:$O$28</c:f>
              <c:numCache>
                <c:formatCode>General</c:formatCode>
                <c:ptCount val="9"/>
                <c:pt idx="0">
                  <c:v>0.25700000000000001</c:v>
                </c:pt>
                <c:pt idx="1">
                  <c:v>0.159</c:v>
                </c:pt>
                <c:pt idx="2">
                  <c:v>0.13100000000000001</c:v>
                </c:pt>
                <c:pt idx="3">
                  <c:v>0.111</c:v>
                </c:pt>
                <c:pt idx="4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38D-AA66-CC50A98A13E5}"/>
            </c:ext>
          </c:extLst>
        </c:ser>
        <c:ser>
          <c:idx val="1"/>
          <c:order val="1"/>
          <c:tx>
            <c:v>B</c:v>
          </c:tx>
          <c:spPr>
            <a:ln w="25400"/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B!$G$35:$O$35</c:f>
              <c:numCache>
                <c:formatCode>0.00</c:formatCode>
                <c:ptCount val="9"/>
                <c:pt idx="0">
                  <c:v>3.3454252317613866</c:v>
                </c:pt>
                <c:pt idx="1">
                  <c:v>1.8217734855136083</c:v>
                </c:pt>
                <c:pt idx="2">
                  <c:v>1.2516965766852663</c:v>
                </c:pt>
                <c:pt idx="3">
                  <c:v>0.95336549506087764</c:v>
                </c:pt>
                <c:pt idx="4">
                  <c:v>0.76987292458955581</c:v>
                </c:pt>
                <c:pt idx="5">
                  <c:v>0.64561294337274433</c:v>
                </c:pt>
              </c:numCache>
            </c:numRef>
          </c:xVal>
          <c:yVal>
            <c:numRef>
              <c:f>B!$G$28:$O$28</c:f>
              <c:numCache>
                <c:formatCode>General</c:formatCode>
                <c:ptCount val="9"/>
                <c:pt idx="0">
                  <c:v>0.46600000000000003</c:v>
                </c:pt>
                <c:pt idx="1">
                  <c:v>0.28899999999999998</c:v>
                </c:pt>
                <c:pt idx="2">
                  <c:v>0.161</c:v>
                </c:pt>
                <c:pt idx="3">
                  <c:v>0.12</c:v>
                </c:pt>
                <c:pt idx="4">
                  <c:v>9.9400000000000002E-2</c:v>
                </c:pt>
                <c:pt idx="5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F-438D-AA66-CC50A98A13E5}"/>
            </c:ext>
          </c:extLst>
        </c:ser>
        <c:ser>
          <c:idx val="3"/>
          <c:order val="2"/>
          <c:tx>
            <c:v>C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'C'!$G$36:$O$36</c:f>
              <c:numCache>
                <c:formatCode>0.00</c:formatCode>
                <c:ptCount val="9"/>
                <c:pt idx="0">
                  <c:v>2.8742514970059885</c:v>
                </c:pt>
                <c:pt idx="1">
                  <c:v>1.7977528089887644</c:v>
                </c:pt>
                <c:pt idx="2">
                  <c:v>1.3079019073569487</c:v>
                </c:pt>
                <c:pt idx="3">
                  <c:v>1.0278372591006424</c:v>
                </c:pt>
                <c:pt idx="4">
                  <c:v>0.84656084656084674</c:v>
                </c:pt>
                <c:pt idx="5">
                  <c:v>0.71964017991004514</c:v>
                </c:pt>
              </c:numCache>
            </c:numRef>
          </c:xVal>
          <c:yVal>
            <c:numRef>
              <c:f>'C'!$G$29:$O$29</c:f>
              <c:numCache>
                <c:formatCode>General</c:formatCode>
                <c:ptCount val="9"/>
                <c:pt idx="0">
                  <c:v>0.47399999999999998</c:v>
                </c:pt>
                <c:pt idx="1">
                  <c:v>0.43</c:v>
                </c:pt>
                <c:pt idx="2">
                  <c:v>0.42199999999999999</c:v>
                </c:pt>
                <c:pt idx="3">
                  <c:v>0.42199999999999999</c:v>
                </c:pt>
                <c:pt idx="4">
                  <c:v>0.253</c:v>
                </c:pt>
                <c:pt idx="5">
                  <c:v>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F-438D-AA66-CC50A98A13E5}"/>
            </c:ext>
          </c:extLst>
        </c:ser>
        <c:ser>
          <c:idx val="0"/>
          <c:order val="3"/>
          <c:tx>
            <c:v>Target fineness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Sheet1!$Y$8:$Y$9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Sheet1!$AA$8:$AA$9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F-438D-AA66-CC50A98A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968"/>
        <c:axId val="178596360"/>
      </c:scatterChart>
      <c:valAx>
        <c:axId val="178595968"/>
        <c:scaling>
          <c:orientation val="minMax"/>
          <c:max val="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Production capacity [kg/h</a:t>
                </a:r>
                <a:r>
                  <a:rPr lang="de-DE" sz="1800" b="1" i="0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solids</a:t>
                </a:r>
                <a:r>
                  <a:rPr lang="de-DE" sz="1800" b="1" i="0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  <a:endParaRPr lang="de-DE" sz="1800" b="1" i="0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1911791040761197"/>
              <c:y val="0.91639349550579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6360"/>
        <c:crossesAt val="0"/>
        <c:crossBetween val="midCat"/>
      </c:valAx>
      <c:valAx>
        <c:axId val="178596360"/>
        <c:scaling>
          <c:logBase val="10"/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 sz="1800" i="0"/>
                  <a:t>particle</a:t>
                </a:r>
                <a:r>
                  <a:rPr lang="de-DE" sz="1800" i="0" baseline="0"/>
                  <a:t> siz</a:t>
                </a:r>
                <a:r>
                  <a:rPr lang="de-DE" sz="1800" i="0"/>
                  <a:t>e - d50 [µm]</a:t>
                </a:r>
              </a:p>
            </c:rich>
          </c:tx>
          <c:layout>
            <c:manualLayout>
              <c:xMode val="edge"/>
              <c:yMode val="edge"/>
              <c:x val="4.2806635802469135E-2"/>
              <c:y val="0.30789614197530868"/>
            </c:manualLayout>
          </c:layout>
          <c:overlay val="0"/>
          <c:spPr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78595968"/>
        <c:crosses val="autoZero"/>
        <c:crossBetween val="midCat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06944444444441"/>
          <c:y val="0.62464969135802473"/>
          <c:w val="0.23561728395061729"/>
          <c:h val="0.15111358024691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ysClr val="window" lastClr="FFFFFF"/>
    </a:solidFill>
    <a:ln w="9525">
      <a:solidFill>
        <a:schemeClr val="tx1"/>
      </a:solidFill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>
      <c:oddHeader>&amp;L&amp;I&amp;R&amp;"Arial,Fett"&amp;24&amp;N &amp;B</c:oddHeader>
    </c:headerFooter>
    <c:pageMargins b="0.59055118110236215" l="0.70866141732283461" r="0.59055118110236215" t="0.59055118110236215" header="0.31496062992125984" footer="0.31496062992125984"/>
    <c:pageSetup orientation="portrait"/>
  </c:printSettings>
  <c:userShapes r:id="rId1"/>
</c:chartSpace>
</file>

<file path=xl/ctrlProps/ctrlProp1.xml><?xml version="1.0" encoding="utf-8"?>
<formControlPr xmlns="http://schemas.microsoft.com/office/spreadsheetml/2009/9/main" objectType="Drop" dropLines="12" dropStyle="combo" dx="16" fmlaLink="Deckblatt!$B$14" fmlaRange="'translation List'!$B$1:$B$12" sel="1" val="0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220980</xdr:colOff>
          <xdr:row>13</xdr:row>
          <xdr:rowOff>449580</xdr:rowOff>
        </xdr:from>
        <xdr:to>
          <xdr:col>2</xdr:col>
          <xdr:colOff>2468880</xdr:colOff>
          <xdr:row>13</xdr:row>
          <xdr:rowOff>838200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609600" y="323850"/>
    <xdr:ext cx="6515100" cy="6480000"/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15200" y="323850"/>
    <xdr:ext cx="6480000" cy="6480000"/>
    <xdr:graphicFrame macro="">
      <xdr:nvGraphicFramePr>
        <xdr:cNvPr id="3" name="Diagramm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001750" y="342900"/>
    <xdr:ext cx="6480000" cy="6480000"/>
    <xdr:graphicFrame macro="">
      <xdr:nvGraphicFramePr>
        <xdr:cNvPr id="4" name="Diagramm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871854" y="12017751"/>
    <xdr:ext cx="6515100" cy="84677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3854" y="10093701"/>
    <xdr:ext cx="6515100" cy="84677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3854" y="10093701"/>
    <xdr:ext cx="6515100" cy="84677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3854" y="10093701"/>
    <xdr:ext cx="6515100" cy="84677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</cdr:x>
      <cdr:y>0.49375</cdr:y>
    </cdr:from>
    <cdr:to>
      <cdr:x>0.5285</cdr:x>
      <cdr:y>0.52525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4880" y="2788860"/>
          <a:ext cx="77724" cy="17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zschoffice365-my.sharepoint.com/personal/maximilian_muenzner_netzsch_com/Documents/Dokumente/02_Shared%20Data/K&#246;nigswarter/Week%2044/8206910.xlsx" TargetMode="External"/><Relationship Id="rId1" Type="http://schemas.openxmlformats.org/officeDocument/2006/relationships/externalLinkPath" Target="/personal/maximilian_muenzner_netzsch_com/Documents/Dokumente/02_Shared%20Data/K&#246;nigswarter/Week%2044/82069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kblatt"/>
      <sheetName val="A"/>
      <sheetName val="B"/>
      <sheetName val="C"/>
      <sheetName val="B- Prebatch #1 Neos10"/>
      <sheetName val="Labstar - 0.1-0.2mm"/>
      <sheetName val="transl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D3" t="str">
            <v>Hosepump</v>
          </cell>
        </row>
        <row r="12">
          <cell r="A12" t="str">
            <v>Target fineness</v>
          </cell>
          <cell r="D12">
            <v>50</v>
          </cell>
          <cell r="E12">
            <v>0.1</v>
          </cell>
          <cell r="H12">
            <v>90</v>
          </cell>
          <cell r="I12">
            <v>0.15</v>
          </cell>
          <cell r="L12">
            <v>95</v>
          </cell>
        </row>
        <row r="13">
          <cell r="A13">
            <v>0.48834494195688222</v>
          </cell>
        </row>
        <row r="26">
          <cell r="F26">
            <v>0</v>
          </cell>
          <cell r="G26">
            <v>0.10891873963515755</v>
          </cell>
          <cell r="H26">
            <v>0.16730348258706465</v>
          </cell>
          <cell r="I26">
            <v>0.22700497512437812</v>
          </cell>
          <cell r="J26">
            <v>0.27807296849087892</v>
          </cell>
          <cell r="K26">
            <v>0.48834494195688222</v>
          </cell>
        </row>
        <row r="28">
          <cell r="F28">
            <v>2.0099999999999998</v>
          </cell>
          <cell r="G28">
            <v>0.25700000000000001</v>
          </cell>
          <cell r="H28">
            <v>0.159</v>
          </cell>
          <cell r="I28">
            <v>0.13100000000000001</v>
          </cell>
          <cell r="J28">
            <v>0.111</v>
          </cell>
          <cell r="K28">
            <v>9.4E-2</v>
          </cell>
        </row>
        <row r="29">
          <cell r="F29">
            <v>3.93</v>
          </cell>
          <cell r="G29">
            <v>0.97899999999999998</v>
          </cell>
          <cell r="H29">
            <v>0.46300000000000002</v>
          </cell>
          <cell r="I29">
            <v>0.374</v>
          </cell>
          <cell r="J29">
            <v>0.28999999999999998</v>
          </cell>
          <cell r="K29">
            <v>0.16800000000000001</v>
          </cell>
        </row>
        <row r="30">
          <cell r="F30">
            <v>4.58</v>
          </cell>
          <cell r="G30">
            <v>2.44</v>
          </cell>
          <cell r="H30">
            <v>0.57999999999999996</v>
          </cell>
          <cell r="I30">
            <v>0.46800000000000003</v>
          </cell>
          <cell r="J30">
            <v>0.372</v>
          </cell>
          <cell r="K30">
            <v>0.24099999999999999</v>
          </cell>
        </row>
        <row r="35">
          <cell r="G35">
            <v>1.9336126329358685</v>
          </cell>
          <cell r="H35">
            <v>1.3783597518952448</v>
          </cell>
          <cell r="I35">
            <v>1.0708548991611639</v>
          </cell>
          <cell r="J35">
            <v>0.87552896541660619</v>
          </cell>
          <cell r="K35">
            <v>0.5062009617818275</v>
          </cell>
        </row>
      </sheetData>
      <sheetData sheetId="6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ier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pi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Papi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view="pageLayout" topLeftCell="A3" zoomScaleNormal="100" workbookViewId="0">
      <selection activeCell="B14" sqref="B14:C14"/>
    </sheetView>
  </sheetViews>
  <sheetFormatPr baseColWidth="10" defaultColWidth="11.44140625" defaultRowHeight="13.2"/>
  <cols>
    <col min="1" max="1" width="21.88671875" customWidth="1"/>
    <col min="2" max="2" width="13.109375" customWidth="1"/>
    <col min="3" max="3" width="37.88671875" customWidth="1"/>
    <col min="4" max="4" width="21" customWidth="1"/>
    <col min="5" max="5" width="17.5546875" customWidth="1"/>
  </cols>
  <sheetData>
    <row r="1" spans="1:4" ht="30" customHeight="1">
      <c r="A1" s="27"/>
      <c r="B1" s="134"/>
      <c r="C1" s="134"/>
      <c r="D1" s="3" t="s">
        <v>0</v>
      </c>
    </row>
    <row r="2" spans="1:4" ht="60.75" customHeight="1">
      <c r="A2" s="135" t="str">
        <f>IF(Deckblatt!$B$14=1,'translation List'!C$1,IF(Deckblatt!$B$14=2,'translation List'!C$2,IF(Deckblatt!$B$14=3,'translation List'!C$3,IF(Deckblatt!$B$14=4,'translation List'!C$4,IF(Deckblatt!$B$14=5,'translation List'!C$5,IF(Deckblatt!$B$14=6,'translation List'!C$6,IF(Deckblatt!$B$14=7,'translation List'!C$7,IF(Deckblatt!$B$14=8,'translation List'!C$8,IF(Deckblatt!$B$14=9,'translation List'!C$9,IF(Deckblatt!$B$14=10,'translation List'!C$10,IF(Deckblatt!$B$14=11,'translation List'!C$11,IF(Deckblatt!$B$14=12,'translation List'!E$12))))))))))))</f>
        <v>Test report</v>
      </c>
      <c r="B2" s="135"/>
      <c r="C2" s="135"/>
      <c r="D2" s="135"/>
    </row>
    <row r="3" spans="1:4" ht="87" customHeight="1">
      <c r="B3" s="146" t="s">
        <v>1</v>
      </c>
      <c r="C3" s="146"/>
    </row>
    <row r="4" spans="1:4" ht="12" customHeight="1">
      <c r="B4" s="147"/>
      <c r="C4" s="147"/>
    </row>
    <row r="5" spans="1:4" ht="12" customHeight="1">
      <c r="B5" s="142" t="str">
        <f>IF(Deckblatt!$B$14=1,'translation List'!E$1,IF(Deckblatt!$B$14=2,'translation List'!E$2,IF(Deckblatt!$B$14=3,'translation List'!E$3,IF(Deckblatt!$B$14=4,'translation List'!E$4,IF(Deckblatt!$B$14=5,'translation List'!E$5,IF(Deckblatt!$B$14=6,'translation List'!E$6,IF(Deckblatt!$B$14=7,'translation List'!E$7,IF(Deckblatt!$B$14=8,'translation List'!E$8,IF(Deckblatt!$B$14=9,'translation List'!E$9,IF(Deckblatt!$B$14=10,'translation List'!E$10,IF(Deckblatt!$B$14=11,'translation List'!E$11,IF(Deckblatt!$B$14=12,'translation List'!E$12))))))))))))</f>
        <v>Machine</v>
      </c>
      <c r="C5" s="143"/>
    </row>
    <row r="6" spans="1:4" ht="22.5" customHeight="1">
      <c r="B6" s="144" t="s">
        <v>2</v>
      </c>
      <c r="C6" s="145"/>
    </row>
    <row r="7" spans="1:4" ht="12" customHeight="1">
      <c r="B7" s="2"/>
      <c r="C7" s="2"/>
    </row>
    <row r="8" spans="1:4" ht="12" customHeight="1">
      <c r="B8" s="151" t="str">
        <f>IF(Deckblatt!$B$14=1,'translation List'!F$1,IF(Deckblatt!$B$14=2,'translation List'!F$2,IF(Deckblatt!$B$14=3,'translation List'!F$3,IF(Deckblatt!$B$14=4,'translation List'!F$4,IF(Deckblatt!$B$14=5,'translation List'!F$5,IF(Deckblatt!$B$14=6,'translation List'!F$6,IF(Deckblatt!$B$14=7,'translation List'!F$7,IF(Deckblatt!$B$14=8,'translation List'!F$8,IF(Deckblatt!$B$14=9,'translation List'!F$9,IF(Deckblatt!$B$14=10,'translation List'!F$10,IF(Deckblatt!$B$14=11,'translation List'!F$11,IF(Deckblatt!$B$14=12,'translation List'!F$12))))))))))))</f>
        <v>responsible - NETZSCH</v>
      </c>
      <c r="C8" s="152"/>
    </row>
    <row r="9" spans="1:4" ht="20.100000000000001" customHeight="1">
      <c r="B9" s="136" t="s">
        <v>3</v>
      </c>
      <c r="C9" s="137"/>
    </row>
    <row r="10" spans="1:4" ht="22.5" customHeight="1">
      <c r="A10" s="4" t="s">
        <v>0</v>
      </c>
      <c r="B10" s="136" t="s">
        <v>4</v>
      </c>
      <c r="C10" s="137"/>
    </row>
    <row r="11" spans="1:4" ht="12" customHeight="1">
      <c r="A11" s="4"/>
      <c r="B11" s="5"/>
      <c r="C11" s="5"/>
    </row>
    <row r="12" spans="1:4" ht="12" customHeight="1">
      <c r="A12" s="4"/>
      <c r="B12" s="142" t="str">
        <f>IF(Deckblatt!$B$14=1,'translation List'!G$1,IF(Deckblatt!$B$14=2,'translation List'!G$2,IF(Deckblatt!$B$14=3,'translation List'!G$3,IF(Deckblatt!$B$14=4,'translation List'!G$4,IF(Deckblatt!$B$14=5,'translation List'!G$5,IF(Deckblatt!$B$14=6,'translation List'!G$6,IF(Deckblatt!$B$14=7,'translation List'!G$7,IF(Deckblatt!$B$14=8,'translation List'!G$8,IF(Deckblatt!$B$14=9,'translation List'!G$9,IF(Deckblatt!$B$14=10,'translation List'!G$10,IF(Deckblatt!$B$14=11,'translation List'!G$11,IF(Deckblatt!$B$14=12,'translation List'!G$12))))))))))))</f>
        <v>Operator</v>
      </c>
      <c r="C12" s="143"/>
    </row>
    <row r="13" spans="1:4" ht="22.5" customHeight="1">
      <c r="A13" s="4"/>
      <c r="B13" s="138" t="s">
        <v>5</v>
      </c>
      <c r="C13" s="139"/>
    </row>
    <row r="14" spans="1:4" ht="97.5" customHeight="1">
      <c r="A14" s="14" t="s">
        <v>6</v>
      </c>
      <c r="B14" s="153">
        <v>1</v>
      </c>
      <c r="C14" s="153"/>
    </row>
    <row r="15" spans="1:4" ht="12" customHeight="1">
      <c r="B15" s="142" t="str">
        <f>IF(Deckblatt!$B$14=1,'translation List'!H$1,IF(Deckblatt!$B$14=2,'translation List'!H$2,IF(Deckblatt!$B$14=3,'translation List'!H$3,IF(Deckblatt!$B$14=4,'translation List'!H$4,IF(Deckblatt!$B$14=5,'translation List'!H$5,IF(Deckblatt!$B$14=6,'translation List'!H$6,IF(Deckblatt!$B$14=7,'translation List'!H$7,IF(Deckblatt!$B$14=8,'translation List'!H$8,IF(Deckblatt!$B$14=9,'translation List'!H$9,IF(Deckblatt!$B$14=10,'translation List'!H$10,IF(Deckblatt!$B$14=11,'translation List'!H$11,IF(Deckblatt!$B$14=12,'translation List'!H$12))))))))))))</f>
        <v>Customer / address</v>
      </c>
      <c r="C15" s="143"/>
    </row>
    <row r="16" spans="1:4" ht="82.5" customHeight="1">
      <c r="A16" s="4" t="s">
        <v>0</v>
      </c>
      <c r="B16" s="140"/>
      <c r="C16" s="141"/>
      <c r="D16" s="1"/>
    </row>
    <row r="17" spans="1:4" ht="11.25" customHeight="1">
      <c r="A17" s="4"/>
      <c r="B17" s="107"/>
      <c r="C17" s="107"/>
      <c r="D17" s="1"/>
    </row>
    <row r="18" spans="1:4" ht="11.25" customHeight="1">
      <c r="A18" s="4"/>
      <c r="B18" s="142" t="str">
        <f>IF(Deckblatt!$B$14=1,'translation List'!I$1,IF(Deckblatt!$B$14=2,'translation List'!I$2,IF(Deckblatt!$B$14=3,'translation List'!I$3,IF(Deckblatt!$B$14=4,'translation List'!I$4,IF(Deckblatt!$B$14=5,'translation List'!I$5,IF(Deckblatt!$B$14=6,'translation List'!I$6,IF(Deckblatt!$B$14=7,'translation List'!I$7,IF(Deckblatt!$B$14=8,'translation List'!I$8,IF(Deckblatt!$B$14=9,'translation List'!I$9,IF(Deckblatt!$B$14=10,'translation List'!I$10,IF(Deckblatt!$B$14=11,'translation List'!I$11,IF(Deckblatt!$B$14=12,'translation List'!I$12))))))))))))</f>
        <v>Customer present</v>
      </c>
      <c r="C18" s="143"/>
      <c r="D18" s="1"/>
    </row>
    <row r="19" spans="1:4" ht="22.5" customHeight="1">
      <c r="A19" s="4" t="s">
        <v>0</v>
      </c>
      <c r="B19" s="140" t="s">
        <v>7</v>
      </c>
      <c r="C19" s="141"/>
      <c r="D19" s="1"/>
    </row>
    <row r="20" spans="1:4" ht="11.25" customHeight="1">
      <c r="A20" s="3"/>
      <c r="B20" s="3"/>
      <c r="C20" s="3"/>
      <c r="D20" s="1"/>
    </row>
    <row r="21" spans="1:4" ht="11.25" customHeight="1">
      <c r="A21" s="3"/>
      <c r="B21" s="142" t="str">
        <f>IF(Deckblatt!$B$14=1,'translation List'!J$1,IF(Deckblatt!$B$14=2,'translation List'!J$2,IF(Deckblatt!$B$14=3,'translation List'!J$3,IF(Deckblatt!$B$14=4,'translation List'!J$4,IF(Deckblatt!$B$14=5,'translation List'!J$5,IF(Deckblatt!$B$14=6,'translation List'!J$6,IF(Deckblatt!$B$14=7,'translation List'!J$7,IF(Deckblatt!$B$14=8,'translation List'!J$8,IF(Deckblatt!$B$14=9,'translation List'!J$9,IF(Deckblatt!$B$14=10,'translation List'!J$10,IF(Deckblatt!$B$14=11,'translation List'!J$11,IF(Deckblatt!$B$14=12,'translation List'!J$12))))))))))))</f>
        <v>Product</v>
      </c>
      <c r="C21" s="143"/>
      <c r="D21" s="1"/>
    </row>
    <row r="22" spans="1:4" ht="22.5" customHeight="1">
      <c r="A22" s="4" t="s">
        <v>0</v>
      </c>
      <c r="B22" s="140" t="s">
        <v>8</v>
      </c>
      <c r="C22" s="141"/>
      <c r="D22" s="1"/>
    </row>
    <row r="23" spans="1:4" ht="11.25" customHeight="1">
      <c r="A23" s="3"/>
      <c r="B23" s="3"/>
      <c r="C23" s="3"/>
      <c r="D23" s="1"/>
    </row>
    <row r="24" spans="1:4" ht="11.25" customHeight="1">
      <c r="A24" s="3"/>
      <c r="B24" s="142" t="str">
        <f>IF(Deckblatt!$B$14=1,'translation List'!K$1,IF(Deckblatt!$B$14=2,'translation List'!K$2,IF(Deckblatt!$B$14=3,'translation List'!K$3,IF(Deckblatt!$B$14=4,'translation List'!K$4,IF(Deckblatt!$B$14=5,'translation List'!K$5,IF(Deckblatt!$B$14=6,'translation List'!K$6,IF(Deckblatt!$B$14=7,'translation List'!K$7,IF(Deckblatt!$B$14=8,'translation List'!K$8,IF(Deckblatt!$B$14=9,'translation List'!K$9,IF(Deckblatt!$B$14=10,'translation List'!K$10,IF(Deckblatt!$B$14=11,'translation List'!K$11,IF(Deckblatt!$B$14=12,'translation List'!K$12))))))))))))</f>
        <v>Date</v>
      </c>
      <c r="C24" s="143"/>
      <c r="D24" s="1"/>
    </row>
    <row r="25" spans="1:4" ht="22.5" customHeight="1">
      <c r="A25" s="4" t="s">
        <v>0</v>
      </c>
      <c r="B25" s="149" t="s">
        <v>9</v>
      </c>
      <c r="C25" s="150"/>
      <c r="D25" s="1"/>
    </row>
    <row r="26" spans="1:4" ht="19.5" customHeight="1">
      <c r="A26" s="3"/>
      <c r="B26" s="148"/>
      <c r="C26" s="148"/>
      <c r="D26" s="1"/>
    </row>
    <row r="27" spans="1:4" ht="42" customHeight="1">
      <c r="A27" s="3"/>
    </row>
  </sheetData>
  <sheetProtection sheet="1" objects="1" scenarios="1" selectLockedCells="1"/>
  <mergeCells count="21">
    <mergeCell ref="B26:C26"/>
    <mergeCell ref="B25:C25"/>
    <mergeCell ref="B8:C8"/>
    <mergeCell ref="B12:C12"/>
    <mergeCell ref="B16:C16"/>
    <mergeCell ref="B19:C19"/>
    <mergeCell ref="B15:C15"/>
    <mergeCell ref="B18:C18"/>
    <mergeCell ref="B21:C21"/>
    <mergeCell ref="B24:C24"/>
    <mergeCell ref="B14:C14"/>
    <mergeCell ref="B9:C9"/>
    <mergeCell ref="B1:C1"/>
    <mergeCell ref="A2:D2"/>
    <mergeCell ref="B10:C10"/>
    <mergeCell ref="B13:C13"/>
    <mergeCell ref="B22:C22"/>
    <mergeCell ref="B5:C5"/>
    <mergeCell ref="B6:C6"/>
    <mergeCell ref="B3:C3"/>
    <mergeCell ref="B4:C4"/>
  </mergeCells>
  <pageMargins left="0.70866141732283472" right="0.31496062992125984" top="0.98425196850393704" bottom="0.59055118110236227" header="0.31496062992125984" footer="0.31496062992125984"/>
  <pageSetup paperSize="9" orientation="portrait" r:id="rId1"/>
  <headerFooter>
    <oddHeader>&amp;L&amp;G&amp;R&amp;"Arial,Fett"&amp;24&amp;F</oddHeader>
    <oddFooter>&amp;LTest report_mill&amp;R&amp;F &amp;P/&amp;N</oddFooter>
  </headerFooter>
  <rowBreaks count="1" manualBreakCount="1">
    <brk id="27" max="16383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 sizeWithCells="1">
                  <from>
                    <xdr:col>1</xdr:col>
                    <xdr:colOff>220980</xdr:colOff>
                    <xdr:row>13</xdr:row>
                    <xdr:rowOff>449580</xdr:rowOff>
                  </from>
                  <to>
                    <xdr:col>2</xdr:col>
                    <xdr:colOff>2468880</xdr:colOff>
                    <xdr:row>13</xdr:row>
                    <xdr:rowOff>838200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4"/>
  <sheetViews>
    <sheetView topLeftCell="A22" zoomScale="130" zoomScaleNormal="130" zoomScaleSheetLayoutView="110" workbookViewId="0">
      <selection activeCell="L31" sqref="L31"/>
    </sheetView>
  </sheetViews>
  <sheetFormatPr baseColWidth="10" defaultColWidth="11.109375" defaultRowHeight="18" customHeight="1"/>
  <cols>
    <col min="1" max="15" width="6.109375" customWidth="1"/>
    <col min="16" max="16" width="11.109375" customWidth="1"/>
    <col min="17" max="255" width="6.109375" customWidth="1"/>
  </cols>
  <sheetData>
    <row r="1" spans="1:45" ht="18" customHeight="1">
      <c r="A1" s="236" t="str">
        <f>Deckblatt!B6</f>
        <v>Labstar NEOS</v>
      </c>
      <c r="B1" s="237"/>
      <c r="C1" s="237"/>
      <c r="D1" s="238"/>
      <c r="E1" s="239" t="str">
        <f>IF(Deckblatt!$B$14=1,'translation List'!L$1,IF(Deckblatt!$B$14=2,'translation List'!L$2,IF(Deckblatt!$B$14=3,'translation List'!L$3,IF(Deckblatt!$B$14=4,'translation List'!L$4,IF(Deckblatt!$B$14=5,'translation List'!L$5,IF(Deckblatt!$B$14=6,'translation List'!L$6,IF(Deckblatt!$B$14=7,'translation List'!L$7,IF(Deckblatt!$B$14=8,'translation List'!L$8,IF(Deckblatt!$B$14=9,'translation List'!L$9,IF(Deckblatt!$B$14=10,'translation List'!L$10,IF(Deckblatt!$B$14=11,'translation List'!L$11,IF(Deckblatt!$B$14=12,'translation List'!L$12))))))))))))</f>
        <v>Installed power</v>
      </c>
      <c r="F1" s="160"/>
      <c r="G1" s="161"/>
      <c r="H1" s="240">
        <v>3</v>
      </c>
      <c r="I1" s="240"/>
      <c r="J1" s="26" t="s">
        <v>10</v>
      </c>
      <c r="K1" s="239" t="str">
        <f>IF(Deckblatt!$B$14=1,'translation List'!K$1,IF(Deckblatt!$B$14=2,'translation List'!K$2,IF(Deckblatt!$B$14=3,'translation List'!K$3,IF(Deckblatt!$B$14=4,'translation List'!K$4,IF(Deckblatt!$B$14=5,'translation List'!K$5,IF(Deckblatt!$B$14=6,'translation List'!K$6,IF(Deckblatt!$B$14=7,'translation List'!K$7,IF(Deckblatt!$B$14=8,'translation List'!K$8,IF(Deckblatt!$B$14=9,'translation List'!K$9,IF(Deckblatt!$B$14=10,'translation List'!K$10,IF(Deckblatt!$B$14=11,'translation List'!K$11,IF(Deckblatt!$B$14=12,'translation List'!K$12))))))))))))</f>
        <v>Date</v>
      </c>
      <c r="L1" s="161"/>
      <c r="M1" s="241">
        <v>45525</v>
      </c>
      <c r="N1" s="242"/>
      <c r="O1" s="242"/>
      <c r="P1" s="84"/>
      <c r="Q1" s="85"/>
      <c r="R1" s="84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</row>
    <row r="2" spans="1:45" ht="18" customHeight="1">
      <c r="A2" s="243" t="str">
        <f>IF(Deckblatt!$B$14=1,'translation List'!M$1,IF(Deckblatt!$B$14=2,'translation List'!M$2,IF(Deckblatt!$B$14=3,'translation List'!M$3,IF(Deckblatt!$B$14=4,'translation List'!M$4,IF(Deckblatt!$B$14=5,'translation List'!M$5,IF(Deckblatt!$B$14=6,'translation List'!M$6,IF(Deckblatt!$B$14=7,'translation List'!M$7,IF(Deckblatt!$B$14=8,'translation List'!M$8,IF(Deckblatt!$B$14=9,'translation List'!M$9,IF(Deckblatt!$B$14=10,'translation List'!M$10,IF(Deckblatt!$B$14=11,'translation List'!M$11,IF(Deckblatt!$B$14=12,'translation List'!M$12))))))))))))</f>
        <v>Machine equipment</v>
      </c>
      <c r="B2" s="162"/>
      <c r="C2" s="162"/>
      <c r="D2" s="163"/>
      <c r="E2" s="164" t="s">
        <v>11</v>
      </c>
      <c r="F2" s="165"/>
      <c r="G2" s="165"/>
      <c r="H2" s="165"/>
      <c r="I2" s="165"/>
      <c r="J2" s="165"/>
      <c r="K2" s="165"/>
      <c r="L2" s="165"/>
      <c r="M2" s="165"/>
      <c r="N2" s="165"/>
      <c r="O2" s="244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</row>
    <row r="3" spans="1:45" ht="18" customHeight="1">
      <c r="A3" s="180" t="str">
        <f>IF(Deckblatt!$B$14=1,'translation List'!N$1,IF(Deckblatt!$B$14=2,'translation List'!N$2,IF(Deckblatt!$B$14=3,'translation List'!N$3,IF(Deckblatt!$B$14=4,'translation List'!N$4,IF(Deckblatt!$B$14=5,'translation List'!N$5,IF(Deckblatt!$B$14=6,'translation List'!N$6,IF(Deckblatt!$B$14=7,'translation List'!N$7,IF(Deckblatt!$B$14=8,'translation List'!N$8,IF(Deckblatt!$B$14=9,'translation List'!N$9,IF(Deckblatt!$B$14=10,'translation List'!N$10,IF(Deckblatt!$B$14=11,'translation List'!N$11,IF(Deckblatt!$B$14=12,'translation List'!N$12))))))))))))</f>
        <v>Pump</v>
      </c>
      <c r="B3" s="186"/>
      <c r="C3" s="186"/>
      <c r="D3" s="173" t="s">
        <v>12</v>
      </c>
      <c r="E3" s="174"/>
      <c r="F3" s="174"/>
      <c r="G3" s="175"/>
      <c r="H3" s="181" t="str">
        <f>IF(OR(D3="Gearpump",D3="Air Diaphragm Pump",D3="EM diaphragm pump"),"",IF(OR(D3="Hosepump",D3="Nemopump"),IF(Deckblatt!$B$14=1,'translation List'!BI$1,IF(Deckblatt!$B$14=2,'translation List'!BI$2,IF(Deckblatt!$B$14=3,'translation List'!BI$3,IF(Deckblatt!$B$14=4,'translation List'!BI$4,IF(Deckblatt!$B$14=5,'translation List'!BI$5,IF(Deckblatt!$B$14=6,'translation List'!BI$6,IF(Deckblatt!$B$14=7,'translation List'!BI$7,IF(Deckblatt!$B$14=8,'translation List'!BI$8,IF(Deckblatt!$B$14=9,'translation List'!BI$9,IF(Deckblatt!$B$14=10,'translation List'!BI$10,IF(Deckblatt!$B$14=11,'translation List'!BI$11,IF(Deckblatt!$B$14=12,'translation List'!BI$12,""))))))))))))))</f>
        <v>Hose material</v>
      </c>
      <c r="I3" s="182"/>
      <c r="J3" s="182"/>
      <c r="K3" s="187"/>
      <c r="L3" s="187"/>
      <c r="M3" s="187"/>
      <c r="N3" s="187"/>
      <c r="O3" s="6"/>
      <c r="P3" s="84"/>
      <c r="Q3" s="85"/>
      <c r="R3" s="84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</row>
    <row r="4" spans="1:45" ht="18" customHeight="1">
      <c r="A4" s="180" t="str">
        <f>IF(Deckblatt!$B$14=1,'translation List'!R$1,IF(Deckblatt!$B$14=2,'translation List'!R$2,IF(Deckblatt!$B$14=3,'translation List'!R$3,IF(Deckblatt!$B$14=4,'translation List'!R$4,IF(Deckblatt!$B$14=5,'translation List'!R$5,IF(Deckblatt!$B$14=6,'translation List'!R$6,IF(Deckblatt!$B$14=7,'translation List'!R$7,IF(Deckblatt!$B$14=8,'translation List'!R$8,IF(Deckblatt!$B$14=9,'translation List'!R$9,IF(Deckblatt!$B$14=10,'translation List'!R$10,IF(Deckblatt!$B$14=11,'translation List'!R$11,IF(Deckblatt!$B$14=12,'translation List'!R$12))))))))))))</f>
        <v>Separating system</v>
      </c>
      <c r="B4" s="186"/>
      <c r="C4" s="186"/>
      <c r="D4" s="66">
        <v>7.4999999999999997E-2</v>
      </c>
      <c r="E4" s="29" t="s">
        <v>13</v>
      </c>
      <c r="F4" s="30" t="s">
        <v>14</v>
      </c>
      <c r="G4" s="67"/>
      <c r="H4" s="29" t="s">
        <v>13</v>
      </c>
      <c r="I4" s="183" t="str">
        <f>IF(Deckblatt!$B$14=1,'translation List'!O$1,IF(Deckblatt!$B$14=2,'translation List'!O$2,IF(Deckblatt!$B$14=3,'translation List'!O$3,IF(Deckblatt!$B$14=4,'translation List'!O$4,IF(Deckblatt!$B$14=5,'translation List'!O$5,IF(Deckblatt!$B$14=6,'translation List'!O$6,IF(Deckblatt!$B$14=7,'translation List'!O$7,IF(Deckblatt!$B$14=8,'translation List'!O$8,IF(Deckblatt!$B$14=9,'translation List'!O$9,IF(Deckblatt!$B$14=10,'translation List'!O$10,IF(Deckblatt!$B$14=11,'translation List'!O$11,IF(Deckblatt!$B$14=12,'translation List'!O$12))))))))))))</f>
        <v>Sealing liquid</v>
      </c>
      <c r="J4" s="184"/>
      <c r="K4" s="185"/>
      <c r="L4" s="193" t="s">
        <v>15</v>
      </c>
      <c r="M4" s="176"/>
      <c r="N4" s="176"/>
      <c r="O4" s="24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</row>
    <row r="5" spans="1:45" ht="18" customHeight="1">
      <c r="A5" s="209" t="str">
        <f>IF(Deckblatt!$B$14=1,'translation List'!P$1,IF(Deckblatt!$B$14=2,'translation List'!P$2,IF(Deckblatt!$B$14=3,'translation List'!P$3,IF(Deckblatt!$B$14=4,'translation List'!P$4,IF(Deckblatt!$B$14=5,'translation List'!P$5,IF(Deckblatt!$B$14=6,'translation List'!P$6,IF(Deckblatt!$B$14=7,'translation List'!P$7,IF(Deckblatt!$B$14=8,'translation List'!P$8,IF(Deckblatt!$B$14=9,'translation List'!P$9,IF(Deckblatt!$B$14=10,'translation List'!P$10,IF(Deckblatt!$B$14=11,'translation List'!P$11,IF(Deckblatt!$B$14=12,'translation List'!P$12))))))))))))</f>
        <v>Type of grinding beads</v>
      </c>
      <c r="B5" s="216"/>
      <c r="C5" s="216"/>
      <c r="D5" s="217" t="s">
        <v>16</v>
      </c>
      <c r="E5" s="206"/>
      <c r="F5" s="206"/>
      <c r="G5" s="206"/>
      <c r="H5" s="91" t="s">
        <v>17</v>
      </c>
      <c r="I5" s="31" t="s">
        <v>13</v>
      </c>
      <c r="J5" s="188" t="str">
        <f>IF(Deckblatt!$B$14=1,'translation List'!BJ$1,IF(Deckblatt!$B$14=2,'translation List'!BJ$2,IF(Deckblatt!$B$14=3,'translation List'!BJ$3,IF(Deckblatt!$B$14=4,'translation List'!BJ$4,IF(Deckblatt!$B$14=5,'translation List'!BJ$5,IF(Deckblatt!$B$14=6,'translation List'!BJ$6,IF(Deckblatt!$B$14=7,'translation List'!BJ$7,IF(Deckblatt!$B$14=8,'translation List'!#REF!,IF(Deckblatt!$B$14=9,'translation List'!BJ$9,IF(Deckblatt!$B$14=10,'translation List'!BJ$10,IF(Deckblatt!$B$14=11,'translation List'!BJ$11,IF(Deckblatt!$B$14=12,'translation List'!BJ$12))))))))))))</f>
        <v>mass</v>
      </c>
      <c r="K5" s="189"/>
      <c r="L5" s="68"/>
      <c r="M5" s="10" t="s">
        <v>18</v>
      </c>
      <c r="N5" s="92">
        <v>85</v>
      </c>
      <c r="O5" s="9" t="s">
        <v>19</v>
      </c>
      <c r="P5" s="85"/>
      <c r="Q5" s="85"/>
      <c r="R5" s="84" t="s">
        <v>20</v>
      </c>
      <c r="S5" s="84" t="s">
        <v>21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</row>
    <row r="6" spans="1:45" ht="18" customHeight="1">
      <c r="A6" s="177" t="str">
        <f>IF(Deckblatt!$B$14=1,'translation List'!S$1,IF(Deckblatt!$B$14=2,'translation List'!S$2,IF(Deckblatt!$B$14=3,'translation List'!S$3,IF(Deckblatt!$B$14=4,'translation List'!S$4,IF(Deckblatt!$B$14=5,'translation List'!S$5,IF(Deckblatt!$B$14=6,'translation List'!S$6,IF(Deckblatt!$B$14=7,'translation List'!S$7,IF(Deckblatt!$B$14=8,'translation List'!S$8,IF(Deckblatt!$B$14=9,'translation List'!S$9,IF(Deckblatt!$B$14=10,'translation List'!S$10,IF(Deckblatt!$B$14=11,'translation List'!S$11,IF(Deckblatt!$B$14=12,'translation List'!S$12))))))))))))</f>
        <v>Product</v>
      </c>
      <c r="B6" s="177"/>
      <c r="C6" s="178"/>
      <c r="D6" s="194" t="s">
        <v>22</v>
      </c>
      <c r="E6" s="195"/>
      <c r="F6" s="195"/>
      <c r="G6" s="195"/>
      <c r="H6" s="196"/>
      <c r="I6" s="167" t="str">
        <f>IF(Deckblatt!$B$14=1,'translation List'!U$1,IF(Deckblatt!$B$14=2,'translation List'!U$2,IF(Deckblatt!$B$14=3,'translation List'!U$3,IF(Deckblatt!$B$14=4,'translation List'!U$4,IF(Deckblatt!$B$14=5,'translation List'!U$5,IF(Deckblatt!$B$14=6,'translation List'!U$6,IF(Deckblatt!$B$14=7,'translation List'!U$7,IF(Deckblatt!$B$14=8,'translation List'!U$8,IF(Deckblatt!$B$14=9,'translation List'!U$9,IF(Deckblatt!$B$14=10,'translation List'!U$10,IF(Deckblatt!$B$14=11,'translation List'!U$11,IF(Deckblatt!$B$14=12,'translation List'!U$12))))))))))))</f>
        <v>Max. temperature</v>
      </c>
      <c r="J6" s="162"/>
      <c r="K6" s="162"/>
      <c r="L6" s="163"/>
      <c r="M6" s="190">
        <v>100</v>
      </c>
      <c r="N6" s="190"/>
      <c r="O6" s="11" t="s">
        <v>23</v>
      </c>
      <c r="P6" s="86"/>
      <c r="Q6" s="85"/>
      <c r="R6" s="97">
        <v>0.4</v>
      </c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</row>
    <row r="7" spans="1:45" ht="18" customHeight="1">
      <c r="A7" s="179" t="str">
        <f>IF(Deckblatt!$B$14=1,'translation List'!T$1,IF(Deckblatt!$B$14=2,'translation List'!T$2,IF(Deckblatt!$B$14=3,'translation List'!T$3,IF(Deckblatt!$B$14=4,'translation List'!T$4,IF(Deckblatt!$B$14=5,'translation List'!T$5,IF(Deckblatt!$B$14=6,'translation List'!T$6,IF(Deckblatt!$B$14=7,'translation List'!T$7,IF(Deckblatt!$B$14=8,'translation List'!T$8,IF(Deckblatt!$B$14=9,'translation List'!T$9,IF(Deckblatt!$B$14=10,'translation List'!T$10,IF(Deckblatt!$B$14=11,'translation List'!T$11,IF(Deckblatt!$B$14=12,'translation List'!T$12))))))))))))</f>
        <v>Solid</v>
      </c>
      <c r="B7" s="179"/>
      <c r="C7" s="180"/>
      <c r="D7" s="176" t="s">
        <v>20</v>
      </c>
      <c r="E7" s="174"/>
      <c r="F7" s="174"/>
      <c r="G7" s="69">
        <f>R7</f>
        <v>1</v>
      </c>
      <c r="H7" s="24" t="s">
        <v>18</v>
      </c>
      <c r="I7" s="183" t="str">
        <f>IF(Deckblatt!$B$14=1,'translation List'!V$1,IF(Deckblatt!$B$14=2,'translation List'!V$2,IF(Deckblatt!$B$14=3,'translation List'!V$3,IF(Deckblatt!$B$14=4,'translation List'!V$4,IF(Deckblatt!$B$14=5,'translation List'!V$5,IF(Deckblatt!$B$14=6,'translation List'!V$6,IF(Deckblatt!$B$14=7,'translation List'!V$7,IF(Deckblatt!$B$14=8,'translation List'!V$8,IF(Deckblatt!$B$14=9,'translation List'!V$9,IF(Deckblatt!$B$14=10,'translation List'!V$10,IF(Deckblatt!$B$14=11,'translation List'!V$11,IF(Deckblatt!$B$14=12,'translation List'!V$12))))))))))))</f>
        <v>Solid content</v>
      </c>
      <c r="J7" s="184"/>
      <c r="K7" s="184"/>
      <c r="L7" s="185"/>
      <c r="M7" s="191">
        <f>(G7/M8)*100</f>
        <v>24.630541871921181</v>
      </c>
      <c r="N7" s="192"/>
      <c r="O7" s="6" t="s">
        <v>19</v>
      </c>
      <c r="P7" s="84" t="s">
        <v>46</v>
      </c>
      <c r="Q7" s="98">
        <v>2.5</v>
      </c>
      <c r="R7" s="85">
        <f>Q7*R6</f>
        <v>1</v>
      </c>
      <c r="S7" s="85">
        <f>Q7-R7</f>
        <v>1.5</v>
      </c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</row>
    <row r="8" spans="1:45" ht="18" customHeight="1">
      <c r="A8" s="179" t="str">
        <f>IF(Deckblatt!$B$14=1,'translation List'!Y$1,IF(Deckblatt!$B$14=2,'translation List'!Y$2,IF(Deckblatt!$B$14=3,'translation List'!Y$3,IF(Deckblatt!$B$14=4,'translation List'!Y$4,IF(Deckblatt!$B$14=5,'translation List'!Y$5,IF(Deckblatt!$B$14=6,'translation List'!Y$6,IF(Deckblatt!$B$14=7,'translation List'!Y$7,IF(Deckblatt!$B$14=8,'translation List'!Y$8,IF(Deckblatt!$B$14=9,'translation List'!Y$9,IF(Deckblatt!$B$14=10,'translation List'!Y$10,IF(Deckblatt!$B$14=11,'translation List'!Y$11,IF(Deckblatt!$B$14=12,'translation List'!Y$12))))))))))))</f>
        <v>Dispersant</v>
      </c>
      <c r="B8" s="179"/>
      <c r="C8" s="180"/>
      <c r="D8" s="174" t="s">
        <v>24</v>
      </c>
      <c r="E8" s="174"/>
      <c r="F8" s="174"/>
      <c r="G8" s="67">
        <v>0.06</v>
      </c>
      <c r="H8" s="24" t="s">
        <v>18</v>
      </c>
      <c r="I8" s="183" t="str">
        <f>IF(Deckblatt!$B$14=1,'translation List'!W$1,IF(Deckblatt!$B$14=2,'translation List'!W$2,IF(Deckblatt!$B$14=3,'translation List'!W$3,IF(Deckblatt!$B$14=4,'translation List'!W$4,IF(Deckblatt!$B$14=5,'translation List'!W$5,IF(Deckblatt!$B$14=6,'translation List'!W$6,IF(Deckblatt!$B$14=7,'translation List'!W$7,IF(Deckblatt!$B$14=8,'translation List'!W$8,IF(Deckblatt!$B$14=9,'translation List'!W$9,IF(Deckblatt!$B$14=10,'translation List'!W$10,IF(Deckblatt!$B$14=11,'translation List'!W$11,IF(Deckblatt!$B$14=12,'translation List'!W$12))))))))))))</f>
        <v>Total mass</v>
      </c>
      <c r="J8" s="184"/>
      <c r="K8" s="184"/>
      <c r="L8" s="185"/>
      <c r="M8" s="204">
        <f>SUM(G7:G9)</f>
        <v>4.0600000000000005</v>
      </c>
      <c r="N8" s="205"/>
      <c r="O8" s="6" t="s">
        <v>18</v>
      </c>
      <c r="P8" s="84" t="s">
        <v>47</v>
      </c>
      <c r="Q8" s="85">
        <v>1.5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45" ht="18" customHeight="1">
      <c r="A9" s="208" t="str">
        <f>IF(Deckblatt!$B$14=1,'translation List'!Z$1,IF(Deckblatt!$B$14=2,'translation List'!Z$2,IF(Deckblatt!$B$14=3,'translation List'!Z$3,IF(Deckblatt!$B$14=4,'translation List'!Z$4,IF(Deckblatt!$B$14=5,'translation List'!Z$5,IF(Deckblatt!$B$14=6,'translation List'!Z$6,IF(Deckblatt!$B$14=7,'translation List'!Z$7,IF(Deckblatt!$B$14=8,'translation List'!Z$8,IF(Deckblatt!$B$14=9,'translation List'!Z$9,IF(Deckblatt!$B$14=10,'translation List'!Z$10,IF(Deckblatt!$B$14=11,'translation List'!Z$11,IF(Deckblatt!$B$14=12,'translation List'!Z$12))))))))))))</f>
        <v>Solvent</v>
      </c>
      <c r="B9" s="208"/>
      <c r="C9" s="209"/>
      <c r="D9" s="206" t="s">
        <v>25</v>
      </c>
      <c r="E9" s="206"/>
      <c r="F9" s="206"/>
      <c r="G9" s="70">
        <f>Q8+S7</f>
        <v>3</v>
      </c>
      <c r="H9" s="7" t="s">
        <v>18</v>
      </c>
      <c r="I9" s="201" t="str">
        <f>IF(Deckblatt!$B$14=1,'translation List'!X$1,IF(Deckblatt!$B$14=2,'translation List'!X$2,IF(Deckblatt!$B$14=3,'translation List'!X$3,IF(Deckblatt!$B$14=4,'translation List'!X$4,IF(Deckblatt!$B$14=5,'translation List'!X$5,IF(Deckblatt!$B$14=6,'translation List'!X$6,IF(Deckblatt!$B$14=7,'translation List'!X$7,IF(Deckblatt!$B$14=8,'translation List'!X$8,IF(Deckblatt!$B$14=9,'translation List'!X$9,IF(Deckblatt!$B$14=10,'translation List'!X$10,IF(Deckblatt!$B$14=11,'translation List'!X$11,IF(Deckblatt!$B$14=12,'translation List'!X$12))))))))))))</f>
        <v>Density</v>
      </c>
      <c r="J9" s="202"/>
      <c r="K9" s="202"/>
      <c r="L9" s="203"/>
      <c r="M9" s="200"/>
      <c r="N9" s="200"/>
      <c r="O9" s="9" t="s">
        <v>26</v>
      </c>
      <c r="P9" s="127">
        <f>G8/M8%</f>
        <v>1.4778325123152707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45" ht="18" customHeight="1">
      <c r="A10" s="243" t="str">
        <f>IF(Deckblatt!$B$14=1,'translation List'!AA$1,IF(Deckblatt!$B$14=2,'translation List'!AA$2,IF(Deckblatt!$B$14=3,'translation List'!AA$3,IF(Deckblatt!$B$14=4,'translation List'!AA$4,IF(Deckblatt!$B$14=5,'translation List'!AA$5,IF(Deckblatt!$B$14=6,'translation List'!AA$6,IF(Deckblatt!$B$14=7,'translation List'!AA$7,IF(Deckblatt!$B$14=8,'translation List'!AA$8,IF(Deckblatt!$B$14=9,'translation List'!AA$9,IF(Deckblatt!$B$14=10,'translation List'!AA$10,IF(Deckblatt!$B$14=11,'translation List'!AA$11,IF(Deckblatt!$B$14=12,'translation List'!AA$12))))))))))))</f>
        <v>Material preparation</v>
      </c>
      <c r="B10" s="162"/>
      <c r="C10" s="162"/>
      <c r="D10" s="163"/>
      <c r="E10" s="164" t="s">
        <v>48</v>
      </c>
      <c r="F10" s="165"/>
      <c r="G10" s="165"/>
      <c r="H10" s="165"/>
      <c r="I10" s="165"/>
      <c r="J10" s="165"/>
      <c r="K10" s="166"/>
      <c r="L10" s="167" t="str">
        <f>IF(Deckblatt!$B$14=1,'translation List'!AB$1,IF(Deckblatt!$B$14=2,'translation List'!AB$2,IF(Deckblatt!$B$14=3,'translation List'!AB$3,IF(Deckblatt!$B$14=4,'translation List'!AB$4,IF(Deckblatt!$B$14=5,'translation List'!AB$5,IF(Deckblatt!$B$14=6,'translation List'!AB$6,IF(Deckblatt!$B$14=7,'translation List'!AB$7,IF(Deckblatt!$B$14=8,'translation List'!AB$8,IF(Deckblatt!$B$14=9,'translation List'!AB$9,IF(Deckblatt!$B$14=10,'translation List'!AB$10,IF(Deckblatt!$B$14=11,'translation List'!AB$11,IF(Deckblatt!$B$14=12,'translation List'!AB$12))))))))))))</f>
        <v>Duration</v>
      </c>
      <c r="M10" s="163"/>
      <c r="N10" s="71">
        <v>70</v>
      </c>
      <c r="O10" s="25" t="s">
        <v>28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ht="18" customHeight="1">
      <c r="A11" s="246" t="str">
        <f>IF(Deckblatt!$B$14=1,'translation List'!BK$1,IF(Deckblatt!$B$14=2,'translation List'!BK$2,IF(Deckblatt!$B$14=3,'translation List'!BK$3,IF(Deckblatt!$B$14=4,'translation List'!BK$4,IF(Deckblatt!$B$14=5,'translation List'!BK$5,IF(Deckblatt!$B$14=6,'translation List'!BK$6,IF(Deckblatt!$B$14=7,'translation List'!BK$7,IF(Deckblatt!$B$14=8,'translation List'!BJ$8,IF(Deckblatt!$B$14=9,'translation List'!BK$9,IF(Deckblatt!$B$14=10,'translation List'!BK$10,IF(Deckblatt!$B$14=11,'translation List'!BK$11,IF(Deckblatt!$B$14=12,'translation List'!BK$12))))))))))))</f>
        <v>quality requirements</v>
      </c>
      <c r="B11" s="221"/>
      <c r="C11" s="221"/>
      <c r="D11" s="222"/>
      <c r="E11" s="173" t="s">
        <v>29</v>
      </c>
      <c r="F11" s="174"/>
      <c r="G11" s="174"/>
      <c r="H11" s="174"/>
      <c r="I11" s="174"/>
      <c r="J11" s="174"/>
      <c r="K11" s="174"/>
      <c r="L11" s="174"/>
      <c r="M11" s="174"/>
      <c r="N11" s="174"/>
      <c r="O11" s="247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ht="18" customHeight="1">
      <c r="A12" s="248" t="str">
        <f>IF(Deckblatt!$B$14=1,'translation List'!AD$1,IF(Deckblatt!$B$14=2,'translation List'!AD$2,IF(Deckblatt!$B$14=3,'translation List'!AD$3,IF(Deckblatt!$B$14=4,'translation List'!AD$4,IF(Deckblatt!$B$14=5,'translation List'!AD$5,IF(Deckblatt!$B$14=6,'translation List'!AD$6,IF(Deckblatt!$B$14=7,'translation List'!AD$7,IF(Deckblatt!$B$14=8,'translation List'!AD$8,IF(Deckblatt!$B$14=9,'translation List'!AD$9,IF(Deckblatt!$B$14=10,'translation List'!AD$10,IF(Deckblatt!$B$14=11,'translation List'!AD$11,IF(Deckblatt!$B$14=12,'translation List'!AD$12))))))))))))</f>
        <v>Target fineness</v>
      </c>
      <c r="B12" s="171"/>
      <c r="C12" s="172"/>
      <c r="D12" s="82">
        <v>50</v>
      </c>
      <c r="E12" s="170">
        <v>0.1</v>
      </c>
      <c r="F12" s="170"/>
      <c r="G12" s="32" t="s">
        <v>30</v>
      </c>
      <c r="H12" s="82">
        <v>90</v>
      </c>
      <c r="I12" s="200">
        <v>0.15</v>
      </c>
      <c r="J12" s="200"/>
      <c r="K12" s="12" t="s">
        <v>30</v>
      </c>
      <c r="L12" s="83">
        <v>95</v>
      </c>
      <c r="M12" s="200"/>
      <c r="N12" s="200"/>
      <c r="O12" s="9" t="s">
        <v>30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5" ht="18" customHeight="1">
      <c r="A13" s="250">
        <f>MAX(G26:O26)</f>
        <v>0.50706866876372481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18" customHeight="1">
      <c r="A14" s="239" t="str">
        <f>IF(Deckblatt!$B$14=1,'translation List'!AE$1,IF(Deckblatt!$B$14=2,'translation List'!AE$2,IF(Deckblatt!$B$14=3,'translation List'!AE$3,IF(Deckblatt!$B$14=4,'translation List'!AE$4,IF(Deckblatt!$B$14=5,'translation List'!AE$5,IF(Deckblatt!$B$14=6,'translation List'!AE$6,IF(Deckblatt!$B$14=7,'translation List'!AE$7,IF(Deckblatt!$B$14=8,'translation List'!AE$8,IF(Deckblatt!$B$14=9,'translation List'!AE$9,IF(Deckblatt!$B$14=10,'translation List'!AE$10,IF(Deckblatt!$B$14=11,'translation List'!AE$11,IF(Deckblatt!$B$14=12,'translation List'!AE$12))))))))))))</f>
        <v>Operation mode</v>
      </c>
      <c r="B14" s="160"/>
      <c r="C14" s="160"/>
      <c r="D14" s="160"/>
      <c r="E14" s="160"/>
      <c r="F14" s="161"/>
      <c r="G14" s="158" t="str">
        <f>IF(Deckblatt!$B$14=1,'translation List'!BG$1,IF(Deckblatt!$B$14=2,'translation List'!BG$2,IF(Deckblatt!$B$14=3,'translation List'!BG$3,IF(Deckblatt!$B$14=4,'translation List'!BG$4,IF(Deckblatt!$B$14=5,'translation List'!BG$5,IF(Deckblatt!$B$14=6,'translation List'!BG$6,IF(Deckblatt!$B$14=7,'translation List'!BG$7,IF(Deckblatt!$B$14=8,'translation List'!BG$8,IF(Deckblatt!$B$14=9,'translation List'!BG$9,IF(Deckblatt!$B$14=10,'translation List'!BG$10,IF(Deckblatt!$B$14=11,'translation List'!BG$11,IF(Deckblatt!$B$14=12,'translation List'!BG$12))))))))))))</f>
        <v>Circulation</v>
      </c>
      <c r="H14" s="159"/>
      <c r="I14" s="159"/>
      <c r="J14" s="159"/>
      <c r="K14" s="159"/>
      <c r="L14" s="159"/>
      <c r="M14" s="159"/>
      <c r="N14" s="159"/>
      <c r="O14" s="251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18" customHeight="1">
      <c r="A15" s="239" t="str">
        <f>IF(Deckblatt!$B$14=1,'translation List'!AF$1,IF(Deckblatt!$B$14=2,'translation List'!AF$2,IF(Deckblatt!$B$14=3,'translation List'!AF$3,IF(Deckblatt!$B$14=4,'translation List'!AF$4,IF(Deckblatt!$B$14=5,'translation List'!AF$5,IF(Deckblatt!$B$14=6,'translation List'!AF$6,IF(Deckblatt!$B$14=7,'translation List'!AF$7,IF(Deckblatt!$B$14=8,'translation List'!AF$8,IF(Deckblatt!$B$14=9,'translation List'!AF$9,IF(Deckblatt!$B$14=10,'translation List'!AF$10,IF(Deckblatt!$B$14=11,'translation List'!AF$11,IF(Deckblatt!$B$14=12,'translation List'!AF$12))))))))))))</f>
        <v>Test version</v>
      </c>
      <c r="B15" s="160"/>
      <c r="C15" s="160"/>
      <c r="D15" s="160"/>
      <c r="E15" s="161"/>
      <c r="F15" s="8">
        <v>0</v>
      </c>
      <c r="G15" s="74">
        <v>1</v>
      </c>
      <c r="H15" s="74">
        <v>2</v>
      </c>
      <c r="I15" s="74">
        <v>3</v>
      </c>
      <c r="J15" s="74">
        <v>4</v>
      </c>
      <c r="K15" s="74">
        <v>5</v>
      </c>
      <c r="L15" s="74">
        <v>6</v>
      </c>
      <c r="M15" s="74">
        <v>7</v>
      </c>
      <c r="N15" s="74">
        <v>8</v>
      </c>
      <c r="O15" s="75">
        <v>9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</row>
    <row r="16" spans="1:45" ht="18" customHeight="1">
      <c r="A16" s="252" t="str">
        <f>IF(Deckblatt!$B$14=1,'translation List'!AG$1,IF(Deckblatt!$B$14=2,'translation List'!AG$2,IF(Deckblatt!$B$14=3,'translation List'!AG$3,IF(Deckblatt!$B$14=4,'translation List'!AG$4,IF(Deckblatt!$B$14=5,'translation List'!AG$5,IF(Deckblatt!$B$14=6,'translation List'!AG$6,IF(Deckblatt!$B$14=7,'translation List'!AG$7,IF(Deckblatt!$B$14=8,'translation List'!AG$8,IF(Deckblatt!$B$14=9,'translation List'!AG$9,IF(Deckblatt!$B$14=10,'translation List'!AG$10,IF(Deckblatt!$B$14=11,'translation List'!AG$11,IF(Deckblatt!$B$14=12,'translation List'!AG$12))))))))))))</f>
        <v>Running time</v>
      </c>
      <c r="B16" s="197"/>
      <c r="C16" s="197"/>
      <c r="D16" s="198" t="s">
        <v>31</v>
      </c>
      <c r="E16" s="199"/>
      <c r="F16" s="72">
        <v>0</v>
      </c>
      <c r="G16" s="76">
        <v>15</v>
      </c>
      <c r="H16" s="76">
        <v>30</v>
      </c>
      <c r="I16" s="76">
        <v>45</v>
      </c>
      <c r="J16" s="76">
        <v>60</v>
      </c>
      <c r="K16" s="76">
        <v>75</v>
      </c>
      <c r="L16" s="76">
        <v>90</v>
      </c>
      <c r="M16" s="76"/>
      <c r="N16" s="76"/>
      <c r="O16" s="77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45" ht="18" customHeight="1">
      <c r="A17" s="249" t="str">
        <f>IF(Deckblatt!$B$14=1,'translation List'!AI$1,IF(Deckblatt!$B$14=2,'translation List'!AI$2,IF(Deckblatt!$B$14=3,'translation List'!AI$3,IF(Deckblatt!$B$14=4,'translation List'!AI$4,IF(Deckblatt!$B$14=5,'translation List'!AI$5,IF(Deckblatt!$B$14=6,'translation List'!AI$6,IF(Deckblatt!$B$14=7,'translation List'!AI$7,IF(Deckblatt!$B$14=8,'translation List'!AI$8,IF(Deckblatt!$B$14=9,'translation List'!AI$9,IF(Deckblatt!$B$14=10,'translation List'!AI$10,IF(Deckblatt!$B$14=11,'translation List'!AI$11,IF(Deckblatt!$B$14=12,'translation List'!AI$12))))))))))))</f>
        <v>Agitator speed</v>
      </c>
      <c r="B17" s="168"/>
      <c r="C17" s="169"/>
      <c r="D17" s="156" t="s">
        <v>32</v>
      </c>
      <c r="E17" s="157"/>
      <c r="F17" s="218"/>
      <c r="G17" s="78">
        <v>3473</v>
      </c>
      <c r="H17" s="78">
        <v>3473</v>
      </c>
      <c r="I17" s="78">
        <v>3473</v>
      </c>
      <c r="J17" s="78">
        <v>3473</v>
      </c>
      <c r="K17" s="78">
        <v>3473</v>
      </c>
      <c r="L17" s="78">
        <v>3473</v>
      </c>
      <c r="M17" s="78"/>
      <c r="N17" s="78"/>
      <c r="O17" s="79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45" ht="18" customHeight="1">
      <c r="A18" s="249" t="str">
        <f>IF(Deckblatt!$B$14=1,'translation List'!AJ$1,IF(Deckblatt!$B$14=2,'translation List'!AJ$2,IF(Deckblatt!$B$14=3,'translation List'!AJ$3,IF(Deckblatt!$B$14=4,'translation List'!AJ$4,IF(Deckblatt!$B$14=5,'translation List'!AJ$5,IF(Deckblatt!$B$14=6,'translation List'!AJ$6,IF(Deckblatt!$B$14=7,'translation List'!AJ$7,IF(Deckblatt!$B$14=8,'translation List'!AJ$8,IF(Deckblatt!$B$14=9,'translation List'!AJ$9,IF(Deckblatt!$B$14=10,'translation List'!AJ$10,IF(Deckblatt!$B$14=11,'translation List'!AJ$11,IF(Deckblatt!$B$14=12,'translation List'!AJ$12))))))))))))</f>
        <v>Throughput</v>
      </c>
      <c r="B18" s="168"/>
      <c r="C18" s="169"/>
      <c r="D18" s="156" t="s">
        <v>33</v>
      </c>
      <c r="E18" s="157"/>
      <c r="F18" s="219"/>
      <c r="G18" s="78">
        <v>83</v>
      </c>
      <c r="H18" s="78">
        <v>83</v>
      </c>
      <c r="I18" s="78">
        <v>83</v>
      </c>
      <c r="J18" s="78">
        <v>83</v>
      </c>
      <c r="K18" s="78">
        <v>83</v>
      </c>
      <c r="L18" s="78">
        <v>83</v>
      </c>
      <c r="M18" s="78"/>
      <c r="N18" s="78"/>
      <c r="O18" s="79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45" ht="18" customHeight="1">
      <c r="A19" s="249" t="str">
        <f>IF(Deckblatt!$B$14=1,'translation List'!AK$1,IF(Deckblatt!$B$14=2,'translation List'!AK$2,IF(Deckblatt!$B$14=3,'translation List'!AK$3,IF(Deckblatt!$B$14=4,'translation List'!AK$4,IF(Deckblatt!$B$14=5,'translation List'!AK$5,IF(Deckblatt!$B$14=6,'translation List'!AK$6,IF(Deckblatt!$B$14=7,'translation List'!AK$7,IF(Deckblatt!$B$14=8,'translation List'!AK$8,IF(Deckblatt!$B$14=9,'translation List'!AK$9,IF(Deckblatt!$B$14=10,'translation List'!AK$10,IF(Deckblatt!$B$14=11,'translation List'!AK$11,IF(Deckblatt!$B$14=12,'translation List'!AK$12))))))))))))</f>
        <v>Pump speed</v>
      </c>
      <c r="B19" s="168"/>
      <c r="C19" s="169"/>
      <c r="D19" s="156" t="s">
        <v>32</v>
      </c>
      <c r="E19" s="157"/>
      <c r="F19" s="219"/>
      <c r="G19" s="78">
        <v>160</v>
      </c>
      <c r="H19" s="78">
        <v>160</v>
      </c>
      <c r="I19" s="78">
        <v>160</v>
      </c>
      <c r="J19" s="78">
        <v>160</v>
      </c>
      <c r="K19" s="78">
        <v>160</v>
      </c>
      <c r="L19" s="78">
        <v>160</v>
      </c>
      <c r="M19" s="78"/>
      <c r="N19" s="78"/>
      <c r="O19" s="79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</row>
    <row r="20" spans="1:45" ht="18" customHeight="1">
      <c r="A20" s="249" t="str">
        <f>IF(Deckblatt!$B$14=1,'translation List'!AL$1,IF(Deckblatt!$B$14=2,'translation List'!AL$2,IF(Deckblatt!$B$14=3,'translation List'!AL$3,IF(Deckblatt!$B$14=4,'translation List'!AL$4,IF(Deckblatt!$B$14=5,'translation List'!AL$5,IF(Deckblatt!$B$14=6,'translation List'!AL$6,IF(Deckblatt!$B$14=7,'translation List'!AL$7,IF(Deckblatt!$B$14=8,'translation List'!AL$8,IF(Deckblatt!$B$14=9,'translation List'!AL$9,IF(Deckblatt!$B$14=10,'translation List'!AL$10,IF(Deckblatt!$B$14=11,'translation List'!AL$11,IF(Deckblatt!$B$14=12,'translation List'!AL$12))))))))))))</f>
        <v>Pressure</v>
      </c>
      <c r="B20" s="168"/>
      <c r="C20" s="169"/>
      <c r="D20" s="156" t="s">
        <v>34</v>
      </c>
      <c r="E20" s="157"/>
      <c r="F20" s="219"/>
      <c r="G20" s="78">
        <v>0.4</v>
      </c>
      <c r="H20" s="78">
        <v>0.5</v>
      </c>
      <c r="I20" s="78">
        <v>0.5</v>
      </c>
      <c r="J20" s="78">
        <v>0.5</v>
      </c>
      <c r="K20" s="78">
        <v>0.5</v>
      </c>
      <c r="L20" s="78">
        <v>0.5</v>
      </c>
      <c r="M20" s="78"/>
      <c r="N20" s="78"/>
      <c r="O20" s="79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</row>
    <row r="21" spans="1:45" ht="18" customHeight="1">
      <c r="A21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1" s="168"/>
      <c r="C21" s="169"/>
      <c r="D21" s="156" t="s">
        <v>35</v>
      </c>
      <c r="E21" s="157"/>
      <c r="F21" s="219"/>
      <c r="G21" s="78">
        <v>25</v>
      </c>
      <c r="H21" s="78"/>
      <c r="L21" s="78"/>
      <c r="M21" s="78"/>
      <c r="N21" s="78"/>
      <c r="O21" s="79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45" ht="18" customHeight="1">
      <c r="A22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2" s="168"/>
      <c r="C22" s="169"/>
      <c r="D22" s="156" t="s">
        <v>36</v>
      </c>
      <c r="E22" s="157"/>
      <c r="F22" s="219"/>
      <c r="G22" s="87">
        <v>33</v>
      </c>
      <c r="H22" s="87">
        <v>36</v>
      </c>
      <c r="I22" s="78">
        <v>36</v>
      </c>
      <c r="J22" s="78">
        <v>36</v>
      </c>
      <c r="K22" s="78">
        <v>36</v>
      </c>
      <c r="L22" s="78">
        <v>36</v>
      </c>
      <c r="M22" s="78"/>
      <c r="N22" s="78"/>
      <c r="O22" s="7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45" ht="18" customHeight="1">
      <c r="A23" s="249" t="str">
        <f>IF(Deckblatt!$B$14=1,'translation List'!AN$1,IF(Deckblatt!$B$14=2,'translation List'!AN$2,IF(Deckblatt!$B$14=3,'translation List'!AN$3,IF(Deckblatt!$B$14=4,'translation List'!AN$4,IF(Deckblatt!$B$14=5,'translation List'!AN$5,IF(Deckblatt!$B$14=6,'translation List'!AN$6,IF(Deckblatt!$B$14=7,'translation List'!AN$7,IF(Deckblatt!$B$14=8,'translation List'!AN$8,IF(Deckblatt!$B$14=9,'translation List'!AN$9,IF(Deckblatt!$B$14=10,'translation List'!AN$10,IF(Deckblatt!$B$14=11,'translation List'!AN$11,IF(Deckblatt!$B$14=12,'translation List'!AN$12))))))))))))</f>
        <v>Gross power</v>
      </c>
      <c r="B23" s="168"/>
      <c r="C23" s="169"/>
      <c r="D23" s="156" t="s">
        <v>37</v>
      </c>
      <c r="E23" s="157"/>
      <c r="F23" s="219"/>
      <c r="G23" s="78">
        <v>2</v>
      </c>
      <c r="H23" s="78">
        <v>2</v>
      </c>
      <c r="I23" s="78">
        <v>2</v>
      </c>
      <c r="J23" s="78">
        <v>2</v>
      </c>
      <c r="K23" s="78">
        <v>2</v>
      </c>
      <c r="L23" s="78">
        <v>2</v>
      </c>
      <c r="M23" s="78"/>
      <c r="N23" s="78"/>
      <c r="O23" s="7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45" ht="18" customHeight="1">
      <c r="A24" s="249" t="str">
        <f>IF(Deckblatt!$B$14=1,'translation List'!AO$1,IF(Deckblatt!$B$14=2,'translation List'!AO$2,IF(Deckblatt!$B$14=3,'translation List'!AO$3,IF(Deckblatt!$B$14=4,'translation List'!AO$4,IF(Deckblatt!$B$14=5,'translation List'!AO$5,IF(Deckblatt!$B$14=6,'translation List'!AO$6,IF(Deckblatt!$B$14=7,'translation List'!AO$7,IF(Deckblatt!$B$14=8,'translation List'!AO$8,IF(Deckblatt!$B$14=9,'translation List'!AO$9,IF(Deckblatt!$B$14=10,'translation List'!AO$10,IF(Deckblatt!$B$14=11,'translation List'!AO$11,IF(Deckblatt!$B$14=12,'translation List'!AO$12))))))))))))</f>
        <v>Net power input</v>
      </c>
      <c r="B24" s="168"/>
      <c r="C24" s="169"/>
      <c r="D24" s="156" t="s">
        <v>38</v>
      </c>
      <c r="E24" s="157"/>
      <c r="F24" s="220"/>
      <c r="G24" s="106" t="s">
        <v>49</v>
      </c>
      <c r="H24" s="106" t="s">
        <v>49</v>
      </c>
      <c r="I24" s="106" t="s">
        <v>49</v>
      </c>
      <c r="J24" s="106" t="s">
        <v>49</v>
      </c>
      <c r="K24" s="106" t="s">
        <v>49</v>
      </c>
      <c r="L24" s="106" t="s">
        <v>49</v>
      </c>
      <c r="M24" s="78"/>
      <c r="N24" s="78"/>
      <c r="O24" s="79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45" ht="18" customHeight="1">
      <c r="A25" s="249" t="str">
        <f>IF(Deckblatt!$B$14=1,'translation List'!AP$1,IF(Deckblatt!$B$14=2,'translation List'!AP$2,IF(Deckblatt!$B$14=3,'translation List'!AP$3,IF(Deckblatt!$B$14=4,'translation List'!AP$4,IF(Deckblatt!$B$14=5,'translation List'!AP$5,IF(Deckblatt!$B$14=6,'translation List'!AP$6,IF(Deckblatt!$B$14=7,'translation List'!AP$7,IF(Deckblatt!$B$14=8,'translation List'!AP$8,IF(Deckblatt!$B$14=9,'translation List'!AP$9,IF(Deckblatt!$B$14=10,'translation List'!AP$10,IF(Deckblatt!$B$14=11,'translation List'!AP$11,IF(Deckblatt!$B$14=12,'translation List'!AP$12))))))))))))</f>
        <v>Grinding energy input</v>
      </c>
      <c r="B25" s="168"/>
      <c r="C25" s="169"/>
      <c r="D25" s="156" t="s">
        <v>39</v>
      </c>
      <c r="E25" s="157"/>
      <c r="F25" s="73"/>
      <c r="G25" s="78">
        <v>0.3</v>
      </c>
      <c r="H25" s="78">
        <v>0.6</v>
      </c>
      <c r="I25" s="78">
        <v>1</v>
      </c>
      <c r="J25" s="78">
        <v>1.3</v>
      </c>
      <c r="K25" s="78">
        <v>1.7</v>
      </c>
      <c r="L25" s="78">
        <v>2</v>
      </c>
      <c r="M25" s="78"/>
      <c r="N25" s="78"/>
      <c r="O25" s="79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</row>
    <row r="26" spans="1:45" ht="18" customHeight="1">
      <c r="A26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6" s="168"/>
      <c r="C26" s="169"/>
      <c r="D26" s="154" t="s">
        <v>50</v>
      </c>
      <c r="E26" s="155"/>
      <c r="F26" s="28">
        <v>0</v>
      </c>
      <c r="G26" s="80">
        <f t="shared" ref="G26:L26" si="0">IF($C$28="Sample from the circulat. tank",G25/$M$8,IF($C$28="Sample from the outlet",(G25+(($M$8/G18)*G24))/$M$8,""))</f>
        <v>8.8349456941064747E-2</v>
      </c>
      <c r="H26" s="80">
        <f t="shared" si="0"/>
        <v>0.16224108255682826</v>
      </c>
      <c r="I26" s="80">
        <f t="shared" si="0"/>
        <v>0.26076325004451301</v>
      </c>
      <c r="J26" s="80">
        <f t="shared" si="0"/>
        <v>0.33465487566027657</v>
      </c>
      <c r="K26" s="80">
        <f t="shared" si="0"/>
        <v>0.43317704314796124</v>
      </c>
      <c r="L26" s="80">
        <f t="shared" si="0"/>
        <v>0.50706866876372481</v>
      </c>
      <c r="M26" s="80"/>
      <c r="N26" s="80"/>
      <c r="O26" s="80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</row>
    <row r="27" spans="1:45" ht="18" customHeight="1">
      <c r="A27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7" s="168"/>
      <c r="C27" s="169"/>
      <c r="D27" s="154" t="s">
        <v>40</v>
      </c>
      <c r="E27" s="155"/>
      <c r="F27" s="28">
        <v>0</v>
      </c>
      <c r="G27" s="100">
        <f>G26/$M$7%</f>
        <v>0.35869879518072284</v>
      </c>
      <c r="H27" s="100">
        <f t="shared" ref="H27:L27" si="1">H26/$M$7%</f>
        <v>0.65869879518072272</v>
      </c>
      <c r="I27" s="100">
        <f t="shared" si="1"/>
        <v>1.0586987951807227</v>
      </c>
      <c r="J27" s="100">
        <f t="shared" si="1"/>
        <v>1.3586987951807228</v>
      </c>
      <c r="K27" s="100">
        <f t="shared" si="1"/>
        <v>1.7586987951807227</v>
      </c>
      <c r="L27" s="100">
        <f t="shared" si="1"/>
        <v>2.0586987951807227</v>
      </c>
      <c r="M27" s="80"/>
      <c r="N27" s="80"/>
      <c r="O27" s="103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ht="18" customHeight="1">
      <c r="A28" s="253" t="str">
        <f>IF(Deckblatt!$B$14=1,'translation List'!AR$1,IF(Deckblatt!$B$14=2,'translation List'!AR$2,IF(Deckblatt!$B$14=3,'translation List'!AR$3,IF(Deckblatt!$B$14=4,'translation List'!AR$4,IF(Deckblatt!$B$14=5,'translation List'!AR$5,IF(Deckblatt!$B$14=6,'translation List'!AR$6,IF(Deckblatt!$B$14=7,'translation List'!AR$7,IF(Deckblatt!$B$14=8,'translation List'!AR$8,IF(Deckblatt!$B$14=9,'translation List'!AR$9,IF(Deckblatt!$B$14=10,'translation List'!AR$10,IF(Deckblatt!$B$14=11,'translation List'!AR$11,IF(Deckblatt!$B$14=12,'translation List'!AR$12))))))))))))</f>
        <v>Particle size</v>
      </c>
      <c r="B28" s="212" t="s">
        <v>41</v>
      </c>
      <c r="C28" s="213" t="s">
        <v>42</v>
      </c>
      <c r="D28" s="62">
        <f>D12</f>
        <v>50</v>
      </c>
      <c r="E28" s="63" t="s">
        <v>43</v>
      </c>
      <c r="F28" s="105">
        <v>2</v>
      </c>
      <c r="G28" s="105">
        <v>0.46600000000000003</v>
      </c>
      <c r="H28" s="105">
        <v>0.28899999999999998</v>
      </c>
      <c r="I28" s="105">
        <v>0.161</v>
      </c>
      <c r="J28" s="105">
        <v>0.12</v>
      </c>
      <c r="K28" s="105">
        <v>9.9400000000000002E-2</v>
      </c>
      <c r="L28" s="105">
        <v>8.8999999999999996E-2</v>
      </c>
      <c r="M28" s="78"/>
      <c r="N28" s="78"/>
      <c r="O28" s="79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</row>
    <row r="29" spans="1:45" ht="18" customHeight="1">
      <c r="A29" s="254"/>
      <c r="B29" s="212"/>
      <c r="C29" s="214"/>
      <c r="D29" s="62">
        <f>H12</f>
        <v>90</v>
      </c>
      <c r="E29" s="63" t="s">
        <v>43</v>
      </c>
      <c r="F29" s="105">
        <v>4.1100000000000003</v>
      </c>
      <c r="G29" s="105">
        <v>0.81799999999999995</v>
      </c>
      <c r="H29" s="105">
        <v>0.58899999999999997</v>
      </c>
      <c r="I29" s="105">
        <v>0.47499999999999998</v>
      </c>
      <c r="J29" s="105">
        <v>0.36</v>
      </c>
      <c r="K29" s="105">
        <v>0.26300000000000001</v>
      </c>
      <c r="L29" s="105">
        <v>0.161</v>
      </c>
      <c r="M29" s="78"/>
      <c r="N29" s="78"/>
      <c r="O29" s="79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ht="18" customHeight="1">
      <c r="A30" s="255"/>
      <c r="B30" s="212"/>
      <c r="C30" s="215"/>
      <c r="D30" s="64">
        <f>L12</f>
        <v>95</v>
      </c>
      <c r="E30" s="63" t="s">
        <v>43</v>
      </c>
      <c r="F30" s="105">
        <v>4.87</v>
      </c>
      <c r="G30" s="105">
        <v>0.92</v>
      </c>
      <c r="H30" s="105">
        <v>0.67200000000000004</v>
      </c>
      <c r="I30" s="105">
        <v>0.55700000000000005</v>
      </c>
      <c r="J30" s="105">
        <v>0.432</v>
      </c>
      <c r="K30" s="105">
        <v>0.36099999999999999</v>
      </c>
      <c r="L30" s="105">
        <v>0.26700000000000002</v>
      </c>
      <c r="M30" s="78"/>
      <c r="N30" s="78"/>
      <c r="O30" s="7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1" spans="1:45" ht="18" customHeight="1">
      <c r="A31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1" s="168"/>
      <c r="C31" s="169"/>
      <c r="D31" s="210" t="s">
        <v>51</v>
      </c>
      <c r="E31" s="211"/>
      <c r="F31" s="112">
        <v>4.5999999999999996</v>
      </c>
      <c r="G31" s="78">
        <v>4.7</v>
      </c>
      <c r="H31" s="78">
        <v>5.3</v>
      </c>
      <c r="I31" s="78">
        <v>4.9000000000000004</v>
      </c>
      <c r="J31" s="78">
        <v>4.8</v>
      </c>
      <c r="K31" s="113">
        <v>4.9800000000000004</v>
      </c>
      <c r="L31" s="113">
        <v>5.8</v>
      </c>
      <c r="M31" s="78"/>
      <c r="N31" s="78"/>
      <c r="O31" s="7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</row>
    <row r="32" spans="1:45" ht="18" customHeight="1">
      <c r="A32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2" s="168"/>
      <c r="C32" s="169"/>
      <c r="D32" s="210" t="s">
        <v>52</v>
      </c>
      <c r="E32" s="211"/>
      <c r="F32" s="112"/>
      <c r="G32" s="78"/>
      <c r="H32" s="78"/>
      <c r="I32" s="78"/>
      <c r="J32" s="78"/>
      <c r="K32" s="234">
        <v>0.24940000000000001</v>
      </c>
      <c r="L32" s="235"/>
      <c r="M32" s="78"/>
      <c r="N32" s="78"/>
      <c r="O32" s="104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ht="18" customHeight="1">
      <c r="A33" s="256" t="str">
        <f>IF(Deckblatt!$B$14=1,'translation List'!AT$1,IF(Deckblatt!$B$14=2,'translation List'!AT$2,IF(Deckblatt!$B$14=3,'translation List'!AT$3,IF(Deckblatt!$B$14=4,'translation List'!AT$4,IF(Deckblatt!$B$14=5,'translation List'!AT$5,IF(Deckblatt!$B$14=6,'translation List'!AT$6,IF(Deckblatt!$B$14=7,'translation List'!AT$7,IF(Deckblatt!$B$14=8,'translation List'!AT$8,IF(Deckblatt!$B$14=9,'translation List'!AT$9,IF(Deckblatt!$B$14=10,'translation List'!AT$10,IF(Deckblatt!$B$14=11,'translation List'!AT$11,IF(Deckblatt!$B$14=12,'translation List'!AT$12))))))))))))</f>
        <v>Theoretical circles</v>
      </c>
      <c r="B33" s="233"/>
      <c r="C33" s="233"/>
      <c r="D33" s="231" t="s">
        <v>44</v>
      </c>
      <c r="E33" s="232"/>
      <c r="F33" s="101">
        <v>0</v>
      </c>
      <c r="G33" s="102">
        <f t="shared" ref="G33:L33" si="2">((G18/60)/$M8)*(G16-F16)+F33</f>
        <v>5.110837438423645</v>
      </c>
      <c r="H33" s="102">
        <f t="shared" si="2"/>
        <v>10.22167487684729</v>
      </c>
      <c r="I33" s="102">
        <f t="shared" si="2"/>
        <v>15.332512315270936</v>
      </c>
      <c r="J33" s="102">
        <f t="shared" si="2"/>
        <v>20.44334975369458</v>
      </c>
      <c r="K33" s="102">
        <f t="shared" si="2"/>
        <v>25.554187192118224</v>
      </c>
      <c r="L33" s="102">
        <f t="shared" si="2"/>
        <v>30.665024630541868</v>
      </c>
      <c r="M33" s="102"/>
      <c r="N33" s="102"/>
      <c r="O33" s="102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</row>
    <row r="34" spans="1:45" ht="18" customHeight="1">
      <c r="A34" s="257" t="str">
        <f>IF(Deckblatt!$B$14=1,'translation List'!AU$1,IF(Deckblatt!$B$14=2,'translation List'!AU$2,IF(Deckblatt!$B$14=3,'translation List'!AU$3,IF(Deckblatt!$B$14=4,'translation List'!AU$4,IF(Deckblatt!$B$14=5,'translation List'!AU$5,IF(Deckblatt!$B$14=6,'translation List'!AU$6,IF(Deckblatt!$B$14=7,'translation List'!AU$7,IF(Deckblatt!$B$14=8,'translation List'!AU$8,IF(Deckblatt!$B$14=9,'translation List'!AU$9,IF(Deckblatt!$B$14=10,'translation List'!AU$10,IF(Deckblatt!$B$14=11,'translation List'!AU$11,IF(Deckblatt!$B$14=12,'translation List'!AU$12))))))))))))</f>
        <v>Production capacity</v>
      </c>
      <c r="B34" s="258"/>
      <c r="C34" s="259"/>
      <c r="D34" s="172" t="s">
        <v>45</v>
      </c>
      <c r="E34" s="260"/>
      <c r="F34" s="61">
        <v>0</v>
      </c>
      <c r="G34" s="81">
        <f t="shared" ref="G34:L34" si="3">IF($C$28="Sample from the circulat. tank",$M$8*(60/G16),IF($C$28="Sample from the outlet",(1/((1/($M$8*(60/G16)))+(1/G18))),""))</f>
        <v>13.582426440951231</v>
      </c>
      <c r="H34" s="81">
        <f t="shared" si="3"/>
        <v>7.3964003511852505</v>
      </c>
      <c r="I34" s="81">
        <f t="shared" si="3"/>
        <v>5.0818881013421811</v>
      </c>
      <c r="J34" s="81">
        <f t="shared" si="3"/>
        <v>3.8706639099471634</v>
      </c>
      <c r="K34" s="81">
        <f t="shared" si="3"/>
        <v>3.1256840738335967</v>
      </c>
      <c r="L34" s="81">
        <f t="shared" si="3"/>
        <v>2.6211885500933421</v>
      </c>
      <c r="M34" s="81"/>
      <c r="N34" s="81"/>
      <c r="O34" s="81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 ht="18" customHeight="1">
      <c r="A35" s="130"/>
      <c r="B35" s="130"/>
      <c r="C35" s="130"/>
      <c r="D35" s="131"/>
      <c r="E35" s="131"/>
      <c r="F35" s="133">
        <f>F34*$M$7/100</f>
        <v>0</v>
      </c>
      <c r="G35" s="133">
        <f t="shared" ref="G35:L35" si="4">G34*$M$7/100</f>
        <v>3.3454252317613866</v>
      </c>
      <c r="H35" s="133">
        <f t="shared" si="4"/>
        <v>1.8217734855136083</v>
      </c>
      <c r="I35" s="133">
        <f t="shared" si="4"/>
        <v>1.2516965766852663</v>
      </c>
      <c r="J35" s="133">
        <f t="shared" si="4"/>
        <v>0.95336549506087764</v>
      </c>
      <c r="K35" s="133">
        <f t="shared" si="4"/>
        <v>0.76987292458955581</v>
      </c>
      <c r="L35" s="133">
        <f t="shared" si="4"/>
        <v>0.64561294337274433</v>
      </c>
      <c r="M35" s="132"/>
      <c r="N35" s="132"/>
      <c r="O35" s="132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</row>
    <row r="36" spans="1:45" ht="18" customHeight="1">
      <c r="A36" s="230" t="s">
        <v>0</v>
      </c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</row>
    <row r="37" spans="1:45" ht="22.5" customHeight="1">
      <c r="A37" s="261" t="str">
        <f>IF(Deckblatt!$B$14=1,'translation List'!AV$1,IF(Deckblatt!$B$14=2,'translation List'!AV$2,IF(Deckblatt!$B$14=3,'translation List'!AV$3,IF(Deckblatt!$B$14=4,'translation List'!AV$4,IF(Deckblatt!$B$14=5,'translation List'!AV$5,IF(Deckblatt!$B$14=6,'translation List'!AV$6,IF(Deckblatt!$B$14=7,'translation List'!AV$7,IF(Deckblatt!$B$14=8,'translation List'!AV$8,IF(Deckblatt!$B$14=9,'translation List'!AV$9,IF(Deckblatt!$B$14=10,'translation List'!AV$10,IF(Deckblatt!$B$14=11,'translation List'!AV$11,IF(Deckblatt!$B$14=12,'translation List'!AV$12))))))))))))</f>
        <v>Cooling</v>
      </c>
      <c r="B37" s="262"/>
      <c r="C37" s="262"/>
      <c r="D37" s="262"/>
      <c r="E37" s="263"/>
      <c r="F37" s="264" t="str">
        <f>IF(Deckblatt!$B$14=1,'translation List'!BA$1,IF(Deckblatt!$B$14=2,'translation List'!BA$2,IF(Deckblatt!$B$14=3,'translation List'!BA$3,IF(Deckblatt!$B$14=4,'translation List'!BA$4,IF(Deckblatt!$B$14=5,'translation List'!BA$5,IF(Deckblatt!$B$14=6,'translation List'!BA$6,IF(Deckblatt!$B$14=7,'translation List'!BA$7,IF(Deckblatt!$B$14=8,'translation List'!BA$8,IF(Deckblatt!$B$14=9,'translation List'!BA$9,IF(Deckblatt!$B$14=10,'translation List'!BA$10,IF(Deckblatt!$B$14=11,'translation List'!BA$11,IF(Deckblatt!$B$14=12,'translation List'!BA$12))))))))))))</f>
        <v>Grinding chamber</v>
      </c>
      <c r="G37" s="264"/>
      <c r="H37" s="264" t="str">
        <f>IF(Deckblatt!$B$14=1,'translation List'!BB$1,IF(Deckblatt!$B$14=2,'translation List'!BB$2,IF(Deckblatt!$B$14=3,'translation List'!BB$3,IF(Deckblatt!$B$14=4,'translation List'!BB$4,IF(Deckblatt!$B$14=5,'translation List'!BB$5,IF(Deckblatt!$B$14=6,'translation List'!BB$6,IF(Deckblatt!$B$14=7,'translation List'!BB$7,IF(Deckblatt!$B$14=8,'translation List'!BB$8,IF(Deckblatt!$B$14=9,'translation List'!BB$9,IF(Deckblatt!$B$14=10,'translation List'!BB$10,IF(Deckblatt!$B$14=11,'translation List'!BB$11,IF(Deckblatt!$B$14=12,'translation List'!BB$12))))))))))))</f>
        <v>Mechanical seal</v>
      </c>
      <c r="I37" s="264"/>
      <c r="J37" s="264" t="str">
        <f>IF(Deckblatt!$B$14=1,'translation List'!BC$1,IF(Deckblatt!$B$14=2,'translation List'!BC$2,IF(Deckblatt!$B$14=3,'translation List'!BC$3,IF(Deckblatt!$B$14=4,'translation List'!BC$4,IF(Deckblatt!$B$14=5,'translation List'!BC$5,IF(Deckblatt!$B$14=6,'translation List'!BC$6,IF(Deckblatt!$B$14=7,'translation List'!BC$7,IF(Deckblatt!$B$14=8,'translation List'!BC$8,IF(Deckblatt!$B$14=9,'translation List'!BC$9,IF(Deckblatt!$B$14=10,'translation List'!BC$10,IF(Deckblatt!$B$14=11,'translation List'!BC$11,IF(Deckblatt!$B$14=12,'translation List'!BC$12))))))))))))</f>
        <v>Circulation tank</v>
      </c>
      <c r="K37" s="264"/>
      <c r="L37" s="264" t="str">
        <f>IF(Deckblatt!$B$14=1,'translation List'!BD$1,IF(Deckblatt!$B$14=2,'translation List'!BD$2,IF(Deckblatt!$B$14=3,'translation List'!BD$3,IF(Deckblatt!$B$14=4,'translation List'!BD$4,IF(Deckblatt!$B$14=5,'translation List'!BD$5,IF(Deckblatt!$B$14=6,'translation List'!BD$6,IF(Deckblatt!$B$14=7,'translation List'!BD$7,IF(Deckblatt!$B$14=8,'translation List'!BD$8,IF(Deckblatt!$B$14=9,'translation List'!BD$9,IF(Deckblatt!$B$14=10,'translation List'!BD$10,IF(Deckblatt!$B$14=11,'translation List'!BD$11,IF(Deckblatt!$B$14=12,'translation List'!BD$12))))))))))))</f>
        <v>Chiller</v>
      </c>
      <c r="M37" s="264"/>
      <c r="N37" s="264" t="str">
        <f>IF(Deckblatt!$B$14=1,'translation List'!BE$1,IF(Deckblatt!$B$14=2,'translation List'!BE$2,IF(Deckblatt!$B$14=3,'translation List'!BE$3,IF(Deckblatt!$B$14=4,'translation List'!BE$4,IF(Deckblatt!$B$14=5,'translation List'!BE$5,IF(Deckblatt!$B$14=6,'translation List'!BE$6,IF(Deckblatt!$B$14=7,'translation List'!BE$7,IF(Deckblatt!$B$14=8,'translation List'!BE$8,IF(Deckblatt!$B$14=9,'translation List'!BE$9,IF(Deckblatt!$B$14=10,'translation List'!BE$10,IF(Deckblatt!$B$14=11,'translation List'!BE$11,IF(Deckblatt!$B$14=12,'translation List'!BE$12))))))))))))</f>
        <v>Total</v>
      </c>
      <c r="O37" s="26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</row>
    <row r="38" spans="1:45" ht="18" customHeight="1">
      <c r="A38" s="273" t="str">
        <f>IF(Deckblatt!$B$14=1,'translation List'!AW$1,IF(Deckblatt!$B$14=2,'translation List'!AW$2,IF(Deckblatt!$B$14=3,'translation List'!AW$3,IF(Deckblatt!$B$14=4,'translation List'!AW$4,IF(Deckblatt!$B$14=5,'translation List'!AW$5,IF(Deckblatt!$B$14=6,'translation List'!AW$6,IF(Deckblatt!$B$14=7,'translation List'!AW$7,IF(Deckblatt!$B$14=8,'translation List'!AW$8,IF(Deckblatt!$B$14=9,'translation List'!AW$9,IF(Deckblatt!$B$14=10,'translation List'!AW$10,IF(Deckblatt!$B$14=11,'translation List'!AW$11,IF(Deckblatt!$B$14=12,'translation List'!AW$12))))))))))))</f>
        <v>Temperature inlet</v>
      </c>
      <c r="B38" s="274"/>
      <c r="C38" s="275"/>
      <c r="D38" s="276" t="s">
        <v>35</v>
      </c>
      <c r="E38" s="277"/>
      <c r="F38" s="266"/>
      <c r="G38" s="266"/>
      <c r="H38" s="266"/>
      <c r="I38" s="266"/>
      <c r="J38" s="266"/>
      <c r="K38" s="266"/>
      <c r="L38" s="266"/>
      <c r="M38" s="266"/>
      <c r="N38" s="266"/>
      <c r="O38" s="267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8" customHeight="1">
      <c r="A39" s="268" t="str">
        <f>IF(Deckblatt!$B$14=1,'translation List'!AX$1,IF(Deckblatt!$B$14=2,'translation List'!AX$2,IF(Deckblatt!$B$14=3,'translation List'!AX$3,IF(Deckblatt!$B$14=4,'translation List'!AX$4,IF(Deckblatt!$B$14=5,'translation List'!AX$5,IF(Deckblatt!$B$14=6,'translation List'!AX$6,IF(Deckblatt!$B$14=7,'translation List'!AX$7,IF(Deckblatt!$B$14=8,'translation List'!AX$8,IF(Deckblatt!$B$14=9,'translation List'!AX$9,IF(Deckblatt!$B$14=10,'translation List'!AX$10,IF(Deckblatt!$B$14=11,'translation List'!AX$11,IF(Deckblatt!$B$14=12,'translation List'!AX$12))))))))))))</f>
        <v>Temperature outlet</v>
      </c>
      <c r="B39" s="269"/>
      <c r="C39" s="270"/>
      <c r="D39" s="156" t="s">
        <v>36</v>
      </c>
      <c r="E39" s="157"/>
      <c r="F39" s="271"/>
      <c r="G39" s="271"/>
      <c r="H39" s="271"/>
      <c r="I39" s="271"/>
      <c r="J39" s="271"/>
      <c r="K39" s="271"/>
      <c r="L39" s="271"/>
      <c r="M39" s="271"/>
      <c r="N39" s="271"/>
      <c r="O39" s="272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</row>
    <row r="40" spans="1:45" ht="18" customHeight="1">
      <c r="A40" s="278" t="str">
        <f>IF(Deckblatt!$B$14=1,'translation List'!AY$1,IF(Deckblatt!$B$14=2,'translation List'!AY$2,IF(Deckblatt!$B$14=3,'translation List'!AY$3,IF(Deckblatt!$B$14=4,'translation List'!AY$4,IF(Deckblatt!$B$14=5,'translation List'!AY$5,IF(Deckblatt!$B$14=6,'translation List'!AY$6,IF(Deckblatt!$B$14=7,'translation List'!AY$7,IF(Deckblatt!$B$14=8,'translation List'!AY$8,IF(Deckblatt!$B$14=9,'translation List'!AY$9,IF(Deckblatt!$B$14=10,'translation List'!AY$10,IF(Deckblatt!$B$14=11,'translation List'!AY$11,IF(Deckblatt!$B$14=12,'translation List'!AY$12))))))))))))</f>
        <v>Cooling water flow rate</v>
      </c>
      <c r="B40" s="279"/>
      <c r="C40" s="279"/>
      <c r="D40" s="279"/>
      <c r="E40" s="65" t="s">
        <v>53</v>
      </c>
      <c r="F40" s="280"/>
      <c r="G40" s="280"/>
      <c r="H40" s="280"/>
      <c r="I40" s="280"/>
      <c r="J40" s="280"/>
      <c r="K40" s="280"/>
      <c r="L40" s="280"/>
      <c r="M40" s="280"/>
      <c r="N40" s="281"/>
      <c r="O40" s="282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</row>
    <row r="41" spans="1:45" ht="18" customHeight="1">
      <c r="A41" s="229" t="str">
        <f>IF(Deckblatt!$B$14=1,'translation List'!AZ$1,IF(Deckblatt!$B$14=2,'translation List'!AZ$2,IF(Deckblatt!$B$14=3,'translation List'!AZ$3,IF(Deckblatt!$B$14=4,'translation List'!AZ$4,IF(Deckblatt!$B$14=5,'translation List'!AZ$5,IF(Deckblatt!$B$14=6,'translation List'!AZ$6,IF(Deckblatt!$B$14=7,'translation List'!AZ$7,IF(Deckblatt!$B$14=8,'translation List'!AZ$8,IF(Deckblatt!$B$14=9,'translation List'!AZ$9,IF(Deckblatt!$B$14=10,'translation List'!AZ$10,IF(Deckblatt!$B$14=11,'translation List'!AZ$11,IF(Deckblatt!$B$14=12,'translation List'!AZ$12))))))))))))</f>
        <v>Remarks</v>
      </c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</row>
    <row r="42" spans="1:45" ht="18" customHeight="1">
      <c r="A42" s="223" t="s">
        <v>54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7"/>
      <c r="P42" s="8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45" ht="32.25" customHeight="1">
      <c r="A43" s="225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8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</row>
    <row r="44" spans="1:45" ht="18" customHeight="1">
      <c r="C44" s="13"/>
      <c r="E44" s="13"/>
    </row>
    <row r="54" spans="4:13" ht="18" customHeight="1">
      <c r="D54" s="3" t="s">
        <v>0</v>
      </c>
      <c r="I54" s="3" t="s">
        <v>0</v>
      </c>
      <c r="J54" s="3" t="s">
        <v>0</v>
      </c>
      <c r="M54" s="3" t="s">
        <v>0</v>
      </c>
    </row>
  </sheetData>
  <sheetProtection selectLockedCells="1"/>
  <mergeCells count="113">
    <mergeCell ref="A41:O41"/>
    <mergeCell ref="A42:H43"/>
    <mergeCell ref="I42:O43"/>
    <mergeCell ref="A40:D40"/>
    <mergeCell ref="F40:G40"/>
    <mergeCell ref="H40:I40"/>
    <mergeCell ref="J40:K40"/>
    <mergeCell ref="L40:M40"/>
    <mergeCell ref="N40:O40"/>
    <mergeCell ref="N38:O38"/>
    <mergeCell ref="A39:C39"/>
    <mergeCell ref="D39:E39"/>
    <mergeCell ref="F39:G39"/>
    <mergeCell ref="H39:I39"/>
    <mergeCell ref="J39:K39"/>
    <mergeCell ref="L39:M39"/>
    <mergeCell ref="N39:O39"/>
    <mergeCell ref="A38:C38"/>
    <mergeCell ref="D38:E38"/>
    <mergeCell ref="F38:G38"/>
    <mergeCell ref="H38:I38"/>
    <mergeCell ref="J38:K38"/>
    <mergeCell ref="L38:M38"/>
    <mergeCell ref="A34:C34"/>
    <mergeCell ref="D34:E34"/>
    <mergeCell ref="A36:O36"/>
    <mergeCell ref="A37:E37"/>
    <mergeCell ref="F37:G37"/>
    <mergeCell ref="H37:I37"/>
    <mergeCell ref="J37:K37"/>
    <mergeCell ref="L37:M37"/>
    <mergeCell ref="N37:O37"/>
    <mergeCell ref="A28:A30"/>
    <mergeCell ref="B28:B30"/>
    <mergeCell ref="C28:C30"/>
    <mergeCell ref="A31:C31"/>
    <mergeCell ref="D31:E31"/>
    <mergeCell ref="A33:C33"/>
    <mergeCell ref="D33:E33"/>
    <mergeCell ref="A25:C25"/>
    <mergeCell ref="D25:E25"/>
    <mergeCell ref="A26:C26"/>
    <mergeCell ref="D26:E26"/>
    <mergeCell ref="A27:C27"/>
    <mergeCell ref="D27:E27"/>
    <mergeCell ref="A32:C32"/>
    <mergeCell ref="D32:E32"/>
    <mergeCell ref="F17:F24"/>
    <mergeCell ref="A18:C18"/>
    <mergeCell ref="D18:E18"/>
    <mergeCell ref="A19:C19"/>
    <mergeCell ref="D19:E19"/>
    <mergeCell ref="A20:C20"/>
    <mergeCell ref="D20:E20"/>
    <mergeCell ref="A21:C21"/>
    <mergeCell ref="A13:O13"/>
    <mergeCell ref="A14:F14"/>
    <mergeCell ref="G14:O14"/>
    <mergeCell ref="A15:E15"/>
    <mergeCell ref="A16:C16"/>
    <mergeCell ref="D16:E16"/>
    <mergeCell ref="D21:E21"/>
    <mergeCell ref="A22:C22"/>
    <mergeCell ref="D22:E22"/>
    <mergeCell ref="A23:C23"/>
    <mergeCell ref="D23:E23"/>
    <mergeCell ref="A24:C24"/>
    <mergeCell ref="D24:E24"/>
    <mergeCell ref="A17:C17"/>
    <mergeCell ref="D17:E17"/>
    <mergeCell ref="I7:L7"/>
    <mergeCell ref="M7:N7"/>
    <mergeCell ref="A8:C8"/>
    <mergeCell ref="D8:F8"/>
    <mergeCell ref="I8:L8"/>
    <mergeCell ref="M8:N8"/>
    <mergeCell ref="A11:D11"/>
    <mergeCell ref="E11:O11"/>
    <mergeCell ref="A12:C12"/>
    <mergeCell ref="E12:F12"/>
    <mergeCell ref="I12:J12"/>
    <mergeCell ref="M12:N12"/>
    <mergeCell ref="A9:C9"/>
    <mergeCell ref="D9:F9"/>
    <mergeCell ref="I9:L9"/>
    <mergeCell ref="M9:N9"/>
    <mergeCell ref="A10:D10"/>
    <mergeCell ref="E10:K10"/>
    <mergeCell ref="L10:M10"/>
    <mergeCell ref="K32:L32"/>
    <mergeCell ref="A1:D1"/>
    <mergeCell ref="E1:G1"/>
    <mergeCell ref="H1:I1"/>
    <mergeCell ref="K1:L1"/>
    <mergeCell ref="M1:O1"/>
    <mergeCell ref="A2:D2"/>
    <mergeCell ref="E2:O2"/>
    <mergeCell ref="A5:C5"/>
    <mergeCell ref="D5:G5"/>
    <mergeCell ref="J5:K5"/>
    <mergeCell ref="A6:C6"/>
    <mergeCell ref="D6:H6"/>
    <mergeCell ref="I6:L6"/>
    <mergeCell ref="A3:C3"/>
    <mergeCell ref="D3:G3"/>
    <mergeCell ref="H3:J3"/>
    <mergeCell ref="K3:N3"/>
    <mergeCell ref="A4:C4"/>
    <mergeCell ref="I4:K4"/>
    <mergeCell ref="L4:O4"/>
    <mergeCell ref="M6:N6"/>
    <mergeCell ref="A7:C7"/>
    <mergeCell ref="D7:F7"/>
  </mergeCells>
  <phoneticPr fontId="6" type="noConversion"/>
  <dataValidations disablePrompts="1" count="1">
    <dataValidation errorStyle="information" allowBlank="1" showInputMessage="1" showErrorMessage="1" sqref="D18:E18" xr:uid="{00000000-0002-0000-0200-000000000000}"/>
  </dataValidations>
  <pageMargins left="0.70866141732283472" right="0.31496062992125984" top="0.98425196850393704" bottom="0.59055118110236227" header="0.31496062992125984" footer="0.31496062992125984"/>
  <pageSetup paperSize="9" scale="98" pageOrder="overThenDown" orientation="portrait" r:id="rId1"/>
  <headerFooter>
    <oddHeader>&amp;L&amp;G&amp;R&amp;"Arial,Fett"&amp;24&amp;F &amp;A</oddHeader>
    <oddFooter>&amp;LTest report_mill&amp;C &amp;R &amp;F &amp;P/&amp;N</oddFooter>
  </headerFooter>
  <rowBreaks count="1" manualBreakCount="1">
    <brk id="45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200-000001000000}">
          <x14:formula1>
            <xm:f>'translation List'!$B$19:$B$23</xm:f>
          </x14:formula1>
          <xm:sqref>D3:G3</xm:sqref>
        </x14:dataValidation>
        <x14:dataValidation type="list" allowBlank="1" showInputMessage="1" showErrorMessage="1" xr:uid="{00000000-0002-0000-0200-000002000000}">
          <x14:formula1>
            <xm:f>'translation List'!$B$26:$B$31</xm:f>
          </x14:formula1>
          <xm:sqref>K3:N3</xm:sqref>
        </x14:dataValidation>
        <x14:dataValidation type="list" allowBlank="1" showInputMessage="1" showErrorMessage="1" xr:uid="{00000000-0002-0000-0200-000003000000}">
          <x14:formula1>
            <xm:f>'translation List'!$C$19:$C$25</xm:f>
          </x14:formula1>
          <xm:sqref>D5</xm:sqref>
        </x14:dataValidation>
        <x14:dataValidation type="list" allowBlank="1" showInputMessage="1" showErrorMessage="1" xr:uid="{00000000-0002-0000-0200-000004000000}">
          <x14:formula1>
            <xm:f>'translation List'!$D$19:$D$21</xm:f>
          </x14:formula1>
          <xm:sqref>C28:C30</xm:sqref>
        </x14:dataValidation>
        <x14:dataValidation type="list" allowBlank="1" showInputMessage="1" showErrorMessage="1" xr:uid="{00000000-0002-0000-0200-000005000000}">
          <x14:formula1>
            <xm:f>'translation List'!$F$19:$F$22</xm:f>
          </x14:formula1>
          <xm:sqref>B28:B30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55"/>
  <sheetViews>
    <sheetView tabSelected="1" zoomScale="130" zoomScaleNormal="130" zoomScaleSheetLayoutView="110" workbookViewId="0">
      <selection activeCell="L32" sqref="G32:L32"/>
    </sheetView>
  </sheetViews>
  <sheetFormatPr baseColWidth="10" defaultColWidth="11.109375" defaultRowHeight="18" customHeight="1"/>
  <cols>
    <col min="1" max="15" width="6.109375" customWidth="1"/>
    <col min="16" max="16" width="11.109375" customWidth="1"/>
    <col min="17" max="255" width="6.109375" customWidth="1"/>
  </cols>
  <sheetData>
    <row r="1" spans="1:45" ht="18" customHeight="1">
      <c r="A1" s="236" t="str">
        <f>Deckblatt!B6</f>
        <v>Labstar NEOS</v>
      </c>
      <c r="B1" s="237"/>
      <c r="C1" s="237"/>
      <c r="D1" s="238"/>
      <c r="E1" s="239" t="str">
        <f>IF(Deckblatt!$B$14=1,'translation List'!L$1,IF(Deckblatt!$B$14=2,'translation List'!L$2,IF(Deckblatt!$B$14=3,'translation List'!L$3,IF(Deckblatt!$B$14=4,'translation List'!L$4,IF(Deckblatt!$B$14=5,'translation List'!L$5,IF(Deckblatt!$B$14=6,'translation List'!L$6,IF(Deckblatt!$B$14=7,'translation List'!L$7,IF(Deckblatt!$B$14=8,'translation List'!L$8,IF(Deckblatt!$B$14=9,'translation List'!L$9,IF(Deckblatt!$B$14=10,'translation List'!L$10,IF(Deckblatt!$B$14=11,'translation List'!L$11,IF(Deckblatt!$B$14=12,'translation List'!L$12))))))))))))</f>
        <v>Installed power</v>
      </c>
      <c r="F1" s="160"/>
      <c r="G1" s="161"/>
      <c r="H1" s="240">
        <v>3</v>
      </c>
      <c r="I1" s="240"/>
      <c r="J1" s="26" t="s">
        <v>10</v>
      </c>
      <c r="K1" s="239" t="str">
        <f>IF(Deckblatt!$B$14=1,'translation List'!K$1,IF(Deckblatt!$B$14=2,'translation List'!K$2,IF(Deckblatt!$B$14=3,'translation List'!K$3,IF(Deckblatt!$B$14=4,'translation List'!K$4,IF(Deckblatt!$B$14=5,'translation List'!K$5,IF(Deckblatt!$B$14=6,'translation List'!K$6,IF(Deckblatt!$B$14=7,'translation List'!K$7,IF(Deckblatt!$B$14=8,'translation List'!K$8,IF(Deckblatt!$B$14=9,'translation List'!K$9,IF(Deckblatt!$B$14=10,'translation List'!K$10,IF(Deckblatt!$B$14=11,'translation List'!K$11,IF(Deckblatt!$B$14=12,'translation List'!K$12))))))))))))</f>
        <v>Date</v>
      </c>
      <c r="L1" s="161"/>
      <c r="M1" s="241">
        <v>45525</v>
      </c>
      <c r="N1" s="242"/>
      <c r="O1" s="242"/>
      <c r="P1" s="84"/>
      <c r="Q1" s="85"/>
      <c r="R1" s="84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</row>
    <row r="2" spans="1:45" ht="18" customHeight="1">
      <c r="A2" s="243" t="str">
        <f>IF(Deckblatt!$B$14=1,'translation List'!M$1,IF(Deckblatt!$B$14=2,'translation List'!M$2,IF(Deckblatt!$B$14=3,'translation List'!M$3,IF(Deckblatt!$B$14=4,'translation List'!M$4,IF(Deckblatt!$B$14=5,'translation List'!M$5,IF(Deckblatt!$B$14=6,'translation List'!M$6,IF(Deckblatt!$B$14=7,'translation List'!M$7,IF(Deckblatt!$B$14=8,'translation List'!M$8,IF(Deckblatt!$B$14=9,'translation List'!M$9,IF(Deckblatt!$B$14=10,'translation List'!M$10,IF(Deckblatt!$B$14=11,'translation List'!M$11,IF(Deckblatt!$B$14=12,'translation List'!M$12))))))))))))</f>
        <v>Machine equipment</v>
      </c>
      <c r="B2" s="162"/>
      <c r="C2" s="162"/>
      <c r="D2" s="163"/>
      <c r="E2" s="164" t="s">
        <v>11</v>
      </c>
      <c r="F2" s="165"/>
      <c r="G2" s="165"/>
      <c r="H2" s="165"/>
      <c r="I2" s="165"/>
      <c r="J2" s="165"/>
      <c r="K2" s="165"/>
      <c r="L2" s="165"/>
      <c r="M2" s="165"/>
      <c r="N2" s="165"/>
      <c r="O2" s="244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</row>
    <row r="3" spans="1:45" ht="18" customHeight="1">
      <c r="A3" s="180" t="str">
        <f>IF(Deckblatt!$B$14=1,'translation List'!N$1,IF(Deckblatt!$B$14=2,'translation List'!N$2,IF(Deckblatt!$B$14=3,'translation List'!N$3,IF(Deckblatt!$B$14=4,'translation List'!N$4,IF(Deckblatt!$B$14=5,'translation List'!N$5,IF(Deckblatt!$B$14=6,'translation List'!N$6,IF(Deckblatt!$B$14=7,'translation List'!N$7,IF(Deckblatt!$B$14=8,'translation List'!N$8,IF(Deckblatt!$B$14=9,'translation List'!N$9,IF(Deckblatt!$B$14=10,'translation List'!N$10,IF(Deckblatt!$B$14=11,'translation List'!N$11,IF(Deckblatt!$B$14=12,'translation List'!N$12))))))))))))</f>
        <v>Pump</v>
      </c>
      <c r="B3" s="186"/>
      <c r="C3" s="186"/>
      <c r="D3" s="173" t="s">
        <v>12</v>
      </c>
      <c r="E3" s="174"/>
      <c r="F3" s="174"/>
      <c r="G3" s="175"/>
      <c r="H3" s="181" t="str">
        <f>IF(OR(D3="Gearpump",D3="Air Diaphragm Pump",D3="EM diaphragm pump"),"",IF(OR(D3="Hosepump",D3="Nemopump"),IF(Deckblatt!$B$14=1,'translation List'!BI$1,IF(Deckblatt!$B$14=2,'translation List'!BI$2,IF(Deckblatt!$B$14=3,'translation List'!BI$3,IF(Deckblatt!$B$14=4,'translation List'!BI$4,IF(Deckblatt!$B$14=5,'translation List'!BI$5,IF(Deckblatt!$B$14=6,'translation List'!BI$6,IF(Deckblatt!$B$14=7,'translation List'!BI$7,IF(Deckblatt!$B$14=8,'translation List'!BI$8,IF(Deckblatt!$B$14=9,'translation List'!BI$9,IF(Deckblatt!$B$14=10,'translation List'!BI$10,IF(Deckblatt!$B$14=11,'translation List'!BI$11,IF(Deckblatt!$B$14=12,'translation List'!BI$12,""))))))))))))))</f>
        <v>Hose material</v>
      </c>
      <c r="I3" s="182"/>
      <c r="J3" s="182"/>
      <c r="K3" s="187"/>
      <c r="L3" s="187"/>
      <c r="M3" s="187"/>
      <c r="N3" s="187"/>
      <c r="O3" s="6"/>
      <c r="P3" s="84"/>
      <c r="Q3" s="85"/>
      <c r="R3" s="84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</row>
    <row r="4" spans="1:45" ht="18" customHeight="1">
      <c r="A4" s="180" t="str">
        <f>IF(Deckblatt!$B$14=1,'translation List'!R$1,IF(Deckblatt!$B$14=2,'translation List'!R$2,IF(Deckblatt!$B$14=3,'translation List'!R$3,IF(Deckblatt!$B$14=4,'translation List'!R$4,IF(Deckblatt!$B$14=5,'translation List'!R$5,IF(Deckblatt!$B$14=6,'translation List'!R$6,IF(Deckblatt!$B$14=7,'translation List'!R$7,IF(Deckblatt!$B$14=8,'translation List'!R$8,IF(Deckblatt!$B$14=9,'translation List'!R$9,IF(Deckblatt!$B$14=10,'translation List'!R$10,IF(Deckblatt!$B$14=11,'translation List'!R$11,IF(Deckblatt!$B$14=12,'translation List'!R$12))))))))))))</f>
        <v>Separating system</v>
      </c>
      <c r="B4" s="186"/>
      <c r="C4" s="186"/>
      <c r="D4" s="66">
        <v>7.4999999999999997E-2</v>
      </c>
      <c r="E4" s="29" t="s">
        <v>13</v>
      </c>
      <c r="F4" s="30" t="s">
        <v>14</v>
      </c>
      <c r="G4" s="67"/>
      <c r="H4" s="29" t="s">
        <v>13</v>
      </c>
      <c r="I4" s="183" t="str">
        <f>IF(Deckblatt!$B$14=1,'translation List'!O$1,IF(Deckblatt!$B$14=2,'translation List'!O$2,IF(Deckblatt!$B$14=3,'translation List'!O$3,IF(Deckblatt!$B$14=4,'translation List'!O$4,IF(Deckblatt!$B$14=5,'translation List'!O$5,IF(Deckblatt!$B$14=6,'translation List'!O$6,IF(Deckblatt!$B$14=7,'translation List'!O$7,IF(Deckblatt!$B$14=8,'translation List'!O$8,IF(Deckblatt!$B$14=9,'translation List'!O$9,IF(Deckblatt!$B$14=10,'translation List'!O$10,IF(Deckblatt!$B$14=11,'translation List'!O$11,IF(Deckblatt!$B$14=12,'translation List'!O$12))))))))))))</f>
        <v>Sealing liquid</v>
      </c>
      <c r="J4" s="184"/>
      <c r="K4" s="185"/>
      <c r="L4" s="193" t="s">
        <v>15</v>
      </c>
      <c r="M4" s="176"/>
      <c r="N4" s="176"/>
      <c r="O4" s="24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</row>
    <row r="5" spans="1:45" ht="18" customHeight="1">
      <c r="A5" s="209" t="str">
        <f>IF(Deckblatt!$B$14=1,'translation List'!P$1,IF(Deckblatt!$B$14=2,'translation List'!P$2,IF(Deckblatt!$B$14=3,'translation List'!P$3,IF(Deckblatt!$B$14=4,'translation List'!P$4,IF(Deckblatt!$B$14=5,'translation List'!P$5,IF(Deckblatt!$B$14=6,'translation List'!P$6,IF(Deckblatt!$B$14=7,'translation List'!P$7,IF(Deckblatt!$B$14=8,'translation List'!P$8,IF(Deckblatt!$B$14=9,'translation List'!P$9,IF(Deckblatt!$B$14=10,'translation List'!P$10,IF(Deckblatt!$B$14=11,'translation List'!P$11,IF(Deckblatt!$B$14=12,'translation List'!P$12))))))))))))</f>
        <v>Type of grinding beads</v>
      </c>
      <c r="B5" s="216"/>
      <c r="C5" s="216"/>
      <c r="D5" s="217" t="s">
        <v>16</v>
      </c>
      <c r="E5" s="206"/>
      <c r="F5" s="206"/>
      <c r="G5" s="206"/>
      <c r="H5" s="91" t="s">
        <v>17</v>
      </c>
      <c r="I5" s="31" t="s">
        <v>13</v>
      </c>
      <c r="J5" s="188" t="str">
        <f>IF(Deckblatt!$B$14=1,'translation List'!BJ$1,IF(Deckblatt!$B$14=2,'translation List'!BJ$2,IF(Deckblatt!$B$14=3,'translation List'!BJ$3,IF(Deckblatt!$B$14=4,'translation List'!BJ$4,IF(Deckblatt!$B$14=5,'translation List'!BJ$5,IF(Deckblatt!$B$14=6,'translation List'!BJ$6,IF(Deckblatt!$B$14=7,'translation List'!BJ$7,IF(Deckblatt!$B$14=8,'translation List'!#REF!,IF(Deckblatt!$B$14=9,'translation List'!BJ$9,IF(Deckblatt!$B$14=10,'translation List'!BJ$10,IF(Deckblatt!$B$14=11,'translation List'!BJ$11,IF(Deckblatt!$B$14=12,'translation List'!BJ$12))))))))))))</f>
        <v>mass</v>
      </c>
      <c r="K5" s="189"/>
      <c r="L5" s="68"/>
      <c r="M5" s="10" t="s">
        <v>18</v>
      </c>
      <c r="N5" s="92">
        <v>85</v>
      </c>
      <c r="O5" s="9" t="s">
        <v>19</v>
      </c>
      <c r="P5" s="85"/>
      <c r="Q5" s="85"/>
      <c r="R5" s="84" t="s">
        <v>20</v>
      </c>
      <c r="S5" s="84" t="s">
        <v>21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</row>
    <row r="6" spans="1:45" ht="18" customHeight="1">
      <c r="A6" s="177" t="str">
        <f>IF(Deckblatt!$B$14=1,'translation List'!S$1,IF(Deckblatt!$B$14=2,'translation List'!S$2,IF(Deckblatt!$B$14=3,'translation List'!S$3,IF(Deckblatt!$B$14=4,'translation List'!S$4,IF(Deckblatt!$B$14=5,'translation List'!S$5,IF(Deckblatt!$B$14=6,'translation List'!S$6,IF(Deckblatt!$B$14=7,'translation List'!S$7,IF(Deckblatt!$B$14=8,'translation List'!S$8,IF(Deckblatt!$B$14=9,'translation List'!S$9,IF(Deckblatt!$B$14=10,'translation List'!S$10,IF(Deckblatt!$B$14=11,'translation List'!S$11,IF(Deckblatt!$B$14=12,'translation List'!S$12))))))))))))</f>
        <v>Product</v>
      </c>
      <c r="B6" s="177"/>
      <c r="C6" s="178"/>
      <c r="D6" s="194" t="s">
        <v>22</v>
      </c>
      <c r="E6" s="195"/>
      <c r="F6" s="195"/>
      <c r="G6" s="195"/>
      <c r="H6" s="196"/>
      <c r="I6" s="167" t="str">
        <f>IF(Deckblatt!$B$14=1,'translation List'!U$1,IF(Deckblatt!$B$14=2,'translation List'!U$2,IF(Deckblatt!$B$14=3,'translation List'!U$3,IF(Deckblatt!$B$14=4,'translation List'!U$4,IF(Deckblatt!$B$14=5,'translation List'!U$5,IF(Deckblatt!$B$14=6,'translation List'!U$6,IF(Deckblatt!$B$14=7,'translation List'!U$7,IF(Deckblatt!$B$14=8,'translation List'!U$8,IF(Deckblatt!$B$14=9,'translation List'!U$9,IF(Deckblatt!$B$14=10,'translation List'!U$10,IF(Deckblatt!$B$14=11,'translation List'!U$11,IF(Deckblatt!$B$14=12,'translation List'!U$12))))))))))))</f>
        <v>Max. temperature</v>
      </c>
      <c r="J6" s="162"/>
      <c r="K6" s="162"/>
      <c r="L6" s="163"/>
      <c r="M6" s="190">
        <v>100</v>
      </c>
      <c r="N6" s="190"/>
      <c r="O6" s="11" t="s">
        <v>23</v>
      </c>
      <c r="P6" s="86"/>
      <c r="Q6" s="85"/>
      <c r="R6" s="97">
        <v>0.4</v>
      </c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</row>
    <row r="7" spans="1:45" ht="18" customHeight="1">
      <c r="A7" s="179" t="str">
        <f>IF(Deckblatt!$B$14=1,'translation List'!T$1,IF(Deckblatt!$B$14=2,'translation List'!T$2,IF(Deckblatt!$B$14=3,'translation List'!T$3,IF(Deckblatt!$B$14=4,'translation List'!T$4,IF(Deckblatt!$B$14=5,'translation List'!T$5,IF(Deckblatt!$B$14=6,'translation List'!T$6,IF(Deckblatt!$B$14=7,'translation List'!T$7,IF(Deckblatt!$B$14=8,'translation List'!T$8,IF(Deckblatt!$B$14=9,'translation List'!T$9,IF(Deckblatt!$B$14=10,'translation List'!T$10,IF(Deckblatt!$B$14=11,'translation List'!T$11,IF(Deckblatt!$B$14=12,'translation List'!T$12))))))))))))</f>
        <v>Solid</v>
      </c>
      <c r="B7" s="179"/>
      <c r="C7" s="180"/>
      <c r="D7" s="176" t="s">
        <v>20</v>
      </c>
      <c r="E7" s="174"/>
      <c r="F7" s="174"/>
      <c r="G7" s="69">
        <f>R7</f>
        <v>1.2000000000000002</v>
      </c>
      <c r="H7" s="24" t="s">
        <v>18</v>
      </c>
      <c r="I7" s="183" t="str">
        <f>IF(Deckblatt!$B$14=1,'translation List'!V$1,IF(Deckblatt!$B$14=2,'translation List'!V$2,IF(Deckblatt!$B$14=3,'translation List'!V$3,IF(Deckblatt!$B$14=4,'translation List'!V$4,IF(Deckblatt!$B$14=5,'translation List'!V$5,IF(Deckblatt!$B$14=6,'translation List'!V$6,IF(Deckblatt!$B$14=7,'translation List'!V$7,IF(Deckblatt!$B$14=8,'translation List'!V$8,IF(Deckblatt!$B$14=9,'translation List'!V$9,IF(Deckblatt!$B$14=10,'translation List'!V$10,IF(Deckblatt!$B$14=11,'translation List'!V$11,IF(Deckblatt!$B$14=12,'translation List'!V$12))))))))))))</f>
        <v>Solid content</v>
      </c>
      <c r="J7" s="184"/>
      <c r="K7" s="184"/>
      <c r="L7" s="185"/>
      <c r="M7" s="191">
        <f>(G7/M8)*100</f>
        <v>29.850746268656724</v>
      </c>
      <c r="N7" s="192"/>
      <c r="O7" s="6" t="s">
        <v>19</v>
      </c>
      <c r="P7" s="84" t="s">
        <v>46</v>
      </c>
      <c r="Q7" s="98">
        <v>3</v>
      </c>
      <c r="R7" s="85">
        <f>Q7*R6</f>
        <v>1.2000000000000002</v>
      </c>
      <c r="S7" s="85">
        <f>Q7-R7</f>
        <v>1.7999999999999998</v>
      </c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</row>
    <row r="8" spans="1:45" ht="18" customHeight="1">
      <c r="A8" s="179" t="str">
        <f>IF(Deckblatt!$B$14=1,'translation List'!Y$1,IF(Deckblatt!$B$14=2,'translation List'!Y$2,IF(Deckblatt!$B$14=3,'translation List'!Y$3,IF(Deckblatt!$B$14=4,'translation List'!Y$4,IF(Deckblatt!$B$14=5,'translation List'!Y$5,IF(Deckblatt!$B$14=6,'translation List'!Y$6,IF(Deckblatt!$B$14=7,'translation List'!Y$7,IF(Deckblatt!$B$14=8,'translation List'!Y$8,IF(Deckblatt!$B$14=9,'translation List'!Y$9,IF(Deckblatt!$B$14=10,'translation List'!Y$10,IF(Deckblatt!$B$14=11,'translation List'!Y$11,IF(Deckblatt!$B$14=12,'translation List'!Y$12))))))))))))</f>
        <v>Dispersant</v>
      </c>
      <c r="B8" s="179"/>
      <c r="C8" s="180"/>
      <c r="D8" s="174" t="s">
        <v>24</v>
      </c>
      <c r="E8" s="174"/>
      <c r="F8" s="174"/>
      <c r="G8" s="67">
        <v>0.02</v>
      </c>
      <c r="H8" s="24" t="s">
        <v>18</v>
      </c>
      <c r="I8" s="183" t="str">
        <f>IF(Deckblatt!$B$14=1,'translation List'!W$1,IF(Deckblatt!$B$14=2,'translation List'!W$2,IF(Deckblatt!$B$14=3,'translation List'!W$3,IF(Deckblatt!$B$14=4,'translation List'!W$4,IF(Deckblatt!$B$14=5,'translation List'!W$5,IF(Deckblatt!$B$14=6,'translation List'!W$6,IF(Deckblatt!$B$14=7,'translation List'!W$7,IF(Deckblatt!$B$14=8,'translation List'!W$8,IF(Deckblatt!$B$14=9,'translation List'!W$9,IF(Deckblatt!$B$14=10,'translation List'!W$10,IF(Deckblatt!$B$14=11,'translation List'!W$11,IF(Deckblatt!$B$14=12,'translation List'!W$12))))))))))))</f>
        <v>Total mass</v>
      </c>
      <c r="J8" s="184"/>
      <c r="K8" s="184"/>
      <c r="L8" s="185"/>
      <c r="M8" s="204">
        <f>SUM(G7:G9)</f>
        <v>4.0199999999999996</v>
      </c>
      <c r="N8" s="205"/>
      <c r="O8" s="6" t="s">
        <v>18</v>
      </c>
      <c r="P8" s="84" t="s">
        <v>47</v>
      </c>
      <c r="Q8" s="85">
        <v>1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45" ht="18" customHeight="1">
      <c r="A9" s="208" t="str">
        <f>IF(Deckblatt!$B$14=1,'translation List'!Z$1,IF(Deckblatt!$B$14=2,'translation List'!Z$2,IF(Deckblatt!$B$14=3,'translation List'!Z$3,IF(Deckblatt!$B$14=4,'translation List'!Z$4,IF(Deckblatt!$B$14=5,'translation List'!Z$5,IF(Deckblatt!$B$14=6,'translation List'!Z$6,IF(Deckblatt!$B$14=7,'translation List'!Z$7,IF(Deckblatt!$B$14=8,'translation List'!Z$8,IF(Deckblatt!$B$14=9,'translation List'!Z$9,IF(Deckblatt!$B$14=10,'translation List'!Z$10,IF(Deckblatt!$B$14=11,'translation List'!Z$11,IF(Deckblatt!$B$14=12,'translation List'!Z$12))))))))))))</f>
        <v>Solvent</v>
      </c>
      <c r="B9" s="208"/>
      <c r="C9" s="209"/>
      <c r="D9" s="206" t="s">
        <v>25</v>
      </c>
      <c r="E9" s="206"/>
      <c r="F9" s="206"/>
      <c r="G9" s="70">
        <f>Q8+S7</f>
        <v>2.8</v>
      </c>
      <c r="H9" s="7" t="s">
        <v>18</v>
      </c>
      <c r="I9" s="201" t="str">
        <f>IF(Deckblatt!$B$14=1,'translation List'!X$1,IF(Deckblatt!$B$14=2,'translation List'!X$2,IF(Deckblatt!$B$14=3,'translation List'!X$3,IF(Deckblatt!$B$14=4,'translation List'!X$4,IF(Deckblatt!$B$14=5,'translation List'!X$5,IF(Deckblatt!$B$14=6,'translation List'!X$6,IF(Deckblatt!$B$14=7,'translation List'!X$7,IF(Deckblatt!$B$14=8,'translation List'!X$8,IF(Deckblatt!$B$14=9,'translation List'!X$9,IF(Deckblatt!$B$14=10,'translation List'!X$10,IF(Deckblatt!$B$14=11,'translation List'!X$11,IF(Deckblatt!$B$14=12,'translation List'!X$12))))))))))))</f>
        <v>Density</v>
      </c>
      <c r="J9" s="202"/>
      <c r="K9" s="202"/>
      <c r="L9" s="203"/>
      <c r="M9" s="200"/>
      <c r="N9" s="200"/>
      <c r="O9" s="9" t="s">
        <v>26</v>
      </c>
      <c r="P9" s="128">
        <f>G8/M8%</f>
        <v>0.4975124378109454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45" ht="18" customHeight="1">
      <c r="A10" s="243" t="str">
        <f>IF(Deckblatt!$B$14=1,'translation List'!AA$1,IF(Deckblatt!$B$14=2,'translation List'!AA$2,IF(Deckblatt!$B$14=3,'translation List'!AA$3,IF(Deckblatt!$B$14=4,'translation List'!AA$4,IF(Deckblatt!$B$14=5,'translation List'!AA$5,IF(Deckblatt!$B$14=6,'translation List'!AA$6,IF(Deckblatt!$B$14=7,'translation List'!AA$7,IF(Deckblatt!$B$14=8,'translation List'!AA$8,IF(Deckblatt!$B$14=9,'translation List'!AA$9,IF(Deckblatt!$B$14=10,'translation List'!AA$10,IF(Deckblatt!$B$14=11,'translation List'!AA$11,IF(Deckblatt!$B$14=12,'translation List'!AA$12))))))))))))</f>
        <v>Material preparation</v>
      </c>
      <c r="B10" s="162"/>
      <c r="C10" s="162"/>
      <c r="D10" s="163"/>
      <c r="E10" s="164" t="s">
        <v>48</v>
      </c>
      <c r="F10" s="165"/>
      <c r="G10" s="165"/>
      <c r="H10" s="165"/>
      <c r="I10" s="165"/>
      <c r="J10" s="165"/>
      <c r="K10" s="166"/>
      <c r="L10" s="167" t="str">
        <f>IF(Deckblatt!$B$14=1,'translation List'!AB$1,IF(Deckblatt!$B$14=2,'translation List'!AB$2,IF(Deckblatt!$B$14=3,'translation List'!AB$3,IF(Deckblatt!$B$14=4,'translation List'!AB$4,IF(Deckblatt!$B$14=5,'translation List'!AB$5,IF(Deckblatt!$B$14=6,'translation List'!AB$6,IF(Deckblatt!$B$14=7,'translation List'!AB$7,IF(Deckblatt!$B$14=8,'translation List'!AB$8,IF(Deckblatt!$B$14=9,'translation List'!AB$9,IF(Deckblatt!$B$14=10,'translation List'!AB$10,IF(Deckblatt!$B$14=11,'translation List'!AB$11,IF(Deckblatt!$B$14=12,'translation List'!AB$12))))))))))))</f>
        <v>Duration</v>
      </c>
      <c r="M10" s="163"/>
      <c r="N10" s="71">
        <v>60</v>
      </c>
      <c r="O10" s="25" t="s">
        <v>28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ht="18" customHeight="1">
      <c r="A11" s="246" t="str">
        <f>IF(Deckblatt!$B$14=1,'translation List'!BK$1,IF(Deckblatt!$B$14=2,'translation List'!BK$2,IF(Deckblatt!$B$14=3,'translation List'!BK$3,IF(Deckblatt!$B$14=4,'translation List'!BK$4,IF(Deckblatt!$B$14=5,'translation List'!BK$5,IF(Deckblatt!$B$14=6,'translation List'!BK$6,IF(Deckblatt!$B$14=7,'translation List'!BK$7,IF(Deckblatt!$B$14=8,'translation List'!BJ$8,IF(Deckblatt!$B$14=9,'translation List'!BK$9,IF(Deckblatt!$B$14=10,'translation List'!BK$10,IF(Deckblatt!$B$14=11,'translation List'!BK$11,IF(Deckblatt!$B$14=12,'translation List'!BK$12))))))))))))</f>
        <v>quality requirements</v>
      </c>
      <c r="B11" s="221"/>
      <c r="C11" s="221"/>
      <c r="D11" s="222"/>
      <c r="E11" s="173" t="s">
        <v>29</v>
      </c>
      <c r="F11" s="174"/>
      <c r="G11" s="174"/>
      <c r="H11" s="174"/>
      <c r="I11" s="174"/>
      <c r="J11" s="174"/>
      <c r="K11" s="174"/>
      <c r="L11" s="174"/>
      <c r="M11" s="174"/>
      <c r="N11" s="174"/>
      <c r="O11" s="247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ht="18" customHeight="1">
      <c r="A12" s="248" t="str">
        <f>IF(Deckblatt!$B$14=1,'translation List'!AD$1,IF(Deckblatt!$B$14=2,'translation List'!AD$2,IF(Deckblatt!$B$14=3,'translation List'!AD$3,IF(Deckblatt!$B$14=4,'translation List'!AD$4,IF(Deckblatt!$B$14=5,'translation List'!AD$5,IF(Deckblatt!$B$14=6,'translation List'!AD$6,IF(Deckblatt!$B$14=7,'translation List'!AD$7,IF(Deckblatt!$B$14=8,'translation List'!AD$8,IF(Deckblatt!$B$14=9,'translation List'!AD$9,IF(Deckblatt!$B$14=10,'translation List'!AD$10,IF(Deckblatt!$B$14=11,'translation List'!AD$11,IF(Deckblatt!$B$14=12,'translation List'!AD$12))))))))))))</f>
        <v>Target fineness</v>
      </c>
      <c r="B12" s="171"/>
      <c r="C12" s="172"/>
      <c r="D12" s="82">
        <v>50</v>
      </c>
      <c r="E12" s="170">
        <v>0.1</v>
      </c>
      <c r="F12" s="170"/>
      <c r="G12" s="32" t="s">
        <v>30</v>
      </c>
      <c r="H12" s="82">
        <v>90</v>
      </c>
      <c r="I12" s="200">
        <v>0.15</v>
      </c>
      <c r="J12" s="200"/>
      <c r="K12" s="12" t="s">
        <v>30</v>
      </c>
      <c r="L12" s="83">
        <v>95</v>
      </c>
      <c r="M12" s="200"/>
      <c r="N12" s="200"/>
      <c r="O12" s="9" t="s">
        <v>30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5" ht="18" customHeight="1">
      <c r="A13" s="250">
        <f>MAX(G27:O27)</f>
        <v>0.53051616915422883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18" customHeight="1">
      <c r="A14" s="239" t="str">
        <f>IF(Deckblatt!$B$14=1,'translation List'!AE$1,IF(Deckblatt!$B$14=2,'translation List'!AE$2,IF(Deckblatt!$B$14=3,'translation List'!AE$3,IF(Deckblatt!$B$14=4,'translation List'!AE$4,IF(Deckblatt!$B$14=5,'translation List'!AE$5,IF(Deckblatt!$B$14=6,'translation List'!AE$6,IF(Deckblatt!$B$14=7,'translation List'!AE$7,IF(Deckblatt!$B$14=8,'translation List'!AE$8,IF(Deckblatt!$B$14=9,'translation List'!AE$9,IF(Deckblatt!$B$14=10,'translation List'!AE$10,IF(Deckblatt!$B$14=11,'translation List'!AE$11,IF(Deckblatt!$B$14=12,'translation List'!AE$12))))))))))))</f>
        <v>Operation mode</v>
      </c>
      <c r="B14" s="160"/>
      <c r="C14" s="160"/>
      <c r="D14" s="160"/>
      <c r="E14" s="160"/>
      <c r="F14" s="161"/>
      <c r="G14" s="158" t="str">
        <f>IF(Deckblatt!$B$14=1,'translation List'!BG$1,IF(Deckblatt!$B$14=2,'translation List'!BG$2,IF(Deckblatt!$B$14=3,'translation List'!BG$3,IF(Deckblatt!$B$14=4,'translation List'!BG$4,IF(Deckblatt!$B$14=5,'translation List'!BG$5,IF(Deckblatt!$B$14=6,'translation List'!BG$6,IF(Deckblatt!$B$14=7,'translation List'!BG$7,IF(Deckblatt!$B$14=8,'translation List'!BG$8,IF(Deckblatt!$B$14=9,'translation List'!BG$9,IF(Deckblatt!$B$14=10,'translation List'!BG$10,IF(Deckblatt!$B$14=11,'translation List'!BG$11,IF(Deckblatt!$B$14=12,'translation List'!BG$12))))))))))))</f>
        <v>Circulation</v>
      </c>
      <c r="H14" s="159"/>
      <c r="I14" s="159"/>
      <c r="J14" s="159"/>
      <c r="K14" s="159"/>
      <c r="L14" s="159"/>
      <c r="M14" s="159"/>
      <c r="N14" s="159"/>
      <c r="O14" s="251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18" customHeight="1">
      <c r="A15" s="239" t="str">
        <f>IF(Deckblatt!$B$14=1,'translation List'!AF$1,IF(Deckblatt!$B$14=2,'translation List'!AF$2,IF(Deckblatt!$B$14=3,'translation List'!AF$3,IF(Deckblatt!$B$14=4,'translation List'!AF$4,IF(Deckblatt!$B$14=5,'translation List'!AF$5,IF(Deckblatt!$B$14=6,'translation List'!AF$6,IF(Deckblatt!$B$14=7,'translation List'!AF$7,IF(Deckblatt!$B$14=8,'translation List'!AF$8,IF(Deckblatt!$B$14=9,'translation List'!AF$9,IF(Deckblatt!$B$14=10,'translation List'!AF$10,IF(Deckblatt!$B$14=11,'translation List'!AF$11,IF(Deckblatt!$B$14=12,'translation List'!AF$12))))))))))))</f>
        <v>Test version</v>
      </c>
      <c r="B15" s="160"/>
      <c r="C15" s="160"/>
      <c r="D15" s="160"/>
      <c r="E15" s="161"/>
      <c r="F15" s="8">
        <v>0</v>
      </c>
      <c r="G15" s="74">
        <v>1</v>
      </c>
      <c r="H15" s="74">
        <v>2</v>
      </c>
      <c r="I15" s="74">
        <v>3</v>
      </c>
      <c r="J15" s="74">
        <v>4</v>
      </c>
      <c r="K15" s="74">
        <v>5</v>
      </c>
      <c r="L15" s="74">
        <v>6</v>
      </c>
      <c r="M15" s="74">
        <v>7</v>
      </c>
      <c r="N15" s="74">
        <v>8</v>
      </c>
      <c r="O15" s="75">
        <v>9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</row>
    <row r="16" spans="1:45" ht="18" customHeight="1">
      <c r="A16" s="252" t="str">
        <f>IF(Deckblatt!$B$14=1,'translation List'!AG$1,IF(Deckblatt!$B$14=2,'translation List'!AG$2,IF(Deckblatt!$B$14=3,'translation List'!AG$3,IF(Deckblatt!$B$14=4,'translation List'!AG$4,IF(Deckblatt!$B$14=5,'translation List'!AG$5,IF(Deckblatt!$B$14=6,'translation List'!AG$6,IF(Deckblatt!$B$14=7,'translation List'!AG$7,IF(Deckblatt!$B$14=8,'translation List'!AG$8,IF(Deckblatt!$B$14=9,'translation List'!AG$9,IF(Deckblatt!$B$14=10,'translation List'!AG$10,IF(Deckblatt!$B$14=11,'translation List'!AG$11,IF(Deckblatt!$B$14=12,'translation List'!AG$12))))))))))))</f>
        <v>Running time</v>
      </c>
      <c r="B16" s="197"/>
      <c r="C16" s="197"/>
      <c r="D16" s="198" t="s">
        <v>31</v>
      </c>
      <c r="E16" s="199"/>
      <c r="F16" s="72">
        <v>0</v>
      </c>
      <c r="G16" s="76">
        <v>15</v>
      </c>
      <c r="H16" s="76">
        <v>30</v>
      </c>
      <c r="I16" s="76">
        <v>45</v>
      </c>
      <c r="J16" s="76">
        <v>60</v>
      </c>
      <c r="K16" s="76">
        <v>75</v>
      </c>
      <c r="L16" s="76">
        <v>90</v>
      </c>
      <c r="M16" s="76"/>
      <c r="N16" s="76"/>
      <c r="O16" s="77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45" ht="18" customHeight="1">
      <c r="A17" s="249" t="str">
        <f>IF(Deckblatt!$B$14=1,'translation List'!AI$1,IF(Deckblatt!$B$14=2,'translation List'!AI$2,IF(Deckblatt!$B$14=3,'translation List'!AI$3,IF(Deckblatt!$B$14=4,'translation List'!AI$4,IF(Deckblatt!$B$14=5,'translation List'!AI$5,IF(Deckblatt!$B$14=6,'translation List'!AI$6,IF(Deckblatt!$B$14=7,'translation List'!AI$7,IF(Deckblatt!$B$14=8,'translation List'!AI$8,IF(Deckblatt!$B$14=9,'translation List'!AI$9,IF(Deckblatt!$B$14=10,'translation List'!AI$10,IF(Deckblatt!$B$14=11,'translation List'!AI$11,IF(Deckblatt!$B$14=12,'translation List'!AI$12))))))))))))</f>
        <v>Agitator speed</v>
      </c>
      <c r="B17" s="168"/>
      <c r="C17" s="169"/>
      <c r="D17" s="156" t="s">
        <v>32</v>
      </c>
      <c r="E17" s="157"/>
      <c r="F17" s="218"/>
      <c r="G17" s="78">
        <v>3473</v>
      </c>
      <c r="H17" s="78">
        <v>3473</v>
      </c>
      <c r="I17" s="78">
        <v>3473</v>
      </c>
      <c r="J17" s="78">
        <v>3473</v>
      </c>
      <c r="K17" s="78">
        <v>3473</v>
      </c>
      <c r="L17" s="78">
        <v>3473</v>
      </c>
      <c r="M17" s="78"/>
      <c r="N17" s="78"/>
      <c r="O17" s="79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45" ht="18" customHeight="1">
      <c r="A18" s="126" t="s">
        <v>55</v>
      </c>
      <c r="B18" s="124"/>
      <c r="C18" s="125"/>
      <c r="D18" s="283" t="s">
        <v>56</v>
      </c>
      <c r="E18" s="156"/>
      <c r="F18" s="219"/>
      <c r="G18" s="129">
        <f>G17/60*PI()*0.078</f>
        <v>14.183976671692557</v>
      </c>
      <c r="H18" s="129">
        <f t="shared" ref="H18:L18" si="0">H17/60*PI()*0.078</f>
        <v>14.183976671692557</v>
      </c>
      <c r="I18" s="129">
        <f t="shared" si="0"/>
        <v>14.183976671692557</v>
      </c>
      <c r="J18" s="129">
        <f t="shared" si="0"/>
        <v>14.183976671692557</v>
      </c>
      <c r="K18" s="129">
        <f t="shared" si="0"/>
        <v>14.183976671692557</v>
      </c>
      <c r="L18" s="129">
        <f t="shared" si="0"/>
        <v>14.183976671692557</v>
      </c>
      <c r="M18" s="78"/>
      <c r="N18" s="78"/>
      <c r="O18" s="79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45" ht="18" customHeight="1">
      <c r="A19" s="249" t="str">
        <f>IF(Deckblatt!$B$14=1,'translation List'!AJ$1,IF(Deckblatt!$B$14=2,'translation List'!AJ$2,IF(Deckblatt!$B$14=3,'translation List'!AJ$3,IF(Deckblatt!$B$14=4,'translation List'!AJ$4,IF(Deckblatt!$B$14=5,'translation List'!AJ$5,IF(Deckblatt!$B$14=6,'translation List'!AJ$6,IF(Deckblatt!$B$14=7,'translation List'!AJ$7,IF(Deckblatt!$B$14=8,'translation List'!AJ$8,IF(Deckblatt!$B$14=9,'translation List'!AJ$9,IF(Deckblatt!$B$14=10,'translation List'!AJ$10,IF(Deckblatt!$B$14=11,'translation List'!AJ$11,IF(Deckblatt!$B$14=12,'translation List'!AJ$12))))))))))))</f>
        <v>Throughput</v>
      </c>
      <c r="B19" s="168"/>
      <c r="C19" s="169"/>
      <c r="D19" s="156" t="s">
        <v>33</v>
      </c>
      <c r="E19" s="157"/>
      <c r="F19" s="219"/>
      <c r="G19" s="78">
        <v>24</v>
      </c>
      <c r="H19" s="78">
        <v>24</v>
      </c>
      <c r="I19" s="78">
        <v>24</v>
      </c>
      <c r="J19" s="78">
        <v>24</v>
      </c>
      <c r="K19" s="78">
        <v>24</v>
      </c>
      <c r="L19" s="78">
        <v>24</v>
      </c>
      <c r="M19" s="78"/>
      <c r="N19" s="78"/>
      <c r="O19" s="79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</row>
    <row r="20" spans="1:45" ht="18" customHeight="1">
      <c r="A20" s="249" t="str">
        <f>IF(Deckblatt!$B$14=1,'translation List'!AK$1,IF(Deckblatt!$B$14=2,'translation List'!AK$2,IF(Deckblatt!$B$14=3,'translation List'!AK$3,IF(Deckblatt!$B$14=4,'translation List'!AK$4,IF(Deckblatt!$B$14=5,'translation List'!AK$5,IF(Deckblatt!$B$14=6,'translation List'!AK$6,IF(Deckblatt!$B$14=7,'translation List'!AK$7,IF(Deckblatt!$B$14=8,'translation List'!AK$8,IF(Deckblatt!$B$14=9,'translation List'!AK$9,IF(Deckblatt!$B$14=10,'translation List'!AK$10,IF(Deckblatt!$B$14=11,'translation List'!AK$11,IF(Deckblatt!$B$14=12,'translation List'!AK$12))))))))))))</f>
        <v>Pump speed</v>
      </c>
      <c r="B20" s="168"/>
      <c r="C20" s="169"/>
      <c r="D20" s="156" t="s">
        <v>32</v>
      </c>
      <c r="E20" s="157"/>
      <c r="F20" s="219"/>
      <c r="G20" s="78">
        <v>160</v>
      </c>
      <c r="H20" s="78">
        <v>160</v>
      </c>
      <c r="I20" s="78">
        <v>160</v>
      </c>
      <c r="J20" s="78">
        <v>160</v>
      </c>
      <c r="K20" s="78">
        <v>160</v>
      </c>
      <c r="L20" s="78">
        <v>160</v>
      </c>
      <c r="M20" s="78"/>
      <c r="N20" s="78"/>
      <c r="O20" s="79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</row>
    <row r="21" spans="1:45" ht="18" customHeight="1">
      <c r="A21" s="249" t="str">
        <f>IF(Deckblatt!$B$14=1,'translation List'!AL$1,IF(Deckblatt!$B$14=2,'translation List'!AL$2,IF(Deckblatt!$B$14=3,'translation List'!AL$3,IF(Deckblatt!$B$14=4,'translation List'!AL$4,IF(Deckblatt!$B$14=5,'translation List'!AL$5,IF(Deckblatt!$B$14=6,'translation List'!AL$6,IF(Deckblatt!$B$14=7,'translation List'!AL$7,IF(Deckblatt!$B$14=8,'translation List'!AL$8,IF(Deckblatt!$B$14=9,'translation List'!AL$9,IF(Deckblatt!$B$14=10,'translation List'!AL$10,IF(Deckblatt!$B$14=11,'translation List'!AL$11,IF(Deckblatt!$B$14=12,'translation List'!AL$12))))))))))))</f>
        <v>Pressure</v>
      </c>
      <c r="B21" s="168"/>
      <c r="C21" s="169"/>
      <c r="D21" s="156" t="s">
        <v>34</v>
      </c>
      <c r="E21" s="157"/>
      <c r="F21" s="219"/>
      <c r="G21" s="78">
        <v>0.5</v>
      </c>
      <c r="H21" s="78">
        <v>0.5</v>
      </c>
      <c r="I21" s="78">
        <v>0.5</v>
      </c>
      <c r="J21" s="78">
        <v>0.5</v>
      </c>
      <c r="K21" s="78">
        <v>0.5</v>
      </c>
      <c r="L21" s="78">
        <v>0.5</v>
      </c>
      <c r="M21" s="78"/>
      <c r="N21" s="78"/>
      <c r="O21" s="79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45" ht="18" customHeight="1">
      <c r="A22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2" s="168"/>
      <c r="C22" s="169"/>
      <c r="D22" s="156" t="s">
        <v>35</v>
      </c>
      <c r="E22" s="157"/>
      <c r="F22" s="219"/>
      <c r="G22" s="78">
        <v>25</v>
      </c>
      <c r="H22" s="78"/>
      <c r="L22" s="78"/>
      <c r="M22" s="78"/>
      <c r="N22" s="78"/>
      <c r="O22" s="7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45" ht="18" customHeight="1">
      <c r="A23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3" s="168"/>
      <c r="C23" s="169"/>
      <c r="D23" s="156" t="s">
        <v>36</v>
      </c>
      <c r="E23" s="157"/>
      <c r="F23" s="219"/>
      <c r="G23" s="87">
        <v>37</v>
      </c>
      <c r="H23" s="87">
        <v>37.4</v>
      </c>
      <c r="I23" s="78">
        <v>34.9</v>
      </c>
      <c r="J23" s="78">
        <v>34.1</v>
      </c>
      <c r="K23" s="78">
        <v>33.799999999999997</v>
      </c>
      <c r="L23" s="78">
        <v>33.200000000000003</v>
      </c>
      <c r="M23" s="78"/>
      <c r="N23" s="78"/>
      <c r="O23" s="7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45" ht="18" customHeight="1">
      <c r="A24" s="249" t="str">
        <f>IF(Deckblatt!$B$14=1,'translation List'!AN$1,IF(Deckblatt!$B$14=2,'translation List'!AN$2,IF(Deckblatt!$B$14=3,'translation List'!AN$3,IF(Deckblatt!$B$14=4,'translation List'!AN$4,IF(Deckblatt!$B$14=5,'translation List'!AN$5,IF(Deckblatt!$B$14=6,'translation List'!AN$6,IF(Deckblatt!$B$14=7,'translation List'!AN$7,IF(Deckblatt!$B$14=8,'translation List'!AN$8,IF(Deckblatt!$B$14=9,'translation List'!AN$9,IF(Deckblatt!$B$14=10,'translation List'!AN$10,IF(Deckblatt!$B$14=11,'translation List'!AN$11,IF(Deckblatt!$B$14=12,'translation List'!AN$12))))))))))))</f>
        <v>Gross power</v>
      </c>
      <c r="B24" s="168"/>
      <c r="C24" s="169"/>
      <c r="D24" s="156" t="s">
        <v>37</v>
      </c>
      <c r="E24" s="157"/>
      <c r="F24" s="219"/>
      <c r="G24" s="78">
        <v>2.2400000000000002</v>
      </c>
      <c r="H24" s="78">
        <v>2.12</v>
      </c>
      <c r="I24" s="78">
        <v>2.04</v>
      </c>
      <c r="J24" s="78">
        <v>1.94</v>
      </c>
      <c r="K24" s="78">
        <v>1.92</v>
      </c>
      <c r="L24" s="78">
        <v>1.97</v>
      </c>
      <c r="M24" s="78"/>
      <c r="N24" s="78"/>
      <c r="O24" s="79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45" ht="18" customHeight="1">
      <c r="A25" s="249" t="str">
        <f>IF(Deckblatt!$B$14=1,'translation List'!AO$1,IF(Deckblatt!$B$14=2,'translation List'!AO$2,IF(Deckblatt!$B$14=3,'translation List'!AO$3,IF(Deckblatt!$B$14=4,'translation List'!AO$4,IF(Deckblatt!$B$14=5,'translation List'!AO$5,IF(Deckblatt!$B$14=6,'translation List'!AO$6,IF(Deckblatt!$B$14=7,'translation List'!AO$7,IF(Deckblatt!$B$14=8,'translation List'!AO$8,IF(Deckblatt!$B$14=9,'translation List'!AO$9,IF(Deckblatt!$B$14=10,'translation List'!AO$10,IF(Deckblatt!$B$14=11,'translation List'!AO$11,IF(Deckblatt!$B$14=12,'translation List'!AO$12))))))))))))</f>
        <v>Net power input</v>
      </c>
      <c r="B25" s="168"/>
      <c r="C25" s="169"/>
      <c r="D25" s="156" t="s">
        <v>38</v>
      </c>
      <c r="E25" s="157"/>
      <c r="F25" s="220"/>
      <c r="G25" s="78">
        <v>1.49</v>
      </c>
      <c r="H25" s="78">
        <v>1.36</v>
      </c>
      <c r="I25" s="78">
        <v>1.28</v>
      </c>
      <c r="J25" s="78">
        <v>1.19</v>
      </c>
      <c r="K25" s="78">
        <v>1.1599999999999999</v>
      </c>
      <c r="L25" s="78">
        <v>1.21</v>
      </c>
      <c r="M25" s="78"/>
      <c r="N25" s="78"/>
      <c r="O25" s="79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</row>
    <row r="26" spans="1:45" ht="18" customHeight="1">
      <c r="A26" s="249" t="str">
        <f>IF(Deckblatt!$B$14=1,'translation List'!AP$1,IF(Deckblatt!$B$14=2,'translation List'!AP$2,IF(Deckblatt!$B$14=3,'translation List'!AP$3,IF(Deckblatt!$B$14=4,'translation List'!AP$4,IF(Deckblatt!$B$14=5,'translation List'!AP$5,IF(Deckblatt!$B$14=6,'translation List'!AP$6,IF(Deckblatt!$B$14=7,'translation List'!AP$7,IF(Deckblatt!$B$14=8,'translation List'!AP$8,IF(Deckblatt!$B$14=9,'translation List'!AP$9,IF(Deckblatt!$B$14=10,'translation List'!AP$10,IF(Deckblatt!$B$14=11,'translation List'!AP$11,IF(Deckblatt!$B$14=12,'translation List'!AP$12))))))))))))</f>
        <v>Grinding energy input</v>
      </c>
      <c r="B26" s="168"/>
      <c r="C26" s="169"/>
      <c r="D26" s="156" t="s">
        <v>39</v>
      </c>
      <c r="E26" s="157"/>
      <c r="F26" s="73"/>
      <c r="G26" s="78">
        <v>0.38</v>
      </c>
      <c r="H26" s="78">
        <v>0.73</v>
      </c>
      <c r="I26" s="78">
        <v>1.02</v>
      </c>
      <c r="J26" s="78">
        <v>1.39</v>
      </c>
      <c r="K26" s="78">
        <v>1.6</v>
      </c>
      <c r="L26" s="78">
        <v>1.93</v>
      </c>
      <c r="M26" s="78"/>
      <c r="N26" s="78"/>
      <c r="O26" s="79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</row>
    <row r="27" spans="1:45" ht="18" customHeight="1">
      <c r="A27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7" s="168"/>
      <c r="C27" s="169"/>
      <c r="D27" s="154" t="s">
        <v>50</v>
      </c>
      <c r="E27" s="155"/>
      <c r="F27" s="28">
        <v>0</v>
      </c>
      <c r="G27" s="100">
        <f>IF($C$29="Sample from the circulat. tank",G26/$M$8,IF($C$29="Sample from the outlet",(G26+(($M$8/G19)*G25))/$M$8,""))</f>
        <v>0.15661069651741294</v>
      </c>
      <c r="H27" s="100">
        <f>IF($C$29="Sample from the circulat. tank",H26/$M$8,IF($C$29="Sample from the outlet",(H26+(($M$8/H19)*H25))/$M$8,""))</f>
        <v>0.2382587064676617</v>
      </c>
      <c r="I27" s="100">
        <f t="shared" ref="I27:L27" si="1">IF($C$29="Sample from the circulat. tank",I26/$M$8,IF($C$29="Sample from the outlet",(I26+(($M$8/I19)*I25))/$M$8,""))</f>
        <v>0.30706467661691544</v>
      </c>
      <c r="J27" s="100">
        <f t="shared" si="1"/>
        <v>0.39535447761194031</v>
      </c>
      <c r="K27" s="100">
        <f t="shared" si="1"/>
        <v>0.44634328358208958</v>
      </c>
      <c r="L27" s="100">
        <f t="shared" si="1"/>
        <v>0.53051616915422883</v>
      </c>
      <c r="M27" s="80"/>
      <c r="N27" s="80"/>
      <c r="O27" s="123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ht="18" customHeight="1">
      <c r="A28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8" s="168"/>
      <c r="C28" s="169"/>
      <c r="D28" s="154" t="s">
        <v>40</v>
      </c>
      <c r="E28" s="155"/>
      <c r="F28" s="28">
        <v>0</v>
      </c>
      <c r="G28" s="100">
        <f>G27/$M$7%</f>
        <v>0.52464583333333314</v>
      </c>
      <c r="H28" s="100">
        <f t="shared" ref="H28:L28" si="2">H27/$M$7%</f>
        <v>0.79816666666666647</v>
      </c>
      <c r="I28" s="100">
        <f t="shared" si="2"/>
        <v>1.0286666666666664</v>
      </c>
      <c r="J28" s="100">
        <f t="shared" si="2"/>
        <v>1.3244374999999997</v>
      </c>
      <c r="K28" s="100">
        <f t="shared" si="2"/>
        <v>1.4952499999999997</v>
      </c>
      <c r="L28" s="100">
        <f t="shared" si="2"/>
        <v>1.7772291666666662</v>
      </c>
      <c r="M28" s="80"/>
      <c r="N28" s="80"/>
      <c r="O28" s="123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</row>
    <row r="29" spans="1:45" ht="18" customHeight="1">
      <c r="A29" s="253" t="str">
        <f>IF(Deckblatt!$B$14=1,'translation List'!AR$1,IF(Deckblatt!$B$14=2,'translation List'!AR$2,IF(Deckblatt!$B$14=3,'translation List'!AR$3,IF(Deckblatt!$B$14=4,'translation List'!AR$4,IF(Deckblatt!$B$14=5,'translation List'!AR$5,IF(Deckblatt!$B$14=6,'translation List'!AR$6,IF(Deckblatt!$B$14=7,'translation List'!AR$7,IF(Deckblatt!$B$14=8,'translation List'!AR$8,IF(Deckblatt!$B$14=9,'translation List'!AR$9,IF(Deckblatt!$B$14=10,'translation List'!AR$10,IF(Deckblatt!$B$14=11,'translation List'!AR$11,IF(Deckblatt!$B$14=12,'translation List'!AR$12))))))))))))</f>
        <v>Particle size</v>
      </c>
      <c r="B29" s="212" t="s">
        <v>41</v>
      </c>
      <c r="C29" s="213" t="s">
        <v>42</v>
      </c>
      <c r="D29" s="62">
        <f>D12</f>
        <v>50</v>
      </c>
      <c r="E29" s="63" t="s">
        <v>43</v>
      </c>
      <c r="F29" s="73">
        <v>0.7</v>
      </c>
      <c r="G29" s="78">
        <v>0.47399999999999998</v>
      </c>
      <c r="H29" s="115">
        <v>0.43</v>
      </c>
      <c r="I29" s="115">
        <v>0.42199999999999999</v>
      </c>
      <c r="J29" s="115">
        <v>0.42199999999999999</v>
      </c>
      <c r="K29" s="115">
        <v>0.253</v>
      </c>
      <c r="L29" s="115">
        <v>0.11899999999999999</v>
      </c>
      <c r="M29" s="78"/>
      <c r="N29" s="78"/>
      <c r="O29" s="79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ht="18" customHeight="1">
      <c r="A30" s="254"/>
      <c r="B30" s="212"/>
      <c r="C30" s="214"/>
      <c r="D30" s="62">
        <f>H12</f>
        <v>90</v>
      </c>
      <c r="E30" s="63" t="s">
        <v>43</v>
      </c>
      <c r="F30" s="73">
        <v>2.2200000000000002</v>
      </c>
      <c r="G30" s="78">
        <v>0.82399999999999995</v>
      </c>
      <c r="H30" s="115">
        <v>0.71099999999999997</v>
      </c>
      <c r="I30" s="115">
        <v>0.71599999999999997</v>
      </c>
      <c r="J30" s="115">
        <v>0.73399999999999999</v>
      </c>
      <c r="K30" s="115">
        <v>0.44</v>
      </c>
      <c r="L30" s="115">
        <v>0.30199999999999999</v>
      </c>
      <c r="M30" s="78"/>
      <c r="N30" s="78"/>
      <c r="O30" s="7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1" spans="1:45" ht="18" customHeight="1">
      <c r="A31" s="255"/>
      <c r="B31" s="212"/>
      <c r="C31" s="215"/>
      <c r="D31" s="64">
        <f>L12</f>
        <v>95</v>
      </c>
      <c r="E31" s="63" t="s">
        <v>43</v>
      </c>
      <c r="F31" s="73">
        <v>3.01</v>
      </c>
      <c r="G31" s="78">
        <v>0.93300000000000005</v>
      </c>
      <c r="H31" s="115">
        <v>0.79100000000000004</v>
      </c>
      <c r="I31" s="115">
        <v>0.8</v>
      </c>
      <c r="J31" s="115">
        <v>0.82399999999999995</v>
      </c>
      <c r="K31" s="115">
        <v>0.496</v>
      </c>
      <c r="L31" s="115">
        <v>0.34799999999999998</v>
      </c>
      <c r="M31" s="78"/>
      <c r="N31" s="78"/>
      <c r="O31" s="7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</row>
    <row r="32" spans="1:45" ht="18" customHeight="1">
      <c r="A32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2" s="168"/>
      <c r="C32" s="169"/>
      <c r="D32" s="210" t="s">
        <v>51</v>
      </c>
      <c r="E32" s="211"/>
      <c r="F32" s="114"/>
      <c r="G32" s="113">
        <v>5.3</v>
      </c>
      <c r="H32" s="113">
        <v>5.4</v>
      </c>
      <c r="I32" s="113">
        <v>5.4</v>
      </c>
      <c r="J32" s="113">
        <v>5.7</v>
      </c>
      <c r="K32" s="113">
        <v>5</v>
      </c>
      <c r="L32" s="113">
        <v>5.8</v>
      </c>
      <c r="M32" s="78"/>
      <c r="N32" s="78"/>
      <c r="O32" s="79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ht="18" customHeight="1">
      <c r="A33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3" s="168"/>
      <c r="C33" s="169"/>
      <c r="D33" s="210" t="s">
        <v>52</v>
      </c>
      <c r="E33" s="211"/>
      <c r="F33" s="112"/>
      <c r="G33" s="78"/>
      <c r="H33" s="78"/>
      <c r="I33" s="78"/>
      <c r="J33" s="78"/>
      <c r="K33" s="234">
        <v>0.29920000000000002</v>
      </c>
      <c r="L33" s="235"/>
      <c r="M33" s="78"/>
      <c r="N33" s="78"/>
      <c r="O33" s="104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</row>
    <row r="34" spans="1:45" ht="18" customHeight="1">
      <c r="A34" s="256" t="str">
        <f>IF(Deckblatt!$B$14=1,'translation List'!AT$1,IF(Deckblatt!$B$14=2,'translation List'!AT$2,IF(Deckblatt!$B$14=3,'translation List'!AT$3,IF(Deckblatt!$B$14=4,'translation List'!AT$4,IF(Deckblatt!$B$14=5,'translation List'!AT$5,IF(Deckblatt!$B$14=6,'translation List'!AT$6,IF(Deckblatt!$B$14=7,'translation List'!AT$7,IF(Deckblatt!$B$14=8,'translation List'!AT$8,IF(Deckblatt!$B$14=9,'translation List'!AT$9,IF(Deckblatt!$B$14=10,'translation List'!AT$10,IF(Deckblatt!$B$14=11,'translation List'!AT$11,IF(Deckblatt!$B$14=12,'translation List'!AT$12))))))))))))</f>
        <v>Theoretical circles</v>
      </c>
      <c r="B34" s="233"/>
      <c r="C34" s="233"/>
      <c r="D34" s="231" t="s">
        <v>44</v>
      </c>
      <c r="E34" s="232"/>
      <c r="F34" s="101">
        <v>0</v>
      </c>
      <c r="G34" s="102">
        <f t="shared" ref="G34:L34" si="3">((G19/60)/$M8)*(G16-F16)+F34</f>
        <v>1.4925373134328361</v>
      </c>
      <c r="H34" s="102">
        <f t="shared" si="3"/>
        <v>2.9850746268656723</v>
      </c>
      <c r="I34" s="102">
        <f t="shared" si="3"/>
        <v>4.4776119402985088</v>
      </c>
      <c r="J34" s="102">
        <f t="shared" si="3"/>
        <v>5.9701492537313445</v>
      </c>
      <c r="K34" s="102">
        <f t="shared" si="3"/>
        <v>7.4626865671641802</v>
      </c>
      <c r="L34" s="102">
        <f t="shared" si="3"/>
        <v>8.9552238805970159</v>
      </c>
      <c r="M34" s="102"/>
      <c r="N34" s="102"/>
      <c r="O34" s="102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 ht="18" customHeight="1">
      <c r="A35" s="257" t="str">
        <f>IF(Deckblatt!$B$14=1,'translation List'!AU$1,IF(Deckblatt!$B$14=2,'translation List'!AU$2,IF(Deckblatt!$B$14=3,'translation List'!AU$3,IF(Deckblatt!$B$14=4,'translation List'!AU$4,IF(Deckblatt!$B$14=5,'translation List'!AU$5,IF(Deckblatt!$B$14=6,'translation List'!AU$6,IF(Deckblatt!$B$14=7,'translation List'!AU$7,IF(Deckblatt!$B$14=8,'translation List'!AU$8,IF(Deckblatt!$B$14=9,'translation List'!AU$9,IF(Deckblatt!$B$14=10,'translation List'!AU$10,IF(Deckblatt!$B$14=11,'translation List'!AU$11,IF(Deckblatt!$B$14=12,'translation List'!AU$12))))))))))))</f>
        <v>Production capacity</v>
      </c>
      <c r="B35" s="258"/>
      <c r="C35" s="259"/>
      <c r="D35" s="172" t="s">
        <v>45</v>
      </c>
      <c r="E35" s="260"/>
      <c r="F35" s="61">
        <v>0</v>
      </c>
      <c r="G35" s="81">
        <f t="shared" ref="G35:K35" si="4">IF($C$29="Sample from the circulat. tank",$M$8*(60/G16),IF($C$29="Sample from the outlet",(1/((1/($M$8*(60/G16)))+(1/G19))),""))</f>
        <v>9.6287425149700585</v>
      </c>
      <c r="H35" s="81">
        <f t="shared" si="4"/>
        <v>6.0224719101123592</v>
      </c>
      <c r="I35" s="81">
        <f t="shared" si="4"/>
        <v>4.3814713896457764</v>
      </c>
      <c r="J35" s="81">
        <f t="shared" si="4"/>
        <v>3.4432548179871514</v>
      </c>
      <c r="K35" s="81">
        <f t="shared" si="4"/>
        <v>2.8359788359788358</v>
      </c>
      <c r="L35" s="81">
        <f>IF($C$29="Sample from the circulat. tank",$M$8*(60/L16),IF($C$29="Sample from the outlet",(1/((1/($M$8*(60/L16)))+(1/L19))),""))</f>
        <v>2.4107946026986506</v>
      </c>
      <c r="M35" s="81"/>
      <c r="N35" s="81"/>
      <c r="O35" s="81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</row>
    <row r="36" spans="1:45" ht="18" customHeight="1">
      <c r="A36" s="130"/>
      <c r="B36" s="130"/>
      <c r="C36" s="130"/>
      <c r="D36" s="131"/>
      <c r="E36" s="131"/>
      <c r="F36" s="133">
        <f>F35*$M$7/100</f>
        <v>0</v>
      </c>
      <c r="G36" s="133">
        <f t="shared" ref="G36:L36" si="5">G35*$M$7/100</f>
        <v>2.8742514970059885</v>
      </c>
      <c r="H36" s="133">
        <f t="shared" si="5"/>
        <v>1.7977528089887644</v>
      </c>
      <c r="I36" s="133">
        <f t="shared" si="5"/>
        <v>1.3079019073569487</v>
      </c>
      <c r="J36" s="133">
        <f t="shared" si="5"/>
        <v>1.0278372591006424</v>
      </c>
      <c r="K36" s="133">
        <f t="shared" si="5"/>
        <v>0.84656084656084674</v>
      </c>
      <c r="L36" s="133">
        <f t="shared" si="5"/>
        <v>0.71964017991004514</v>
      </c>
      <c r="M36" s="132"/>
      <c r="N36" s="132"/>
      <c r="O36" s="132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</row>
    <row r="37" spans="1:45" ht="18" customHeight="1">
      <c r="A37" s="230" t="s">
        <v>0</v>
      </c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</row>
    <row r="38" spans="1:45" ht="22.5" customHeight="1">
      <c r="A38" s="261" t="str">
        <f>IF(Deckblatt!$B$14=1,'translation List'!AV$1,IF(Deckblatt!$B$14=2,'translation List'!AV$2,IF(Deckblatt!$B$14=3,'translation List'!AV$3,IF(Deckblatt!$B$14=4,'translation List'!AV$4,IF(Deckblatt!$B$14=5,'translation List'!AV$5,IF(Deckblatt!$B$14=6,'translation List'!AV$6,IF(Deckblatt!$B$14=7,'translation List'!AV$7,IF(Deckblatt!$B$14=8,'translation List'!AV$8,IF(Deckblatt!$B$14=9,'translation List'!AV$9,IF(Deckblatt!$B$14=10,'translation List'!AV$10,IF(Deckblatt!$B$14=11,'translation List'!AV$11,IF(Deckblatt!$B$14=12,'translation List'!AV$12))))))))))))</f>
        <v>Cooling</v>
      </c>
      <c r="B38" s="262"/>
      <c r="C38" s="262"/>
      <c r="D38" s="262"/>
      <c r="E38" s="263"/>
      <c r="F38" s="264" t="str">
        <f>IF(Deckblatt!$B$14=1,'translation List'!BA$1,IF(Deckblatt!$B$14=2,'translation List'!BA$2,IF(Deckblatt!$B$14=3,'translation List'!BA$3,IF(Deckblatt!$B$14=4,'translation List'!BA$4,IF(Deckblatt!$B$14=5,'translation List'!BA$5,IF(Deckblatt!$B$14=6,'translation List'!BA$6,IF(Deckblatt!$B$14=7,'translation List'!BA$7,IF(Deckblatt!$B$14=8,'translation List'!BA$8,IF(Deckblatt!$B$14=9,'translation List'!BA$9,IF(Deckblatt!$B$14=10,'translation List'!BA$10,IF(Deckblatt!$B$14=11,'translation List'!BA$11,IF(Deckblatt!$B$14=12,'translation List'!BA$12))))))))))))</f>
        <v>Grinding chamber</v>
      </c>
      <c r="G38" s="264"/>
      <c r="H38" s="264" t="str">
        <f>IF(Deckblatt!$B$14=1,'translation List'!BB$1,IF(Deckblatt!$B$14=2,'translation List'!BB$2,IF(Deckblatt!$B$14=3,'translation List'!BB$3,IF(Deckblatt!$B$14=4,'translation List'!BB$4,IF(Deckblatt!$B$14=5,'translation List'!BB$5,IF(Deckblatt!$B$14=6,'translation List'!BB$6,IF(Deckblatt!$B$14=7,'translation List'!BB$7,IF(Deckblatt!$B$14=8,'translation List'!BB$8,IF(Deckblatt!$B$14=9,'translation List'!BB$9,IF(Deckblatt!$B$14=10,'translation List'!BB$10,IF(Deckblatt!$B$14=11,'translation List'!BB$11,IF(Deckblatt!$B$14=12,'translation List'!BB$12))))))))))))</f>
        <v>Mechanical seal</v>
      </c>
      <c r="I38" s="264"/>
      <c r="J38" s="264" t="str">
        <f>IF(Deckblatt!$B$14=1,'translation List'!BC$1,IF(Deckblatt!$B$14=2,'translation List'!BC$2,IF(Deckblatt!$B$14=3,'translation List'!BC$3,IF(Deckblatt!$B$14=4,'translation List'!BC$4,IF(Deckblatt!$B$14=5,'translation List'!BC$5,IF(Deckblatt!$B$14=6,'translation List'!BC$6,IF(Deckblatt!$B$14=7,'translation List'!BC$7,IF(Deckblatt!$B$14=8,'translation List'!BC$8,IF(Deckblatt!$B$14=9,'translation List'!BC$9,IF(Deckblatt!$B$14=10,'translation List'!BC$10,IF(Deckblatt!$B$14=11,'translation List'!BC$11,IF(Deckblatt!$B$14=12,'translation List'!BC$12))))))))))))</f>
        <v>Circulation tank</v>
      </c>
      <c r="K38" s="264"/>
      <c r="L38" s="264" t="str">
        <f>IF(Deckblatt!$B$14=1,'translation List'!BD$1,IF(Deckblatt!$B$14=2,'translation List'!BD$2,IF(Deckblatt!$B$14=3,'translation List'!BD$3,IF(Deckblatt!$B$14=4,'translation List'!BD$4,IF(Deckblatt!$B$14=5,'translation List'!BD$5,IF(Deckblatt!$B$14=6,'translation List'!BD$6,IF(Deckblatt!$B$14=7,'translation List'!BD$7,IF(Deckblatt!$B$14=8,'translation List'!BD$8,IF(Deckblatt!$B$14=9,'translation List'!BD$9,IF(Deckblatt!$B$14=10,'translation List'!BD$10,IF(Deckblatt!$B$14=11,'translation List'!BD$11,IF(Deckblatt!$B$14=12,'translation List'!BD$12))))))))))))</f>
        <v>Chiller</v>
      </c>
      <c r="M38" s="264"/>
      <c r="N38" s="264" t="str">
        <f>IF(Deckblatt!$B$14=1,'translation List'!BE$1,IF(Deckblatt!$B$14=2,'translation List'!BE$2,IF(Deckblatt!$B$14=3,'translation List'!BE$3,IF(Deckblatt!$B$14=4,'translation List'!BE$4,IF(Deckblatt!$B$14=5,'translation List'!BE$5,IF(Deckblatt!$B$14=6,'translation List'!BE$6,IF(Deckblatt!$B$14=7,'translation List'!BE$7,IF(Deckblatt!$B$14=8,'translation List'!BE$8,IF(Deckblatt!$B$14=9,'translation List'!BE$9,IF(Deckblatt!$B$14=10,'translation List'!BE$10,IF(Deckblatt!$B$14=11,'translation List'!BE$11,IF(Deckblatt!$B$14=12,'translation List'!BE$12))))))))))))</f>
        <v>Total</v>
      </c>
      <c r="O38" s="26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8" customHeight="1">
      <c r="A39" s="273" t="str">
        <f>IF(Deckblatt!$B$14=1,'translation List'!AW$1,IF(Deckblatt!$B$14=2,'translation List'!AW$2,IF(Deckblatt!$B$14=3,'translation List'!AW$3,IF(Deckblatt!$B$14=4,'translation List'!AW$4,IF(Deckblatt!$B$14=5,'translation List'!AW$5,IF(Deckblatt!$B$14=6,'translation List'!AW$6,IF(Deckblatt!$B$14=7,'translation List'!AW$7,IF(Deckblatt!$B$14=8,'translation List'!AW$8,IF(Deckblatt!$B$14=9,'translation List'!AW$9,IF(Deckblatt!$B$14=10,'translation List'!AW$10,IF(Deckblatt!$B$14=11,'translation List'!AW$11,IF(Deckblatt!$B$14=12,'translation List'!AW$12))))))))))))</f>
        <v>Temperature inlet</v>
      </c>
      <c r="B39" s="274"/>
      <c r="C39" s="275"/>
      <c r="D39" s="276" t="s">
        <v>35</v>
      </c>
      <c r="E39" s="277"/>
      <c r="F39" s="266"/>
      <c r="G39" s="266"/>
      <c r="H39" s="266"/>
      <c r="I39" s="266"/>
      <c r="J39" s="266"/>
      <c r="K39" s="266"/>
      <c r="L39" s="266"/>
      <c r="M39" s="266"/>
      <c r="N39" s="266"/>
      <c r="O39" s="267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</row>
    <row r="40" spans="1:45" ht="18" customHeight="1">
      <c r="A40" s="268" t="str">
        <f>IF(Deckblatt!$B$14=1,'translation List'!AX$1,IF(Deckblatt!$B$14=2,'translation List'!AX$2,IF(Deckblatt!$B$14=3,'translation List'!AX$3,IF(Deckblatt!$B$14=4,'translation List'!AX$4,IF(Deckblatt!$B$14=5,'translation List'!AX$5,IF(Deckblatt!$B$14=6,'translation List'!AX$6,IF(Deckblatt!$B$14=7,'translation List'!AX$7,IF(Deckblatt!$B$14=8,'translation List'!AX$8,IF(Deckblatt!$B$14=9,'translation List'!AX$9,IF(Deckblatt!$B$14=10,'translation List'!AX$10,IF(Deckblatt!$B$14=11,'translation List'!AX$11,IF(Deckblatt!$B$14=12,'translation List'!AX$12))))))))))))</f>
        <v>Temperature outlet</v>
      </c>
      <c r="B40" s="269"/>
      <c r="C40" s="270"/>
      <c r="D40" s="156" t="s">
        <v>36</v>
      </c>
      <c r="E40" s="157"/>
      <c r="F40" s="271"/>
      <c r="G40" s="271"/>
      <c r="H40" s="271"/>
      <c r="I40" s="271"/>
      <c r="J40" s="271"/>
      <c r="K40" s="271"/>
      <c r="L40" s="271"/>
      <c r="M40" s="271"/>
      <c r="N40" s="271"/>
      <c r="O40" s="272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</row>
    <row r="41" spans="1:45" ht="18" customHeight="1">
      <c r="A41" s="278" t="str">
        <f>IF(Deckblatt!$B$14=1,'translation List'!AY$1,IF(Deckblatt!$B$14=2,'translation List'!AY$2,IF(Deckblatt!$B$14=3,'translation List'!AY$3,IF(Deckblatt!$B$14=4,'translation List'!AY$4,IF(Deckblatt!$B$14=5,'translation List'!AY$5,IF(Deckblatt!$B$14=6,'translation List'!AY$6,IF(Deckblatt!$B$14=7,'translation List'!AY$7,IF(Deckblatt!$B$14=8,'translation List'!AY$8,IF(Deckblatt!$B$14=9,'translation List'!AY$9,IF(Deckblatt!$B$14=10,'translation List'!AY$10,IF(Deckblatt!$B$14=11,'translation List'!AY$11,IF(Deckblatt!$B$14=12,'translation List'!AY$12))))))))))))</f>
        <v>Cooling water flow rate</v>
      </c>
      <c r="B41" s="279"/>
      <c r="C41" s="279"/>
      <c r="D41" s="279"/>
      <c r="E41" s="65" t="s">
        <v>53</v>
      </c>
      <c r="F41" s="280"/>
      <c r="G41" s="280"/>
      <c r="H41" s="280"/>
      <c r="I41" s="280"/>
      <c r="J41" s="280"/>
      <c r="K41" s="280"/>
      <c r="L41" s="280"/>
      <c r="M41" s="280"/>
      <c r="N41" s="281"/>
      <c r="O41" s="282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</row>
    <row r="42" spans="1:45" ht="18" customHeight="1">
      <c r="A42" s="229" t="str">
        <f>IF(Deckblatt!$B$14=1,'translation List'!AZ$1,IF(Deckblatt!$B$14=2,'translation List'!AZ$2,IF(Deckblatt!$B$14=3,'translation List'!AZ$3,IF(Deckblatt!$B$14=4,'translation List'!AZ$4,IF(Deckblatt!$B$14=5,'translation List'!AZ$5,IF(Deckblatt!$B$14=6,'translation List'!AZ$6,IF(Deckblatt!$B$14=7,'translation List'!AZ$7,IF(Deckblatt!$B$14=8,'translation List'!AZ$8,IF(Deckblatt!$B$14=9,'translation List'!AZ$9,IF(Deckblatt!$B$14=10,'translation List'!AZ$10,IF(Deckblatt!$B$14=11,'translation List'!AZ$11,IF(Deckblatt!$B$14=12,'translation List'!AZ$12))))))))))))</f>
        <v>Remarks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45" ht="18" customHeight="1">
      <c r="A43" s="223" t="s">
        <v>57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7"/>
      <c r="P43" s="8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</row>
    <row r="44" spans="1:45" ht="32.25" customHeight="1">
      <c r="A44" s="225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8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45" ht="18" customHeight="1">
      <c r="C45" s="13"/>
      <c r="E45" s="13"/>
    </row>
    <row r="55" spans="4:13" ht="18" customHeight="1">
      <c r="D55" s="3" t="s">
        <v>0</v>
      </c>
      <c r="I55" s="3" t="s">
        <v>0</v>
      </c>
      <c r="J55" s="3" t="s">
        <v>0</v>
      </c>
      <c r="M55" s="3" t="s">
        <v>0</v>
      </c>
    </row>
  </sheetData>
  <sheetProtection selectLockedCells="1"/>
  <mergeCells count="114">
    <mergeCell ref="K33:L33"/>
    <mergeCell ref="A42:O42"/>
    <mergeCell ref="A43:H44"/>
    <mergeCell ref="I43:O44"/>
    <mergeCell ref="A41:D41"/>
    <mergeCell ref="F41:G41"/>
    <mergeCell ref="H41:I41"/>
    <mergeCell ref="J41:K41"/>
    <mergeCell ref="L41:M41"/>
    <mergeCell ref="N41:O41"/>
    <mergeCell ref="N39:O39"/>
    <mergeCell ref="A40:C40"/>
    <mergeCell ref="D40:E40"/>
    <mergeCell ref="F40:G40"/>
    <mergeCell ref="H40:I40"/>
    <mergeCell ref="J40:K40"/>
    <mergeCell ref="L40:M40"/>
    <mergeCell ref="N40:O40"/>
    <mergeCell ref="A39:C39"/>
    <mergeCell ref="D39:E39"/>
    <mergeCell ref="F39:G39"/>
    <mergeCell ref="H39:I39"/>
    <mergeCell ref="J39:K39"/>
    <mergeCell ref="L39:M39"/>
    <mergeCell ref="A35:C35"/>
    <mergeCell ref="D35:E35"/>
    <mergeCell ref="A37:O37"/>
    <mergeCell ref="A38:E38"/>
    <mergeCell ref="F38:G38"/>
    <mergeCell ref="H38:I38"/>
    <mergeCell ref="J38:K38"/>
    <mergeCell ref="L38:M38"/>
    <mergeCell ref="N38:O38"/>
    <mergeCell ref="A29:A31"/>
    <mergeCell ref="B29:B31"/>
    <mergeCell ref="C29:C31"/>
    <mergeCell ref="A32:C32"/>
    <mergeCell ref="D32:E32"/>
    <mergeCell ref="A34:C34"/>
    <mergeCell ref="D34:E34"/>
    <mergeCell ref="A26:C26"/>
    <mergeCell ref="D26:E26"/>
    <mergeCell ref="A27:C27"/>
    <mergeCell ref="D27:E27"/>
    <mergeCell ref="A28:C28"/>
    <mergeCell ref="D28:E28"/>
    <mergeCell ref="A33:C33"/>
    <mergeCell ref="D33:E33"/>
    <mergeCell ref="F17:F25"/>
    <mergeCell ref="A19:C19"/>
    <mergeCell ref="D19:E19"/>
    <mergeCell ref="A20:C20"/>
    <mergeCell ref="D20:E20"/>
    <mergeCell ref="A21:C21"/>
    <mergeCell ref="D21:E21"/>
    <mergeCell ref="A22:C22"/>
    <mergeCell ref="A13:O13"/>
    <mergeCell ref="A14:F14"/>
    <mergeCell ref="G14:O14"/>
    <mergeCell ref="A15:E15"/>
    <mergeCell ref="A16:C16"/>
    <mergeCell ref="D16:E16"/>
    <mergeCell ref="D22:E22"/>
    <mergeCell ref="A23:C23"/>
    <mergeCell ref="D23:E23"/>
    <mergeCell ref="A24:C24"/>
    <mergeCell ref="D24:E24"/>
    <mergeCell ref="A25:C25"/>
    <mergeCell ref="D25:E25"/>
    <mergeCell ref="A17:C17"/>
    <mergeCell ref="D17:E17"/>
    <mergeCell ref="D18:E18"/>
    <mergeCell ref="A12:C12"/>
    <mergeCell ref="E12:F12"/>
    <mergeCell ref="I12:J12"/>
    <mergeCell ref="M12:N12"/>
    <mergeCell ref="A9:C9"/>
    <mergeCell ref="D9:F9"/>
    <mergeCell ref="I9:L9"/>
    <mergeCell ref="M9:N9"/>
    <mergeCell ref="A10:D10"/>
    <mergeCell ref="E10:K10"/>
    <mergeCell ref="L10:M10"/>
    <mergeCell ref="A7:C7"/>
    <mergeCell ref="D7:F7"/>
    <mergeCell ref="I7:L7"/>
    <mergeCell ref="M7:N7"/>
    <mergeCell ref="A8:C8"/>
    <mergeCell ref="D8:F8"/>
    <mergeCell ref="I8:L8"/>
    <mergeCell ref="M8:N8"/>
    <mergeCell ref="A11:D11"/>
    <mergeCell ref="E11:O11"/>
    <mergeCell ref="A6:C6"/>
    <mergeCell ref="D6:H6"/>
    <mergeCell ref="I6:L6"/>
    <mergeCell ref="A3:C3"/>
    <mergeCell ref="D3:G3"/>
    <mergeCell ref="H3:J3"/>
    <mergeCell ref="K3:N3"/>
    <mergeCell ref="A4:C4"/>
    <mergeCell ref="I4:K4"/>
    <mergeCell ref="L4:O4"/>
    <mergeCell ref="M6:N6"/>
    <mergeCell ref="A1:D1"/>
    <mergeCell ref="E1:G1"/>
    <mergeCell ref="H1:I1"/>
    <mergeCell ref="K1:L1"/>
    <mergeCell ref="M1:O1"/>
    <mergeCell ref="A2:D2"/>
    <mergeCell ref="E2:O2"/>
    <mergeCell ref="A5:C5"/>
    <mergeCell ref="D5:G5"/>
    <mergeCell ref="J5:K5"/>
  </mergeCells>
  <dataValidations disablePrompts="1" count="1">
    <dataValidation errorStyle="information" allowBlank="1" showInputMessage="1" showErrorMessage="1" sqref="D19:E19" xr:uid="{00000000-0002-0000-0300-000000000000}"/>
  </dataValidations>
  <pageMargins left="0.70866141732283472" right="0.31496062992125984" top="0.98425196850393704" bottom="0.59055118110236227" header="0.31496062992125984" footer="0.31496062992125984"/>
  <pageSetup paperSize="9" scale="98" pageOrder="overThenDown" orientation="portrait" r:id="rId1"/>
  <headerFooter>
    <oddHeader>&amp;L&amp;G&amp;R&amp;"Arial,Fett"&amp;24&amp;F &amp;A</oddHeader>
    <oddFooter>&amp;LTest report_mill&amp;C &amp;R &amp;F &amp;P/&amp;N</oddFooter>
  </headerFooter>
  <rowBreaks count="1" manualBreakCount="1">
    <brk id="46" max="16383" man="1"/>
  </rowBreaks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300-000001000000}">
          <x14:formula1>
            <xm:f>'translation List'!$F$19:$F$22</xm:f>
          </x14:formula1>
          <xm:sqref>B29:B31</xm:sqref>
        </x14:dataValidation>
        <x14:dataValidation type="list" allowBlank="1" showInputMessage="1" showErrorMessage="1" xr:uid="{00000000-0002-0000-0300-000002000000}">
          <x14:formula1>
            <xm:f>'translation List'!$D$19:$D$21</xm:f>
          </x14:formula1>
          <xm:sqref>C29:C31</xm:sqref>
        </x14:dataValidation>
        <x14:dataValidation type="list" allowBlank="1" showInputMessage="1" showErrorMessage="1" xr:uid="{00000000-0002-0000-0300-000003000000}">
          <x14:formula1>
            <xm:f>'translation List'!$C$19:$C$25</xm:f>
          </x14:formula1>
          <xm:sqref>D5</xm:sqref>
        </x14:dataValidation>
        <x14:dataValidation type="list" allowBlank="1" showInputMessage="1" showErrorMessage="1" xr:uid="{00000000-0002-0000-0300-000004000000}">
          <x14:formula1>
            <xm:f>'translation List'!$B$26:$B$31</xm:f>
          </x14:formula1>
          <xm:sqref>K3:N3</xm:sqref>
        </x14:dataValidation>
        <x14:dataValidation type="list" allowBlank="1" showInputMessage="1" showErrorMessage="1" xr:uid="{00000000-0002-0000-0300-000005000000}">
          <x14:formula1>
            <xm:f>'translation List'!$B$19:$B$23</xm:f>
          </x14:formula1>
          <xm:sqref>D3:G3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52"/>
  <sheetViews>
    <sheetView topLeftCell="A13" zoomScaleNormal="100" zoomScaleSheetLayoutView="110" workbookViewId="0">
      <selection activeCell="Q8" sqref="Q8"/>
    </sheetView>
  </sheetViews>
  <sheetFormatPr baseColWidth="10" defaultColWidth="11.109375" defaultRowHeight="18" customHeight="1"/>
  <cols>
    <col min="1" max="15" width="6.109375" customWidth="1"/>
    <col min="16" max="16" width="11.109375" customWidth="1"/>
    <col min="17" max="255" width="6.109375" customWidth="1"/>
  </cols>
  <sheetData>
    <row r="1" spans="1:45" ht="18" customHeight="1">
      <c r="A1" s="236" t="str">
        <f>Deckblatt!B6</f>
        <v>Labstar NEOS</v>
      </c>
      <c r="B1" s="237"/>
      <c r="C1" s="237"/>
      <c r="D1" s="238"/>
      <c r="E1" s="239" t="str">
        <f>IF(Deckblatt!$B$14=1,'translation List'!L$1,IF(Deckblatt!$B$14=2,'translation List'!L$2,IF(Deckblatt!$B$14=3,'translation List'!L$3,IF(Deckblatt!$B$14=4,'translation List'!L$4,IF(Deckblatt!$B$14=5,'translation List'!L$5,IF(Deckblatt!$B$14=6,'translation List'!L$6,IF(Deckblatt!$B$14=7,'translation List'!L$7,IF(Deckblatt!$B$14=8,'translation List'!L$8,IF(Deckblatt!$B$14=9,'translation List'!L$9,IF(Deckblatt!$B$14=10,'translation List'!L$10,IF(Deckblatt!$B$14=11,'translation List'!L$11,IF(Deckblatt!$B$14=12,'translation List'!L$12))))))))))))</f>
        <v>Installed power</v>
      </c>
      <c r="F1" s="160"/>
      <c r="G1" s="161"/>
      <c r="H1" s="240">
        <v>3</v>
      </c>
      <c r="I1" s="240"/>
      <c r="J1" s="26" t="s">
        <v>10</v>
      </c>
      <c r="K1" s="239" t="str">
        <f>IF(Deckblatt!$B$14=1,'translation List'!K$1,IF(Deckblatt!$B$14=2,'translation List'!K$2,IF(Deckblatt!$B$14=3,'translation List'!K$3,IF(Deckblatt!$B$14=4,'translation List'!K$4,IF(Deckblatt!$B$14=5,'translation List'!K$5,IF(Deckblatt!$B$14=6,'translation List'!K$6,IF(Deckblatt!$B$14=7,'translation List'!K$7,IF(Deckblatt!$B$14=8,'translation List'!K$8,IF(Deckblatt!$B$14=9,'translation List'!K$9,IF(Deckblatt!$B$14=10,'translation List'!K$10,IF(Deckblatt!$B$14=11,'translation List'!K$11,IF(Deckblatt!$B$14=12,'translation List'!K$12))))))))))))</f>
        <v>Date</v>
      </c>
      <c r="L1" s="161"/>
      <c r="M1" s="241">
        <v>45525</v>
      </c>
      <c r="N1" s="242"/>
      <c r="O1" s="242"/>
      <c r="P1" s="84"/>
      <c r="Q1" s="85"/>
      <c r="R1" s="84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</row>
    <row r="2" spans="1:45" ht="18" customHeight="1">
      <c r="A2" s="243" t="str">
        <f>IF(Deckblatt!$B$14=1,'translation List'!M$1,IF(Deckblatt!$B$14=2,'translation List'!M$2,IF(Deckblatt!$B$14=3,'translation List'!M$3,IF(Deckblatt!$B$14=4,'translation List'!M$4,IF(Deckblatt!$B$14=5,'translation List'!M$5,IF(Deckblatt!$B$14=6,'translation List'!M$6,IF(Deckblatt!$B$14=7,'translation List'!M$7,IF(Deckblatt!$B$14=8,'translation List'!M$8,IF(Deckblatt!$B$14=9,'translation List'!M$9,IF(Deckblatt!$B$14=10,'translation List'!M$10,IF(Deckblatt!$B$14=11,'translation List'!M$11,IF(Deckblatt!$B$14=12,'translation List'!M$12))))))))))))</f>
        <v>Machine equipment</v>
      </c>
      <c r="B2" s="162"/>
      <c r="C2" s="162"/>
      <c r="D2" s="163"/>
      <c r="E2" s="164" t="s">
        <v>11</v>
      </c>
      <c r="F2" s="165"/>
      <c r="G2" s="165"/>
      <c r="H2" s="165"/>
      <c r="I2" s="165"/>
      <c r="J2" s="165"/>
      <c r="K2" s="165"/>
      <c r="L2" s="165"/>
      <c r="M2" s="165"/>
      <c r="N2" s="165"/>
      <c r="O2" s="244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</row>
    <row r="3" spans="1:45" ht="18" customHeight="1">
      <c r="A3" s="180" t="str">
        <f>IF(Deckblatt!$B$14=1,'translation List'!N$1,IF(Deckblatt!$B$14=2,'translation List'!N$2,IF(Deckblatt!$B$14=3,'translation List'!N$3,IF(Deckblatt!$B$14=4,'translation List'!N$4,IF(Deckblatt!$B$14=5,'translation List'!N$5,IF(Deckblatt!$B$14=6,'translation List'!N$6,IF(Deckblatt!$B$14=7,'translation List'!N$7,IF(Deckblatt!$B$14=8,'translation List'!N$8,IF(Deckblatt!$B$14=9,'translation List'!N$9,IF(Deckblatt!$B$14=10,'translation List'!N$10,IF(Deckblatt!$B$14=11,'translation List'!N$11,IF(Deckblatt!$B$14=12,'translation List'!N$12))))))))))))</f>
        <v>Pump</v>
      </c>
      <c r="B3" s="186"/>
      <c r="C3" s="186"/>
      <c r="D3" s="173" t="s">
        <v>12</v>
      </c>
      <c r="E3" s="174"/>
      <c r="F3" s="174"/>
      <c r="G3" s="175"/>
      <c r="H3" s="181" t="str">
        <f>IF(OR(D3="Gearpump",D3="Air Diaphragm Pump",D3="EM diaphragm pump"),"",IF(OR(D3="Hosepump",D3="Nemopump"),IF(Deckblatt!$B$14=1,'translation List'!BI$1,IF(Deckblatt!$B$14=2,'translation List'!BI$2,IF(Deckblatt!$B$14=3,'translation List'!BI$3,IF(Deckblatt!$B$14=4,'translation List'!BI$4,IF(Deckblatt!$B$14=5,'translation List'!BI$5,IF(Deckblatt!$B$14=6,'translation List'!BI$6,IF(Deckblatt!$B$14=7,'translation List'!BI$7,IF(Deckblatt!$B$14=8,'translation List'!BI$8,IF(Deckblatt!$B$14=9,'translation List'!BI$9,IF(Deckblatt!$B$14=10,'translation List'!BI$10,IF(Deckblatt!$B$14=11,'translation List'!BI$11,IF(Deckblatt!$B$14=12,'translation List'!BI$12,""))))))))))))))</f>
        <v>Hose material</v>
      </c>
      <c r="I3" s="182"/>
      <c r="J3" s="182"/>
      <c r="K3" s="187"/>
      <c r="L3" s="187"/>
      <c r="M3" s="187"/>
      <c r="N3" s="187"/>
      <c r="O3" s="6"/>
      <c r="P3" s="84"/>
      <c r="Q3" s="85"/>
      <c r="R3" s="84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</row>
    <row r="4" spans="1:45" ht="18" customHeight="1">
      <c r="A4" s="180" t="str">
        <f>IF(Deckblatt!$B$14=1,'translation List'!R$1,IF(Deckblatt!$B$14=2,'translation List'!R$2,IF(Deckblatt!$B$14=3,'translation List'!R$3,IF(Deckblatt!$B$14=4,'translation List'!R$4,IF(Deckblatt!$B$14=5,'translation List'!R$5,IF(Deckblatt!$B$14=6,'translation List'!R$6,IF(Deckblatt!$B$14=7,'translation List'!R$7,IF(Deckblatt!$B$14=8,'translation List'!R$8,IF(Deckblatt!$B$14=9,'translation List'!R$9,IF(Deckblatt!$B$14=10,'translation List'!R$10,IF(Deckblatt!$B$14=11,'translation List'!R$11,IF(Deckblatt!$B$14=12,'translation List'!R$12))))))))))))</f>
        <v>Separating system</v>
      </c>
      <c r="B4" s="186"/>
      <c r="C4" s="186"/>
      <c r="D4" s="66">
        <v>7.4999999999999997E-2</v>
      </c>
      <c r="E4" s="29" t="s">
        <v>13</v>
      </c>
      <c r="F4" s="30" t="s">
        <v>14</v>
      </c>
      <c r="G4" s="67"/>
      <c r="H4" s="29" t="s">
        <v>13</v>
      </c>
      <c r="I4" s="183" t="str">
        <f>IF(Deckblatt!$B$14=1,'translation List'!O$1,IF(Deckblatt!$B$14=2,'translation List'!O$2,IF(Deckblatt!$B$14=3,'translation List'!O$3,IF(Deckblatt!$B$14=4,'translation List'!O$4,IF(Deckblatt!$B$14=5,'translation List'!O$5,IF(Deckblatt!$B$14=6,'translation List'!O$6,IF(Deckblatt!$B$14=7,'translation List'!O$7,IF(Deckblatt!$B$14=8,'translation List'!O$8,IF(Deckblatt!$B$14=9,'translation List'!O$9,IF(Deckblatt!$B$14=10,'translation List'!O$10,IF(Deckblatt!$B$14=11,'translation List'!O$11,IF(Deckblatt!$B$14=12,'translation List'!O$12))))))))))))</f>
        <v>Sealing liquid</v>
      </c>
      <c r="J4" s="184"/>
      <c r="K4" s="185"/>
      <c r="L4" s="193" t="s">
        <v>15</v>
      </c>
      <c r="M4" s="176"/>
      <c r="N4" s="176"/>
      <c r="O4" s="24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</row>
    <row r="5" spans="1:45" ht="18" customHeight="1">
      <c r="A5" s="209" t="str">
        <f>IF(Deckblatt!$B$14=1,'translation List'!P$1,IF(Deckblatt!$B$14=2,'translation List'!P$2,IF(Deckblatt!$B$14=3,'translation List'!P$3,IF(Deckblatt!$B$14=4,'translation List'!P$4,IF(Deckblatt!$B$14=5,'translation List'!P$5,IF(Deckblatt!$B$14=6,'translation List'!P$6,IF(Deckblatt!$B$14=7,'translation List'!P$7,IF(Deckblatt!$B$14=8,'translation List'!P$8,IF(Deckblatt!$B$14=9,'translation List'!P$9,IF(Deckblatt!$B$14=10,'translation List'!P$10,IF(Deckblatt!$B$14=11,'translation List'!P$11,IF(Deckblatt!$B$14=12,'translation List'!P$12))))))))))))</f>
        <v>Type of grinding beads</v>
      </c>
      <c r="B5" s="216"/>
      <c r="C5" s="216"/>
      <c r="D5" s="217" t="s">
        <v>16</v>
      </c>
      <c r="E5" s="206"/>
      <c r="F5" s="206"/>
      <c r="G5" s="206"/>
      <c r="H5" s="91" t="s">
        <v>17</v>
      </c>
      <c r="I5" s="31" t="s">
        <v>13</v>
      </c>
      <c r="J5" s="188" t="str">
        <f>IF(Deckblatt!$B$14=1,'translation List'!BJ$1,IF(Deckblatt!$B$14=2,'translation List'!BJ$2,IF(Deckblatt!$B$14=3,'translation List'!BJ$3,IF(Deckblatt!$B$14=4,'translation List'!BJ$4,IF(Deckblatt!$B$14=5,'translation List'!BJ$5,IF(Deckblatt!$B$14=6,'translation List'!BJ$6,IF(Deckblatt!$B$14=7,'translation List'!BJ$7,IF(Deckblatt!$B$14=8,'translation List'!#REF!,IF(Deckblatt!$B$14=9,'translation List'!BJ$9,IF(Deckblatt!$B$14=10,'translation List'!BJ$10,IF(Deckblatt!$B$14=11,'translation List'!BJ$11,IF(Deckblatt!$B$14=12,'translation List'!BJ$12))))))))))))</f>
        <v>mass</v>
      </c>
      <c r="K5" s="189"/>
      <c r="L5" s="68"/>
      <c r="M5" s="10" t="s">
        <v>18</v>
      </c>
      <c r="N5" s="92">
        <v>85</v>
      </c>
      <c r="O5" s="9" t="s">
        <v>19</v>
      </c>
      <c r="P5" s="85"/>
      <c r="Q5" s="85"/>
      <c r="R5" s="84" t="s">
        <v>20</v>
      </c>
      <c r="S5" s="84" t="s">
        <v>21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</row>
    <row r="6" spans="1:45" ht="18" customHeight="1">
      <c r="A6" s="177" t="str">
        <f>IF(Deckblatt!$B$14=1,'translation List'!S$1,IF(Deckblatt!$B$14=2,'translation List'!S$2,IF(Deckblatt!$B$14=3,'translation List'!S$3,IF(Deckblatt!$B$14=4,'translation List'!S$4,IF(Deckblatt!$B$14=5,'translation List'!S$5,IF(Deckblatt!$B$14=6,'translation List'!S$6,IF(Deckblatt!$B$14=7,'translation List'!S$7,IF(Deckblatt!$B$14=8,'translation List'!S$8,IF(Deckblatt!$B$14=9,'translation List'!S$9,IF(Deckblatt!$B$14=10,'translation List'!S$10,IF(Deckblatt!$B$14=11,'translation List'!S$11,IF(Deckblatt!$B$14=12,'translation List'!S$12))))))))))))</f>
        <v>Product</v>
      </c>
      <c r="B6" s="177"/>
      <c r="C6" s="178"/>
      <c r="D6" s="194" t="s">
        <v>22</v>
      </c>
      <c r="E6" s="195"/>
      <c r="F6" s="195"/>
      <c r="G6" s="195"/>
      <c r="H6" s="196"/>
      <c r="I6" s="167" t="str">
        <f>IF(Deckblatt!$B$14=1,'translation List'!U$1,IF(Deckblatt!$B$14=2,'translation List'!U$2,IF(Deckblatt!$B$14=3,'translation List'!U$3,IF(Deckblatt!$B$14=4,'translation List'!U$4,IF(Deckblatt!$B$14=5,'translation List'!U$5,IF(Deckblatt!$B$14=6,'translation List'!U$6,IF(Deckblatt!$B$14=7,'translation List'!U$7,IF(Deckblatt!$B$14=8,'translation List'!U$8,IF(Deckblatt!$B$14=9,'translation List'!U$9,IF(Deckblatt!$B$14=10,'translation List'!U$10,IF(Deckblatt!$B$14=11,'translation List'!U$11,IF(Deckblatt!$B$14=12,'translation List'!U$12))))))))))))</f>
        <v>Max. temperature</v>
      </c>
      <c r="J6" s="162"/>
      <c r="K6" s="162"/>
      <c r="L6" s="163"/>
      <c r="M6" s="190">
        <v>100</v>
      </c>
      <c r="N6" s="190"/>
      <c r="O6" s="11" t="s">
        <v>23</v>
      </c>
      <c r="P6" s="86"/>
      <c r="Q6" s="85"/>
      <c r="R6" s="97">
        <v>0.4</v>
      </c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</row>
    <row r="7" spans="1:45" ht="18" customHeight="1">
      <c r="A7" s="179" t="str">
        <f>IF(Deckblatt!$B$14=1,'translation List'!T$1,IF(Deckblatt!$B$14=2,'translation List'!T$2,IF(Deckblatt!$B$14=3,'translation List'!T$3,IF(Deckblatt!$B$14=4,'translation List'!T$4,IF(Deckblatt!$B$14=5,'translation List'!T$5,IF(Deckblatt!$B$14=6,'translation List'!T$6,IF(Deckblatt!$B$14=7,'translation List'!T$7,IF(Deckblatt!$B$14=8,'translation List'!T$8,IF(Deckblatt!$B$14=9,'translation List'!T$9,IF(Deckblatt!$B$14=10,'translation List'!T$10,IF(Deckblatt!$B$14=11,'translation List'!T$11,IF(Deckblatt!$B$14=12,'translation List'!T$12))))))))))))</f>
        <v>Solid</v>
      </c>
      <c r="B7" s="179"/>
      <c r="C7" s="180"/>
      <c r="D7" s="176" t="s">
        <v>20</v>
      </c>
      <c r="E7" s="174"/>
      <c r="F7" s="174"/>
      <c r="G7" s="69">
        <f>R7</f>
        <v>1.2000000000000002</v>
      </c>
      <c r="H7" s="24" t="s">
        <v>18</v>
      </c>
      <c r="I7" s="183" t="str">
        <f>IF(Deckblatt!$B$14=1,'translation List'!V$1,IF(Deckblatt!$B$14=2,'translation List'!V$2,IF(Deckblatt!$B$14=3,'translation List'!V$3,IF(Deckblatt!$B$14=4,'translation List'!V$4,IF(Deckblatt!$B$14=5,'translation List'!V$5,IF(Deckblatt!$B$14=6,'translation List'!V$6,IF(Deckblatt!$B$14=7,'translation List'!V$7,IF(Deckblatt!$B$14=8,'translation List'!V$8,IF(Deckblatt!$B$14=9,'translation List'!V$9,IF(Deckblatt!$B$14=10,'translation List'!V$10,IF(Deckblatt!$B$14=11,'translation List'!V$11,IF(Deckblatt!$B$14=12,'translation List'!V$12))))))))))))</f>
        <v>Solid content</v>
      </c>
      <c r="J7" s="184"/>
      <c r="K7" s="184"/>
      <c r="L7" s="185"/>
      <c r="M7" s="191">
        <f>(G7/M8)*100</f>
        <v>30.000000000000004</v>
      </c>
      <c r="N7" s="192"/>
      <c r="O7" s="6" t="s">
        <v>19</v>
      </c>
      <c r="P7" s="84" t="s">
        <v>46</v>
      </c>
      <c r="Q7" s="98">
        <v>3</v>
      </c>
      <c r="R7" s="85">
        <f>Q7*R6</f>
        <v>1.2000000000000002</v>
      </c>
      <c r="S7" s="85">
        <f>Q7-R7</f>
        <v>1.7999999999999998</v>
      </c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</row>
    <row r="8" spans="1:45" ht="18" customHeight="1">
      <c r="A8" s="179" t="str">
        <f>IF(Deckblatt!$B$14=1,'translation List'!Y$1,IF(Deckblatt!$B$14=2,'translation List'!Y$2,IF(Deckblatt!$B$14=3,'translation List'!Y$3,IF(Deckblatt!$B$14=4,'translation List'!Y$4,IF(Deckblatt!$B$14=5,'translation List'!Y$5,IF(Deckblatt!$B$14=6,'translation List'!Y$6,IF(Deckblatt!$B$14=7,'translation List'!Y$7,IF(Deckblatt!$B$14=8,'translation List'!Y$8,IF(Deckblatt!$B$14=9,'translation List'!Y$9,IF(Deckblatt!$B$14=10,'translation List'!Y$10,IF(Deckblatt!$B$14=11,'translation List'!Y$11,IF(Deckblatt!$B$14=12,'translation List'!Y$12))))))))))))</f>
        <v>Dispersant</v>
      </c>
      <c r="B8" s="179"/>
      <c r="C8" s="180"/>
      <c r="D8" s="174" t="s">
        <v>24</v>
      </c>
      <c r="E8" s="174"/>
      <c r="F8" s="174"/>
      <c r="G8" s="67"/>
      <c r="H8" s="24" t="s">
        <v>18</v>
      </c>
      <c r="I8" s="183" t="str">
        <f>IF(Deckblatt!$B$14=1,'translation List'!W$1,IF(Deckblatt!$B$14=2,'translation List'!W$2,IF(Deckblatt!$B$14=3,'translation List'!W$3,IF(Deckblatt!$B$14=4,'translation List'!W$4,IF(Deckblatt!$B$14=5,'translation List'!W$5,IF(Deckblatt!$B$14=6,'translation List'!W$6,IF(Deckblatt!$B$14=7,'translation List'!W$7,IF(Deckblatt!$B$14=8,'translation List'!W$8,IF(Deckblatt!$B$14=9,'translation List'!W$9,IF(Deckblatt!$B$14=10,'translation List'!W$10,IF(Deckblatt!$B$14=11,'translation List'!W$11,IF(Deckblatt!$B$14=12,'translation List'!W$12))))))))))))</f>
        <v>Total mass</v>
      </c>
      <c r="J8" s="184"/>
      <c r="K8" s="184"/>
      <c r="L8" s="185"/>
      <c r="M8" s="204">
        <f>SUM(G7:G9)</f>
        <v>4</v>
      </c>
      <c r="N8" s="205"/>
      <c r="O8" s="6" t="s">
        <v>18</v>
      </c>
      <c r="P8" s="84" t="s">
        <v>47</v>
      </c>
      <c r="Q8" s="85">
        <v>1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45" ht="18" customHeight="1">
      <c r="A9" s="208" t="str">
        <f>IF(Deckblatt!$B$14=1,'translation List'!Z$1,IF(Deckblatt!$B$14=2,'translation List'!Z$2,IF(Deckblatt!$B$14=3,'translation List'!Z$3,IF(Deckblatt!$B$14=4,'translation List'!Z$4,IF(Deckblatt!$B$14=5,'translation List'!Z$5,IF(Deckblatt!$B$14=6,'translation List'!Z$6,IF(Deckblatt!$B$14=7,'translation List'!Z$7,IF(Deckblatt!$B$14=8,'translation List'!Z$8,IF(Deckblatt!$B$14=9,'translation List'!Z$9,IF(Deckblatt!$B$14=10,'translation List'!Z$10,IF(Deckblatt!$B$14=11,'translation List'!Z$11,IF(Deckblatt!$B$14=12,'translation List'!Z$12))))))))))))</f>
        <v>Solvent</v>
      </c>
      <c r="B9" s="208"/>
      <c r="C9" s="209"/>
      <c r="D9" s="206" t="s">
        <v>25</v>
      </c>
      <c r="E9" s="206"/>
      <c r="F9" s="206"/>
      <c r="G9" s="70">
        <f>Q8+S7</f>
        <v>2.8</v>
      </c>
      <c r="H9" s="7" t="s">
        <v>18</v>
      </c>
      <c r="I9" s="201" t="str">
        <f>IF(Deckblatt!$B$14=1,'translation List'!X$1,IF(Deckblatt!$B$14=2,'translation List'!X$2,IF(Deckblatt!$B$14=3,'translation List'!X$3,IF(Deckblatt!$B$14=4,'translation List'!X$4,IF(Deckblatt!$B$14=5,'translation List'!X$5,IF(Deckblatt!$B$14=6,'translation List'!X$6,IF(Deckblatt!$B$14=7,'translation List'!X$7,IF(Deckblatt!$B$14=8,'translation List'!X$8,IF(Deckblatt!$B$14=9,'translation List'!X$9,IF(Deckblatt!$B$14=10,'translation List'!X$10,IF(Deckblatt!$B$14=11,'translation List'!X$11,IF(Deckblatt!$B$14=12,'translation List'!X$12))))))))))))</f>
        <v>Density</v>
      </c>
      <c r="J9" s="202"/>
      <c r="K9" s="202"/>
      <c r="L9" s="203"/>
      <c r="M9" s="200"/>
      <c r="N9" s="200"/>
      <c r="O9" s="9" t="s">
        <v>26</v>
      </c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45" ht="18" customHeight="1">
      <c r="A10" s="243" t="str">
        <f>IF(Deckblatt!$B$14=1,'translation List'!AA$1,IF(Deckblatt!$B$14=2,'translation List'!AA$2,IF(Deckblatt!$B$14=3,'translation List'!AA$3,IF(Deckblatt!$B$14=4,'translation List'!AA$4,IF(Deckblatt!$B$14=5,'translation List'!AA$5,IF(Deckblatt!$B$14=6,'translation List'!AA$6,IF(Deckblatt!$B$14=7,'translation List'!AA$7,IF(Deckblatt!$B$14=8,'translation List'!AA$8,IF(Deckblatt!$B$14=9,'translation List'!AA$9,IF(Deckblatt!$B$14=10,'translation List'!AA$10,IF(Deckblatt!$B$14=11,'translation List'!AA$11,IF(Deckblatt!$B$14=12,'translation List'!AA$12))))))))))))</f>
        <v>Material preparation</v>
      </c>
      <c r="B10" s="162"/>
      <c r="C10" s="162"/>
      <c r="D10" s="163"/>
      <c r="E10" s="164" t="s">
        <v>58</v>
      </c>
      <c r="F10" s="165"/>
      <c r="G10" s="165"/>
      <c r="H10" s="165"/>
      <c r="I10" s="165"/>
      <c r="J10" s="165"/>
      <c r="K10" s="166"/>
      <c r="L10" s="167" t="str">
        <f>IF(Deckblatt!$B$14=1,'translation List'!AB$1,IF(Deckblatt!$B$14=2,'translation List'!AB$2,IF(Deckblatt!$B$14=3,'translation List'!AB$3,IF(Deckblatt!$B$14=4,'translation List'!AB$4,IF(Deckblatt!$B$14=5,'translation List'!AB$5,IF(Deckblatt!$B$14=6,'translation List'!AB$6,IF(Deckblatt!$B$14=7,'translation List'!AB$7,IF(Deckblatt!$B$14=8,'translation List'!AB$8,IF(Deckblatt!$B$14=9,'translation List'!AB$9,IF(Deckblatt!$B$14=10,'translation List'!AB$10,IF(Deckblatt!$B$14=11,'translation List'!AB$11,IF(Deckblatt!$B$14=12,'translation List'!AB$12))))))))))))</f>
        <v>Duration</v>
      </c>
      <c r="M10" s="163"/>
      <c r="N10" s="71"/>
      <c r="O10" s="25" t="s">
        <v>28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ht="18" customHeight="1">
      <c r="A11" s="246" t="str">
        <f>IF(Deckblatt!$B$14=1,'translation List'!BK$1,IF(Deckblatt!$B$14=2,'translation List'!BK$2,IF(Deckblatt!$B$14=3,'translation List'!BK$3,IF(Deckblatt!$B$14=4,'translation List'!BK$4,IF(Deckblatt!$B$14=5,'translation List'!BK$5,IF(Deckblatt!$B$14=6,'translation List'!BK$6,IF(Deckblatt!$B$14=7,'translation List'!BK$7,IF(Deckblatt!$B$14=8,'translation List'!BJ$8,IF(Deckblatt!$B$14=9,'translation List'!BK$9,IF(Deckblatt!$B$14=10,'translation List'!BK$10,IF(Deckblatt!$B$14=11,'translation List'!BK$11,IF(Deckblatt!$B$14=12,'translation List'!BK$12))))))))))))</f>
        <v>quality requirements</v>
      </c>
      <c r="B11" s="221"/>
      <c r="C11" s="221"/>
      <c r="D11" s="222"/>
      <c r="E11" s="173" t="s">
        <v>29</v>
      </c>
      <c r="F11" s="174"/>
      <c r="G11" s="174"/>
      <c r="H11" s="174"/>
      <c r="I11" s="174"/>
      <c r="J11" s="174"/>
      <c r="K11" s="174"/>
      <c r="L11" s="174"/>
      <c r="M11" s="174"/>
      <c r="N11" s="174"/>
      <c r="O11" s="247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ht="18" customHeight="1">
      <c r="A12" s="248" t="str">
        <f>IF(Deckblatt!$B$14=1,'translation List'!AD$1,IF(Deckblatt!$B$14=2,'translation List'!AD$2,IF(Deckblatt!$B$14=3,'translation List'!AD$3,IF(Deckblatt!$B$14=4,'translation List'!AD$4,IF(Deckblatt!$B$14=5,'translation List'!AD$5,IF(Deckblatt!$B$14=6,'translation List'!AD$6,IF(Deckblatt!$B$14=7,'translation List'!AD$7,IF(Deckblatt!$B$14=8,'translation List'!AD$8,IF(Deckblatt!$B$14=9,'translation List'!AD$9,IF(Deckblatt!$B$14=10,'translation List'!AD$10,IF(Deckblatt!$B$14=11,'translation List'!AD$11,IF(Deckblatt!$B$14=12,'translation List'!AD$12))))))))))))</f>
        <v>Target fineness</v>
      </c>
      <c r="B12" s="171"/>
      <c r="C12" s="172"/>
      <c r="D12" s="82">
        <v>50</v>
      </c>
      <c r="E12" s="170">
        <v>0.1</v>
      </c>
      <c r="F12" s="170"/>
      <c r="G12" s="32" t="s">
        <v>30</v>
      </c>
      <c r="H12" s="82">
        <v>90</v>
      </c>
      <c r="I12" s="200">
        <v>0.15</v>
      </c>
      <c r="J12" s="200"/>
      <c r="K12" s="12" t="s">
        <v>30</v>
      </c>
      <c r="L12" s="83">
        <v>95</v>
      </c>
      <c r="M12" s="200"/>
      <c r="N12" s="200"/>
      <c r="O12" s="9" t="s">
        <v>30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5" ht="18" customHeight="1">
      <c r="A13" s="250">
        <f>MAX(G26:O26)</f>
        <v>0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18" customHeight="1">
      <c r="A14" s="239" t="str">
        <f>IF(Deckblatt!$B$14=1,'translation List'!AE$1,IF(Deckblatt!$B$14=2,'translation List'!AE$2,IF(Deckblatt!$B$14=3,'translation List'!AE$3,IF(Deckblatt!$B$14=4,'translation List'!AE$4,IF(Deckblatt!$B$14=5,'translation List'!AE$5,IF(Deckblatt!$B$14=6,'translation List'!AE$6,IF(Deckblatt!$B$14=7,'translation List'!AE$7,IF(Deckblatt!$B$14=8,'translation List'!AE$8,IF(Deckblatt!$B$14=9,'translation List'!AE$9,IF(Deckblatt!$B$14=10,'translation List'!AE$10,IF(Deckblatt!$B$14=11,'translation List'!AE$11,IF(Deckblatt!$B$14=12,'translation List'!AE$12))))))))))))</f>
        <v>Operation mode</v>
      </c>
      <c r="B14" s="160"/>
      <c r="C14" s="160"/>
      <c r="D14" s="160"/>
      <c r="E14" s="160"/>
      <c r="F14" s="161"/>
      <c r="G14" s="158" t="str">
        <f>IF(Deckblatt!$B$14=1,'translation List'!BG$1,IF(Deckblatt!$B$14=2,'translation List'!BG$2,IF(Deckblatt!$B$14=3,'translation List'!BG$3,IF(Deckblatt!$B$14=4,'translation List'!BG$4,IF(Deckblatt!$B$14=5,'translation List'!BG$5,IF(Deckblatt!$B$14=6,'translation List'!BG$6,IF(Deckblatt!$B$14=7,'translation List'!BG$7,IF(Deckblatt!$B$14=8,'translation List'!BG$8,IF(Deckblatt!$B$14=9,'translation List'!BG$9,IF(Deckblatt!$B$14=10,'translation List'!BG$10,IF(Deckblatt!$B$14=11,'translation List'!BG$11,IF(Deckblatt!$B$14=12,'translation List'!BG$12))))))))))))</f>
        <v>Circulation</v>
      </c>
      <c r="H14" s="159"/>
      <c r="I14" s="159"/>
      <c r="J14" s="159"/>
      <c r="K14" s="159"/>
      <c r="L14" s="159"/>
      <c r="M14" s="159"/>
      <c r="N14" s="159"/>
      <c r="O14" s="251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18" customHeight="1">
      <c r="A15" s="239" t="str">
        <f>IF(Deckblatt!$B$14=1,'translation List'!AF$1,IF(Deckblatt!$B$14=2,'translation List'!AF$2,IF(Deckblatt!$B$14=3,'translation List'!AF$3,IF(Deckblatt!$B$14=4,'translation List'!AF$4,IF(Deckblatt!$B$14=5,'translation List'!AF$5,IF(Deckblatt!$B$14=6,'translation List'!AF$6,IF(Deckblatt!$B$14=7,'translation List'!AF$7,IF(Deckblatt!$B$14=8,'translation List'!AF$8,IF(Deckblatt!$B$14=9,'translation List'!AF$9,IF(Deckblatt!$B$14=10,'translation List'!AF$10,IF(Deckblatt!$B$14=11,'translation List'!AF$11,IF(Deckblatt!$B$14=12,'translation List'!AF$12))))))))))))</f>
        <v>Test version</v>
      </c>
      <c r="B15" s="160"/>
      <c r="C15" s="160"/>
      <c r="D15" s="160"/>
      <c r="E15" s="161"/>
      <c r="F15" s="8">
        <v>0</v>
      </c>
      <c r="G15" s="74">
        <v>1</v>
      </c>
      <c r="H15" s="74">
        <v>2</v>
      </c>
      <c r="I15" s="74">
        <v>3</v>
      </c>
      <c r="J15" s="74">
        <v>4</v>
      </c>
      <c r="K15" s="74">
        <v>5</v>
      </c>
      <c r="L15" s="74">
        <v>6</v>
      </c>
      <c r="M15" s="74">
        <v>7</v>
      </c>
      <c r="N15" s="74">
        <v>8</v>
      </c>
      <c r="O15" s="75">
        <v>9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</row>
    <row r="16" spans="1:45" ht="18" customHeight="1">
      <c r="A16" s="252" t="str">
        <f>IF(Deckblatt!$B$14=1,'translation List'!AG$1,IF(Deckblatt!$B$14=2,'translation List'!AG$2,IF(Deckblatt!$B$14=3,'translation List'!AG$3,IF(Deckblatt!$B$14=4,'translation List'!AG$4,IF(Deckblatt!$B$14=5,'translation List'!AG$5,IF(Deckblatt!$B$14=6,'translation List'!AG$6,IF(Deckblatt!$B$14=7,'translation List'!AG$7,IF(Deckblatt!$B$14=8,'translation List'!AG$8,IF(Deckblatt!$B$14=9,'translation List'!AG$9,IF(Deckblatt!$B$14=10,'translation List'!AG$10,IF(Deckblatt!$B$14=11,'translation List'!AG$11,IF(Deckblatt!$B$14=12,'translation List'!AG$12))))))))))))</f>
        <v>Running time</v>
      </c>
      <c r="B16" s="197"/>
      <c r="C16" s="197"/>
      <c r="D16" s="198" t="s">
        <v>31</v>
      </c>
      <c r="E16" s="199"/>
      <c r="F16" s="72">
        <v>0</v>
      </c>
      <c r="G16" s="284" t="s">
        <v>59</v>
      </c>
      <c r="H16" s="285"/>
      <c r="I16" s="285"/>
      <c r="J16" s="285"/>
      <c r="K16" s="285"/>
      <c r="L16" s="285"/>
      <c r="M16" s="285"/>
      <c r="N16" s="285"/>
      <c r="O16" s="286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45" ht="18" customHeight="1">
      <c r="A17" s="249" t="str">
        <f>IF(Deckblatt!$B$14=1,'translation List'!AI$1,IF(Deckblatt!$B$14=2,'translation List'!AI$2,IF(Deckblatt!$B$14=3,'translation List'!AI$3,IF(Deckblatt!$B$14=4,'translation List'!AI$4,IF(Deckblatt!$B$14=5,'translation List'!AI$5,IF(Deckblatt!$B$14=6,'translation List'!AI$6,IF(Deckblatt!$B$14=7,'translation List'!AI$7,IF(Deckblatt!$B$14=8,'translation List'!AI$8,IF(Deckblatt!$B$14=9,'translation List'!AI$9,IF(Deckblatt!$B$14=10,'translation List'!AI$10,IF(Deckblatt!$B$14=11,'translation List'!AI$11,IF(Deckblatt!$B$14=12,'translation List'!AI$12))))))))))))</f>
        <v>Agitator speed</v>
      </c>
      <c r="B17" s="168"/>
      <c r="C17" s="169"/>
      <c r="D17" s="156" t="s">
        <v>32</v>
      </c>
      <c r="E17" s="157"/>
      <c r="F17" s="218"/>
      <c r="G17" s="287"/>
      <c r="H17" s="288"/>
      <c r="I17" s="288"/>
      <c r="J17" s="288"/>
      <c r="K17" s="288"/>
      <c r="L17" s="288"/>
      <c r="M17" s="288"/>
      <c r="N17" s="288"/>
      <c r="O17" s="289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45" ht="18" customHeight="1">
      <c r="A18" s="249" t="str">
        <f>IF(Deckblatt!$B$14=1,'translation List'!AJ$1,IF(Deckblatt!$B$14=2,'translation List'!AJ$2,IF(Deckblatt!$B$14=3,'translation List'!AJ$3,IF(Deckblatt!$B$14=4,'translation List'!AJ$4,IF(Deckblatt!$B$14=5,'translation List'!AJ$5,IF(Deckblatt!$B$14=6,'translation List'!AJ$6,IF(Deckblatt!$B$14=7,'translation List'!AJ$7,IF(Deckblatt!$B$14=8,'translation List'!AJ$8,IF(Deckblatt!$B$14=9,'translation List'!AJ$9,IF(Deckblatt!$B$14=10,'translation List'!AJ$10,IF(Deckblatt!$B$14=11,'translation List'!AJ$11,IF(Deckblatt!$B$14=12,'translation List'!AJ$12))))))))))))</f>
        <v>Throughput</v>
      </c>
      <c r="B18" s="168"/>
      <c r="C18" s="169"/>
      <c r="D18" s="156" t="s">
        <v>33</v>
      </c>
      <c r="E18" s="157"/>
      <c r="F18" s="219"/>
      <c r="G18" s="78"/>
      <c r="H18" s="78"/>
      <c r="I18" s="78"/>
      <c r="J18" s="78"/>
      <c r="K18" s="78"/>
      <c r="L18" s="78"/>
      <c r="M18" s="78"/>
      <c r="N18" s="78"/>
      <c r="O18" s="79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45" ht="18" customHeight="1">
      <c r="A19" s="249" t="str">
        <f>IF(Deckblatt!$B$14=1,'translation List'!AK$1,IF(Deckblatt!$B$14=2,'translation List'!AK$2,IF(Deckblatt!$B$14=3,'translation List'!AK$3,IF(Deckblatt!$B$14=4,'translation List'!AK$4,IF(Deckblatt!$B$14=5,'translation List'!AK$5,IF(Deckblatt!$B$14=6,'translation List'!AK$6,IF(Deckblatt!$B$14=7,'translation List'!AK$7,IF(Deckblatt!$B$14=8,'translation List'!AK$8,IF(Deckblatt!$B$14=9,'translation List'!AK$9,IF(Deckblatt!$B$14=10,'translation List'!AK$10,IF(Deckblatt!$B$14=11,'translation List'!AK$11,IF(Deckblatt!$B$14=12,'translation List'!AK$12))))))))))))</f>
        <v>Pump speed</v>
      </c>
      <c r="B19" s="168"/>
      <c r="C19" s="169"/>
      <c r="D19" s="156" t="s">
        <v>32</v>
      </c>
      <c r="E19" s="157"/>
      <c r="F19" s="219"/>
      <c r="G19" s="78"/>
      <c r="H19" s="78"/>
      <c r="I19" s="78"/>
      <c r="J19" s="78"/>
      <c r="K19" s="78"/>
      <c r="L19" s="78"/>
      <c r="M19" s="78"/>
      <c r="N19" s="78"/>
      <c r="O19" s="79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</row>
    <row r="20" spans="1:45" ht="18" customHeight="1">
      <c r="A20" s="249" t="str">
        <f>IF(Deckblatt!$B$14=1,'translation List'!AL$1,IF(Deckblatt!$B$14=2,'translation List'!AL$2,IF(Deckblatt!$B$14=3,'translation List'!AL$3,IF(Deckblatt!$B$14=4,'translation List'!AL$4,IF(Deckblatt!$B$14=5,'translation List'!AL$5,IF(Deckblatt!$B$14=6,'translation List'!AL$6,IF(Deckblatt!$B$14=7,'translation List'!AL$7,IF(Deckblatt!$B$14=8,'translation List'!AL$8,IF(Deckblatt!$B$14=9,'translation List'!AL$9,IF(Deckblatt!$B$14=10,'translation List'!AL$10,IF(Deckblatt!$B$14=11,'translation List'!AL$11,IF(Deckblatt!$B$14=12,'translation List'!AL$12))))))))))))</f>
        <v>Pressure</v>
      </c>
      <c r="B20" s="168"/>
      <c r="C20" s="169"/>
      <c r="D20" s="156" t="s">
        <v>34</v>
      </c>
      <c r="E20" s="157"/>
      <c r="F20" s="219"/>
      <c r="G20" s="78"/>
      <c r="H20" s="78"/>
      <c r="I20" s="78"/>
      <c r="J20" s="78"/>
      <c r="K20" s="78"/>
      <c r="L20" s="78"/>
      <c r="M20" s="78"/>
      <c r="N20" s="78"/>
      <c r="O20" s="79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</row>
    <row r="21" spans="1:45" ht="18" customHeight="1">
      <c r="A21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1" s="168"/>
      <c r="C21" s="169"/>
      <c r="D21" s="156" t="s">
        <v>35</v>
      </c>
      <c r="E21" s="157"/>
      <c r="F21" s="219"/>
      <c r="G21" s="78"/>
      <c r="H21" s="78"/>
      <c r="L21" s="78"/>
      <c r="M21" s="78"/>
      <c r="N21" s="78"/>
      <c r="O21" s="79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45" ht="18" customHeight="1">
      <c r="A22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2" s="168"/>
      <c r="C22" s="169"/>
      <c r="D22" s="156" t="s">
        <v>36</v>
      </c>
      <c r="E22" s="157"/>
      <c r="F22" s="219"/>
      <c r="G22" s="87"/>
      <c r="H22" s="87"/>
      <c r="I22" s="78"/>
      <c r="J22" s="78"/>
      <c r="K22" s="78"/>
      <c r="L22" s="78"/>
      <c r="M22" s="78"/>
      <c r="N22" s="78"/>
      <c r="O22" s="7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45" ht="18" customHeight="1">
      <c r="A23" s="249" t="str">
        <f>IF(Deckblatt!$B$14=1,'translation List'!AN$1,IF(Deckblatt!$B$14=2,'translation List'!AN$2,IF(Deckblatt!$B$14=3,'translation List'!AN$3,IF(Deckblatt!$B$14=4,'translation List'!AN$4,IF(Deckblatt!$B$14=5,'translation List'!AN$5,IF(Deckblatt!$B$14=6,'translation List'!AN$6,IF(Deckblatt!$B$14=7,'translation List'!AN$7,IF(Deckblatt!$B$14=8,'translation List'!AN$8,IF(Deckblatt!$B$14=9,'translation List'!AN$9,IF(Deckblatt!$B$14=10,'translation List'!AN$10,IF(Deckblatt!$B$14=11,'translation List'!AN$11,IF(Deckblatt!$B$14=12,'translation List'!AN$12))))))))))))</f>
        <v>Gross power</v>
      </c>
      <c r="B23" s="168"/>
      <c r="C23" s="169"/>
      <c r="D23" s="156" t="s">
        <v>37</v>
      </c>
      <c r="E23" s="157"/>
      <c r="F23" s="219"/>
      <c r="G23" s="78"/>
      <c r="H23" s="78"/>
      <c r="I23" s="78"/>
      <c r="J23" s="78"/>
      <c r="K23" s="78"/>
      <c r="L23" s="78"/>
      <c r="M23" s="78"/>
      <c r="N23" s="78"/>
      <c r="O23" s="7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45" ht="18" customHeight="1">
      <c r="A24" s="249" t="str">
        <f>IF(Deckblatt!$B$14=1,'translation List'!AO$1,IF(Deckblatt!$B$14=2,'translation List'!AO$2,IF(Deckblatt!$B$14=3,'translation List'!AO$3,IF(Deckblatt!$B$14=4,'translation List'!AO$4,IF(Deckblatt!$B$14=5,'translation List'!AO$5,IF(Deckblatt!$B$14=6,'translation List'!AO$6,IF(Deckblatt!$B$14=7,'translation List'!AO$7,IF(Deckblatt!$B$14=8,'translation List'!AO$8,IF(Deckblatt!$B$14=9,'translation List'!AO$9,IF(Deckblatt!$B$14=10,'translation List'!AO$10,IF(Deckblatt!$B$14=11,'translation List'!AO$11,IF(Deckblatt!$B$14=12,'translation List'!AO$12))))))))))))</f>
        <v>Net power input</v>
      </c>
      <c r="B24" s="168"/>
      <c r="C24" s="169"/>
      <c r="D24" s="156" t="s">
        <v>38</v>
      </c>
      <c r="E24" s="157"/>
      <c r="F24" s="220"/>
      <c r="G24" s="78"/>
      <c r="H24" s="78"/>
      <c r="I24" s="78"/>
      <c r="J24" s="78"/>
      <c r="K24" s="78"/>
      <c r="L24" s="78"/>
      <c r="M24" s="78"/>
      <c r="N24" s="78"/>
      <c r="O24" s="79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45" ht="18" customHeight="1">
      <c r="A25" s="249" t="str">
        <f>IF(Deckblatt!$B$14=1,'translation List'!AP$1,IF(Deckblatt!$B$14=2,'translation List'!AP$2,IF(Deckblatt!$B$14=3,'translation List'!AP$3,IF(Deckblatt!$B$14=4,'translation List'!AP$4,IF(Deckblatt!$B$14=5,'translation List'!AP$5,IF(Deckblatt!$B$14=6,'translation List'!AP$6,IF(Deckblatt!$B$14=7,'translation List'!AP$7,IF(Deckblatt!$B$14=8,'translation List'!AP$8,IF(Deckblatt!$B$14=9,'translation List'!AP$9,IF(Deckblatt!$B$14=10,'translation List'!AP$10,IF(Deckblatt!$B$14=11,'translation List'!AP$11,IF(Deckblatt!$B$14=12,'translation List'!AP$12))))))))))))</f>
        <v>Grinding energy input</v>
      </c>
      <c r="B25" s="168"/>
      <c r="C25" s="169"/>
      <c r="D25" s="156" t="s">
        <v>39</v>
      </c>
      <c r="E25" s="157"/>
      <c r="F25" s="73"/>
      <c r="G25" s="78"/>
      <c r="H25" s="78"/>
      <c r="I25" s="78"/>
      <c r="J25" s="78"/>
      <c r="K25" s="78"/>
      <c r="L25" s="78"/>
      <c r="M25" s="78"/>
      <c r="N25" s="78"/>
      <c r="O25" s="79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</row>
    <row r="26" spans="1:45" ht="18" customHeight="1">
      <c r="A26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6" s="168"/>
      <c r="C26" s="169"/>
      <c r="D26" s="154" t="s">
        <v>50</v>
      </c>
      <c r="E26" s="155"/>
      <c r="F26" s="28">
        <v>0</v>
      </c>
      <c r="G26" s="80"/>
      <c r="H26" s="80"/>
      <c r="I26" s="80"/>
      <c r="J26" s="80"/>
      <c r="K26" s="80"/>
      <c r="L26" s="80"/>
      <c r="M26" s="80"/>
      <c r="N26" s="80"/>
      <c r="O26" s="80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</row>
    <row r="27" spans="1:45" ht="18" customHeight="1">
      <c r="A27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7" s="168"/>
      <c r="C27" s="169"/>
      <c r="D27" s="154" t="s">
        <v>40</v>
      </c>
      <c r="E27" s="155"/>
      <c r="F27" s="28">
        <v>0</v>
      </c>
      <c r="G27" s="100"/>
      <c r="H27" s="100"/>
      <c r="I27" s="100"/>
      <c r="J27" s="100"/>
      <c r="K27" s="100"/>
      <c r="L27" s="80"/>
      <c r="M27" s="80"/>
      <c r="N27" s="80"/>
      <c r="O27" s="103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ht="18" customHeight="1">
      <c r="A28" s="253" t="str">
        <f>IF(Deckblatt!$B$14=1,'translation List'!AR$1,IF(Deckblatt!$B$14=2,'translation List'!AR$2,IF(Deckblatt!$B$14=3,'translation List'!AR$3,IF(Deckblatt!$B$14=4,'translation List'!AR$4,IF(Deckblatt!$B$14=5,'translation List'!AR$5,IF(Deckblatt!$B$14=6,'translation List'!AR$6,IF(Deckblatt!$B$14=7,'translation List'!AR$7,IF(Deckblatt!$B$14=8,'translation List'!AR$8,IF(Deckblatt!$B$14=9,'translation List'!AR$9,IF(Deckblatt!$B$14=10,'translation List'!AR$10,IF(Deckblatt!$B$14=11,'translation List'!AR$11,IF(Deckblatt!$B$14=12,'translation List'!AR$12))))))))))))</f>
        <v>Particle size</v>
      </c>
      <c r="B28" s="212" t="s">
        <v>41</v>
      </c>
      <c r="C28" s="213" t="s">
        <v>42</v>
      </c>
      <c r="D28" s="62">
        <f>D12</f>
        <v>50</v>
      </c>
      <c r="E28" s="63" t="s">
        <v>43</v>
      </c>
      <c r="F28" s="73">
        <v>2.0099999999999998</v>
      </c>
      <c r="G28" s="78"/>
      <c r="H28" s="78"/>
      <c r="I28" s="78"/>
      <c r="J28" s="78"/>
      <c r="K28" s="78"/>
      <c r="L28" s="78"/>
      <c r="M28" s="78"/>
      <c r="N28" s="78"/>
      <c r="O28" s="79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</row>
    <row r="29" spans="1:45" ht="18" customHeight="1">
      <c r="A29" s="254"/>
      <c r="B29" s="212"/>
      <c r="C29" s="214"/>
      <c r="D29" s="62">
        <f>H12</f>
        <v>90</v>
      </c>
      <c r="E29" s="63" t="s">
        <v>43</v>
      </c>
      <c r="F29" s="73">
        <v>3.93</v>
      </c>
      <c r="G29" s="78"/>
      <c r="H29" s="78"/>
      <c r="I29" s="78"/>
      <c r="J29" s="78"/>
      <c r="K29" s="78"/>
      <c r="L29" s="78"/>
      <c r="M29" s="78"/>
      <c r="N29" s="78"/>
      <c r="O29" s="79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ht="18" customHeight="1">
      <c r="A30" s="255"/>
      <c r="B30" s="212"/>
      <c r="C30" s="215"/>
      <c r="D30" s="64">
        <f>L12</f>
        <v>95</v>
      </c>
      <c r="E30" s="63" t="s">
        <v>43</v>
      </c>
      <c r="F30" s="73">
        <v>4.58</v>
      </c>
      <c r="G30" s="78"/>
      <c r="H30" s="78"/>
      <c r="I30" s="78"/>
      <c r="J30" s="78"/>
      <c r="K30" s="78"/>
      <c r="L30" s="78"/>
      <c r="M30" s="78"/>
      <c r="N30" s="78"/>
      <c r="O30" s="7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1" spans="1:45" ht="18" customHeight="1">
      <c r="A31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1" s="168"/>
      <c r="C31" s="169"/>
      <c r="D31" s="210" t="s">
        <v>51</v>
      </c>
      <c r="E31" s="211"/>
      <c r="F31" s="99"/>
      <c r="G31" s="78"/>
      <c r="H31" s="78"/>
      <c r="I31" s="78"/>
      <c r="J31" s="78"/>
      <c r="K31" s="78"/>
      <c r="L31" s="78"/>
      <c r="M31" s="78"/>
      <c r="N31" s="78"/>
      <c r="O31" s="7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</row>
    <row r="32" spans="1:45" ht="18" customHeight="1">
      <c r="A32" s="256" t="str">
        <f>IF(Deckblatt!$B$14=1,'translation List'!AT$1,IF(Deckblatt!$B$14=2,'translation List'!AT$2,IF(Deckblatt!$B$14=3,'translation List'!AT$3,IF(Deckblatt!$B$14=4,'translation List'!AT$4,IF(Deckblatt!$B$14=5,'translation List'!AT$5,IF(Deckblatt!$B$14=6,'translation List'!AT$6,IF(Deckblatt!$B$14=7,'translation List'!AT$7,IF(Deckblatt!$B$14=8,'translation List'!AT$8,IF(Deckblatt!$B$14=9,'translation List'!AT$9,IF(Deckblatt!$B$14=10,'translation List'!AT$10,IF(Deckblatt!$B$14=11,'translation List'!AT$11,IF(Deckblatt!$B$14=12,'translation List'!AT$12))))))))))))</f>
        <v>Theoretical circles</v>
      </c>
      <c r="B32" s="233"/>
      <c r="C32" s="233"/>
      <c r="D32" s="231" t="s">
        <v>44</v>
      </c>
      <c r="E32" s="232"/>
      <c r="F32" s="101">
        <v>0</v>
      </c>
      <c r="G32" s="102" t="e">
        <f t="shared" ref="G32:O32" si="0">((G18/60)/$M8)*(G16-F16)+F32</f>
        <v>#VALUE!</v>
      </c>
      <c r="H32" s="102" t="e">
        <f t="shared" si="0"/>
        <v>#VALUE!</v>
      </c>
      <c r="I32" s="102" t="e">
        <f t="shared" si="0"/>
        <v>#VALUE!</v>
      </c>
      <c r="J32" s="102" t="e">
        <f t="shared" si="0"/>
        <v>#VALUE!</v>
      </c>
      <c r="K32" s="102" t="e">
        <f t="shared" si="0"/>
        <v>#VALUE!</v>
      </c>
      <c r="L32" s="102" t="e">
        <f t="shared" si="0"/>
        <v>#VALUE!</v>
      </c>
      <c r="M32" s="102" t="e">
        <f t="shared" si="0"/>
        <v>#VALUE!</v>
      </c>
      <c r="N32" s="102" t="e">
        <f t="shared" si="0"/>
        <v>#VALUE!</v>
      </c>
      <c r="O32" s="102" t="e">
        <f t="shared" si="0"/>
        <v>#VALUE!</v>
      </c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ht="18" customHeight="1">
      <c r="A33" s="257" t="str">
        <f>IF(Deckblatt!$B$14=1,'translation List'!AU$1,IF(Deckblatt!$B$14=2,'translation List'!AU$2,IF(Deckblatt!$B$14=3,'translation List'!AU$3,IF(Deckblatt!$B$14=4,'translation List'!AU$4,IF(Deckblatt!$B$14=5,'translation List'!AU$5,IF(Deckblatt!$B$14=6,'translation List'!AU$6,IF(Deckblatt!$B$14=7,'translation List'!AU$7,IF(Deckblatt!$B$14=8,'translation List'!AU$8,IF(Deckblatt!$B$14=9,'translation List'!AU$9,IF(Deckblatt!$B$14=10,'translation List'!AU$10,IF(Deckblatt!$B$14=11,'translation List'!AU$11,IF(Deckblatt!$B$14=12,'translation List'!AU$12))))))))))))</f>
        <v>Production capacity</v>
      </c>
      <c r="B33" s="258"/>
      <c r="C33" s="259"/>
      <c r="D33" s="172" t="s">
        <v>45</v>
      </c>
      <c r="E33" s="260"/>
      <c r="F33" s="61">
        <v>0</v>
      </c>
      <c r="G33" s="81" t="e">
        <f t="shared" ref="G33:O33" si="1">IF($C$28="Sample from the circulat. tank",$M$8*(60/G16),IF($C$28="Sample from the outlet",(1/((1/($M$8*(60/G16)))+(1/G18))),""))</f>
        <v>#VALUE!</v>
      </c>
      <c r="H33" s="81" t="e">
        <f t="shared" si="1"/>
        <v>#DIV/0!</v>
      </c>
      <c r="I33" s="81" t="e">
        <f t="shared" si="1"/>
        <v>#DIV/0!</v>
      </c>
      <c r="J33" s="81" t="e">
        <f t="shared" si="1"/>
        <v>#DIV/0!</v>
      </c>
      <c r="K33" s="81" t="e">
        <f t="shared" si="1"/>
        <v>#DIV/0!</v>
      </c>
      <c r="L33" s="81" t="e">
        <f t="shared" si="1"/>
        <v>#DIV/0!</v>
      </c>
      <c r="M33" s="81" t="e">
        <f t="shared" si="1"/>
        <v>#DIV/0!</v>
      </c>
      <c r="N33" s="81" t="e">
        <f t="shared" si="1"/>
        <v>#DIV/0!</v>
      </c>
      <c r="O33" s="81" t="e">
        <f t="shared" si="1"/>
        <v>#DIV/0!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</row>
    <row r="34" spans="1:45" ht="18" customHeight="1">
      <c r="A34" s="230" t="s">
        <v>0</v>
      </c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 ht="22.5" customHeight="1">
      <c r="A35" s="261" t="str">
        <f>IF(Deckblatt!$B$14=1,'translation List'!AV$1,IF(Deckblatt!$B$14=2,'translation List'!AV$2,IF(Deckblatt!$B$14=3,'translation List'!AV$3,IF(Deckblatt!$B$14=4,'translation List'!AV$4,IF(Deckblatt!$B$14=5,'translation List'!AV$5,IF(Deckblatt!$B$14=6,'translation List'!AV$6,IF(Deckblatt!$B$14=7,'translation List'!AV$7,IF(Deckblatt!$B$14=8,'translation List'!AV$8,IF(Deckblatt!$B$14=9,'translation List'!AV$9,IF(Deckblatt!$B$14=10,'translation List'!AV$10,IF(Deckblatt!$B$14=11,'translation List'!AV$11,IF(Deckblatt!$B$14=12,'translation List'!AV$12))))))))))))</f>
        <v>Cooling</v>
      </c>
      <c r="B35" s="262"/>
      <c r="C35" s="262"/>
      <c r="D35" s="262"/>
      <c r="E35" s="263"/>
      <c r="F35" s="264" t="str">
        <f>IF(Deckblatt!$B$14=1,'translation List'!BA$1,IF(Deckblatt!$B$14=2,'translation List'!BA$2,IF(Deckblatt!$B$14=3,'translation List'!BA$3,IF(Deckblatt!$B$14=4,'translation List'!BA$4,IF(Deckblatt!$B$14=5,'translation List'!BA$5,IF(Deckblatt!$B$14=6,'translation List'!BA$6,IF(Deckblatt!$B$14=7,'translation List'!BA$7,IF(Deckblatt!$B$14=8,'translation List'!BA$8,IF(Deckblatt!$B$14=9,'translation List'!BA$9,IF(Deckblatt!$B$14=10,'translation List'!BA$10,IF(Deckblatt!$B$14=11,'translation List'!BA$11,IF(Deckblatt!$B$14=12,'translation List'!BA$12))))))))))))</f>
        <v>Grinding chamber</v>
      </c>
      <c r="G35" s="264"/>
      <c r="H35" s="264" t="str">
        <f>IF(Deckblatt!$B$14=1,'translation List'!BB$1,IF(Deckblatt!$B$14=2,'translation List'!BB$2,IF(Deckblatt!$B$14=3,'translation List'!BB$3,IF(Deckblatt!$B$14=4,'translation List'!BB$4,IF(Deckblatt!$B$14=5,'translation List'!BB$5,IF(Deckblatt!$B$14=6,'translation List'!BB$6,IF(Deckblatt!$B$14=7,'translation List'!BB$7,IF(Deckblatt!$B$14=8,'translation List'!BB$8,IF(Deckblatt!$B$14=9,'translation List'!BB$9,IF(Deckblatt!$B$14=10,'translation List'!BB$10,IF(Deckblatt!$B$14=11,'translation List'!BB$11,IF(Deckblatt!$B$14=12,'translation List'!BB$12))))))))))))</f>
        <v>Mechanical seal</v>
      </c>
      <c r="I35" s="264"/>
      <c r="J35" s="264" t="str">
        <f>IF(Deckblatt!$B$14=1,'translation List'!BC$1,IF(Deckblatt!$B$14=2,'translation List'!BC$2,IF(Deckblatt!$B$14=3,'translation List'!BC$3,IF(Deckblatt!$B$14=4,'translation List'!BC$4,IF(Deckblatt!$B$14=5,'translation List'!BC$5,IF(Deckblatt!$B$14=6,'translation List'!BC$6,IF(Deckblatt!$B$14=7,'translation List'!BC$7,IF(Deckblatt!$B$14=8,'translation List'!BC$8,IF(Deckblatt!$B$14=9,'translation List'!BC$9,IF(Deckblatt!$B$14=10,'translation List'!BC$10,IF(Deckblatt!$B$14=11,'translation List'!BC$11,IF(Deckblatt!$B$14=12,'translation List'!BC$12))))))))))))</f>
        <v>Circulation tank</v>
      </c>
      <c r="K35" s="264"/>
      <c r="L35" s="264" t="str">
        <f>IF(Deckblatt!$B$14=1,'translation List'!BD$1,IF(Deckblatt!$B$14=2,'translation List'!BD$2,IF(Deckblatt!$B$14=3,'translation List'!BD$3,IF(Deckblatt!$B$14=4,'translation List'!BD$4,IF(Deckblatt!$B$14=5,'translation List'!BD$5,IF(Deckblatt!$B$14=6,'translation List'!BD$6,IF(Deckblatt!$B$14=7,'translation List'!BD$7,IF(Deckblatt!$B$14=8,'translation List'!BD$8,IF(Deckblatt!$B$14=9,'translation List'!BD$9,IF(Deckblatt!$B$14=10,'translation List'!BD$10,IF(Deckblatt!$B$14=11,'translation List'!BD$11,IF(Deckblatt!$B$14=12,'translation List'!BD$12))))))))))))</f>
        <v>Chiller</v>
      </c>
      <c r="M35" s="264"/>
      <c r="N35" s="264" t="str">
        <f>IF(Deckblatt!$B$14=1,'translation List'!BE$1,IF(Deckblatt!$B$14=2,'translation List'!BE$2,IF(Deckblatt!$B$14=3,'translation List'!BE$3,IF(Deckblatt!$B$14=4,'translation List'!BE$4,IF(Deckblatt!$B$14=5,'translation List'!BE$5,IF(Deckblatt!$B$14=6,'translation List'!BE$6,IF(Deckblatt!$B$14=7,'translation List'!BE$7,IF(Deckblatt!$B$14=8,'translation List'!BE$8,IF(Deckblatt!$B$14=9,'translation List'!BE$9,IF(Deckblatt!$B$14=10,'translation List'!BE$10,IF(Deckblatt!$B$14=11,'translation List'!BE$11,IF(Deckblatt!$B$14=12,'translation List'!BE$12))))))))))))</f>
        <v>Total</v>
      </c>
      <c r="O35" s="26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</row>
    <row r="36" spans="1:45" ht="18" customHeight="1">
      <c r="A36" s="273" t="str">
        <f>IF(Deckblatt!$B$14=1,'translation List'!AW$1,IF(Deckblatt!$B$14=2,'translation List'!AW$2,IF(Deckblatt!$B$14=3,'translation List'!AW$3,IF(Deckblatt!$B$14=4,'translation List'!AW$4,IF(Deckblatt!$B$14=5,'translation List'!AW$5,IF(Deckblatt!$B$14=6,'translation List'!AW$6,IF(Deckblatt!$B$14=7,'translation List'!AW$7,IF(Deckblatt!$B$14=8,'translation List'!AW$8,IF(Deckblatt!$B$14=9,'translation List'!AW$9,IF(Deckblatt!$B$14=10,'translation List'!AW$10,IF(Deckblatt!$B$14=11,'translation List'!AW$11,IF(Deckblatt!$B$14=12,'translation List'!AW$12))))))))))))</f>
        <v>Temperature inlet</v>
      </c>
      <c r="B36" s="274"/>
      <c r="C36" s="275"/>
      <c r="D36" s="276" t="s">
        <v>35</v>
      </c>
      <c r="E36" s="277"/>
      <c r="F36" s="266"/>
      <c r="G36" s="266"/>
      <c r="H36" s="266"/>
      <c r="I36" s="266"/>
      <c r="J36" s="266"/>
      <c r="K36" s="266"/>
      <c r="L36" s="266"/>
      <c r="M36" s="266"/>
      <c r="N36" s="266"/>
      <c r="O36" s="267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</row>
    <row r="37" spans="1:45" ht="18" customHeight="1">
      <c r="A37" s="268" t="str">
        <f>IF(Deckblatt!$B$14=1,'translation List'!AX$1,IF(Deckblatt!$B$14=2,'translation List'!AX$2,IF(Deckblatt!$B$14=3,'translation List'!AX$3,IF(Deckblatt!$B$14=4,'translation List'!AX$4,IF(Deckblatt!$B$14=5,'translation List'!AX$5,IF(Deckblatt!$B$14=6,'translation List'!AX$6,IF(Deckblatt!$B$14=7,'translation List'!AX$7,IF(Deckblatt!$B$14=8,'translation List'!AX$8,IF(Deckblatt!$B$14=9,'translation List'!AX$9,IF(Deckblatt!$B$14=10,'translation List'!AX$10,IF(Deckblatt!$B$14=11,'translation List'!AX$11,IF(Deckblatt!$B$14=12,'translation List'!AX$12))))))))))))</f>
        <v>Temperature outlet</v>
      </c>
      <c r="B37" s="269"/>
      <c r="C37" s="270"/>
      <c r="D37" s="156" t="s">
        <v>36</v>
      </c>
      <c r="E37" s="157"/>
      <c r="F37" s="271"/>
      <c r="G37" s="271"/>
      <c r="H37" s="271"/>
      <c r="I37" s="271"/>
      <c r="J37" s="271"/>
      <c r="K37" s="271"/>
      <c r="L37" s="271"/>
      <c r="M37" s="271"/>
      <c r="N37" s="271"/>
      <c r="O37" s="272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</row>
    <row r="38" spans="1:45" ht="18" customHeight="1">
      <c r="A38" s="278" t="str">
        <f>IF(Deckblatt!$B$14=1,'translation List'!AY$1,IF(Deckblatt!$B$14=2,'translation List'!AY$2,IF(Deckblatt!$B$14=3,'translation List'!AY$3,IF(Deckblatt!$B$14=4,'translation List'!AY$4,IF(Deckblatt!$B$14=5,'translation List'!AY$5,IF(Deckblatt!$B$14=6,'translation List'!AY$6,IF(Deckblatt!$B$14=7,'translation List'!AY$7,IF(Deckblatt!$B$14=8,'translation List'!AY$8,IF(Deckblatt!$B$14=9,'translation List'!AY$9,IF(Deckblatt!$B$14=10,'translation List'!AY$10,IF(Deckblatt!$B$14=11,'translation List'!AY$11,IF(Deckblatt!$B$14=12,'translation List'!AY$12))))))))))))</f>
        <v>Cooling water flow rate</v>
      </c>
      <c r="B38" s="279"/>
      <c r="C38" s="279"/>
      <c r="D38" s="279"/>
      <c r="E38" s="65" t="s">
        <v>53</v>
      </c>
      <c r="F38" s="280"/>
      <c r="G38" s="280"/>
      <c r="H38" s="280"/>
      <c r="I38" s="280"/>
      <c r="J38" s="280"/>
      <c r="K38" s="280"/>
      <c r="L38" s="280"/>
      <c r="M38" s="280"/>
      <c r="N38" s="281"/>
      <c r="O38" s="282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8" customHeight="1">
      <c r="A39" s="229" t="str">
        <f>IF(Deckblatt!$B$14=1,'translation List'!AZ$1,IF(Deckblatt!$B$14=2,'translation List'!AZ$2,IF(Deckblatt!$B$14=3,'translation List'!AZ$3,IF(Deckblatt!$B$14=4,'translation List'!AZ$4,IF(Deckblatt!$B$14=5,'translation List'!AZ$5,IF(Deckblatt!$B$14=6,'translation List'!AZ$6,IF(Deckblatt!$B$14=7,'translation List'!AZ$7,IF(Deckblatt!$B$14=8,'translation List'!AZ$8,IF(Deckblatt!$B$14=9,'translation List'!AZ$9,IF(Deckblatt!$B$14=10,'translation List'!AZ$10,IF(Deckblatt!$B$14=11,'translation List'!AZ$11,IF(Deckblatt!$B$14=12,'translation List'!AZ$12))))))))))))</f>
        <v>Remarks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</row>
    <row r="40" spans="1:45" ht="18" customHeight="1">
      <c r="A40" s="223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7"/>
      <c r="P40" s="8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</row>
    <row r="41" spans="1:45" ht="32.25" customHeight="1">
      <c r="A41" s="225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8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</row>
    <row r="42" spans="1:45" ht="18" customHeight="1">
      <c r="C42" s="13"/>
      <c r="E42" s="13"/>
    </row>
    <row r="52" spans="4:13" ht="18" customHeight="1">
      <c r="D52" s="3" t="s">
        <v>0</v>
      </c>
      <c r="I52" s="3" t="s">
        <v>0</v>
      </c>
      <c r="J52" s="3" t="s">
        <v>0</v>
      </c>
      <c r="M52" s="3" t="s">
        <v>0</v>
      </c>
    </row>
  </sheetData>
  <sheetProtection selectLockedCells="1"/>
  <mergeCells count="111">
    <mergeCell ref="A1:D1"/>
    <mergeCell ref="E1:G1"/>
    <mergeCell ref="H1:I1"/>
    <mergeCell ref="K1:L1"/>
    <mergeCell ref="M1:O1"/>
    <mergeCell ref="A2:D2"/>
    <mergeCell ref="E2:O2"/>
    <mergeCell ref="A5:C5"/>
    <mergeCell ref="D5:G5"/>
    <mergeCell ref="J5:K5"/>
    <mergeCell ref="A6:C6"/>
    <mergeCell ref="D6:H6"/>
    <mergeCell ref="I6:L6"/>
    <mergeCell ref="A3:C3"/>
    <mergeCell ref="D3:G3"/>
    <mergeCell ref="H3:J3"/>
    <mergeCell ref="K3:N3"/>
    <mergeCell ref="A4:C4"/>
    <mergeCell ref="I4:K4"/>
    <mergeCell ref="L4:O4"/>
    <mergeCell ref="M6:N6"/>
    <mergeCell ref="A7:C7"/>
    <mergeCell ref="D7:F7"/>
    <mergeCell ref="I7:L7"/>
    <mergeCell ref="M7:N7"/>
    <mergeCell ref="A8:C8"/>
    <mergeCell ref="D8:F8"/>
    <mergeCell ref="I8:L8"/>
    <mergeCell ref="M8:N8"/>
    <mergeCell ref="A11:D11"/>
    <mergeCell ref="E11:O11"/>
    <mergeCell ref="A12:C12"/>
    <mergeCell ref="E12:F12"/>
    <mergeCell ref="I12:J12"/>
    <mergeCell ref="M12:N12"/>
    <mergeCell ref="A9:C9"/>
    <mergeCell ref="D9:F9"/>
    <mergeCell ref="I9:L9"/>
    <mergeCell ref="M9:N9"/>
    <mergeCell ref="A10:D10"/>
    <mergeCell ref="E10:K10"/>
    <mergeCell ref="L10:M10"/>
    <mergeCell ref="F17:F24"/>
    <mergeCell ref="A18:C18"/>
    <mergeCell ref="D18:E18"/>
    <mergeCell ref="A19:C19"/>
    <mergeCell ref="D19:E19"/>
    <mergeCell ref="A20:C20"/>
    <mergeCell ref="D20:E20"/>
    <mergeCell ref="A21:C21"/>
    <mergeCell ref="A13:O13"/>
    <mergeCell ref="A14:F14"/>
    <mergeCell ref="G14:O14"/>
    <mergeCell ref="A15:E15"/>
    <mergeCell ref="A16:C16"/>
    <mergeCell ref="D16:E16"/>
    <mergeCell ref="D21:E21"/>
    <mergeCell ref="A22:C22"/>
    <mergeCell ref="D22:E22"/>
    <mergeCell ref="A23:C23"/>
    <mergeCell ref="D23:E23"/>
    <mergeCell ref="A24:C24"/>
    <mergeCell ref="D24:E24"/>
    <mergeCell ref="A17:C17"/>
    <mergeCell ref="D17:E17"/>
    <mergeCell ref="G16:O17"/>
    <mergeCell ref="A28:A30"/>
    <mergeCell ref="B28:B30"/>
    <mergeCell ref="C28:C30"/>
    <mergeCell ref="A31:C31"/>
    <mergeCell ref="D31:E31"/>
    <mergeCell ref="A32:C32"/>
    <mergeCell ref="D32:E32"/>
    <mergeCell ref="A25:C25"/>
    <mergeCell ref="D25:E25"/>
    <mergeCell ref="A26:C26"/>
    <mergeCell ref="D26:E26"/>
    <mergeCell ref="A27:C27"/>
    <mergeCell ref="D27:E27"/>
    <mergeCell ref="A33:C33"/>
    <mergeCell ref="D33:E33"/>
    <mergeCell ref="A34:O34"/>
    <mergeCell ref="A35:E35"/>
    <mergeCell ref="F35:G35"/>
    <mergeCell ref="H35:I35"/>
    <mergeCell ref="J35:K35"/>
    <mergeCell ref="L35:M35"/>
    <mergeCell ref="N35:O35"/>
    <mergeCell ref="N36:O36"/>
    <mergeCell ref="A37:C37"/>
    <mergeCell ref="D37:E37"/>
    <mergeCell ref="F37:G37"/>
    <mergeCell ref="H37:I37"/>
    <mergeCell ref="J37:K37"/>
    <mergeCell ref="L37:M37"/>
    <mergeCell ref="N37:O37"/>
    <mergeCell ref="A36:C36"/>
    <mergeCell ref="D36:E36"/>
    <mergeCell ref="F36:G36"/>
    <mergeCell ref="H36:I36"/>
    <mergeCell ref="J36:K36"/>
    <mergeCell ref="L36:M36"/>
    <mergeCell ref="A39:O39"/>
    <mergeCell ref="A40:H41"/>
    <mergeCell ref="I40:O41"/>
    <mergeCell ref="A38:D38"/>
    <mergeCell ref="F38:G38"/>
    <mergeCell ref="H38:I38"/>
    <mergeCell ref="J38:K38"/>
    <mergeCell ref="L38:M38"/>
    <mergeCell ref="N38:O38"/>
  </mergeCells>
  <dataValidations count="1">
    <dataValidation errorStyle="information" allowBlank="1" showInputMessage="1" showErrorMessage="1" sqref="D18:E18" xr:uid="{00000000-0002-0000-0400-000000000000}"/>
  </dataValidations>
  <pageMargins left="0.70866141732283472" right="0.31496062992125984" top="0.98425196850393704" bottom="0.59055118110236227" header="0.31496062992125984" footer="0.31496062992125984"/>
  <pageSetup paperSize="9" scale="98" pageOrder="overThenDown" orientation="portrait" r:id="rId1"/>
  <headerFooter>
    <oddHeader>&amp;L&amp;G&amp;R&amp;"Arial,Fett"&amp;24&amp;F &amp;A</oddHeader>
    <oddFooter>&amp;LTest report_mill&amp;C &amp;R &amp;F &amp;P/&amp;N</oddFooter>
  </headerFooter>
  <rowBreaks count="1" manualBreakCount="1">
    <brk id="43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1000000}">
          <x14:formula1>
            <xm:f>'translation List'!$B$19:$B$23</xm:f>
          </x14:formula1>
          <xm:sqref>D3:G3</xm:sqref>
        </x14:dataValidation>
        <x14:dataValidation type="list" allowBlank="1" showInputMessage="1" showErrorMessage="1" xr:uid="{00000000-0002-0000-0400-000002000000}">
          <x14:formula1>
            <xm:f>'translation List'!$B$26:$B$31</xm:f>
          </x14:formula1>
          <xm:sqref>K3:N3</xm:sqref>
        </x14:dataValidation>
        <x14:dataValidation type="list" allowBlank="1" showInputMessage="1" showErrorMessage="1" xr:uid="{00000000-0002-0000-0400-000003000000}">
          <x14:formula1>
            <xm:f>'translation List'!$C$19:$C$25</xm:f>
          </x14:formula1>
          <xm:sqref>D5</xm:sqref>
        </x14:dataValidation>
        <x14:dataValidation type="list" allowBlank="1" showInputMessage="1" showErrorMessage="1" xr:uid="{00000000-0002-0000-0400-000004000000}">
          <x14:formula1>
            <xm:f>'translation List'!$D$19:$D$21</xm:f>
          </x14:formula1>
          <xm:sqref>C28:C30</xm:sqref>
        </x14:dataValidation>
        <x14:dataValidation type="list" allowBlank="1" showInputMessage="1" showErrorMessage="1" xr:uid="{00000000-0002-0000-0400-000005000000}">
          <x14:formula1>
            <xm:f>'translation List'!$F$19:$F$22</xm:f>
          </x14:formula1>
          <xm:sqref>B28:B30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52"/>
  <sheetViews>
    <sheetView zoomScaleNormal="100" zoomScaleSheetLayoutView="110" workbookViewId="0">
      <selection activeCell="S7" sqref="S7"/>
    </sheetView>
  </sheetViews>
  <sheetFormatPr baseColWidth="10" defaultColWidth="11.109375" defaultRowHeight="18" customHeight="1"/>
  <cols>
    <col min="1" max="15" width="6.109375" customWidth="1"/>
    <col min="16" max="16" width="11.109375" customWidth="1"/>
    <col min="17" max="255" width="6.109375" customWidth="1"/>
  </cols>
  <sheetData>
    <row r="1" spans="1:45" ht="18" customHeight="1">
      <c r="A1" s="236" t="str">
        <f>Deckblatt!B6</f>
        <v>Labstar NEOS</v>
      </c>
      <c r="B1" s="237"/>
      <c r="C1" s="237"/>
      <c r="D1" s="238"/>
      <c r="E1" s="239" t="str">
        <f>IF(Deckblatt!$B$14=1,'translation List'!L$1,IF(Deckblatt!$B$14=2,'translation List'!L$2,IF(Deckblatt!$B$14=3,'translation List'!L$3,IF(Deckblatt!$B$14=4,'translation List'!L$4,IF(Deckblatt!$B$14=5,'translation List'!L$5,IF(Deckblatt!$B$14=6,'translation List'!L$6,IF(Deckblatt!$B$14=7,'translation List'!L$7,IF(Deckblatt!$B$14=8,'translation List'!L$8,IF(Deckblatt!$B$14=9,'translation List'!L$9,IF(Deckblatt!$B$14=10,'translation List'!L$10,IF(Deckblatt!$B$14=11,'translation List'!L$11,IF(Deckblatt!$B$14=12,'translation List'!L$12))))))))))))</f>
        <v>Installed power</v>
      </c>
      <c r="F1" s="160"/>
      <c r="G1" s="161"/>
      <c r="H1" s="240">
        <v>3</v>
      </c>
      <c r="I1" s="240"/>
      <c r="J1" s="26" t="s">
        <v>10</v>
      </c>
      <c r="K1" s="239" t="str">
        <f>IF(Deckblatt!$B$14=1,'translation List'!K$1,IF(Deckblatt!$B$14=2,'translation List'!K$2,IF(Deckblatt!$B$14=3,'translation List'!K$3,IF(Deckblatt!$B$14=4,'translation List'!K$4,IF(Deckblatt!$B$14=5,'translation List'!K$5,IF(Deckblatt!$B$14=6,'translation List'!K$6,IF(Deckblatt!$B$14=7,'translation List'!K$7,IF(Deckblatt!$B$14=8,'translation List'!K$8,IF(Deckblatt!$B$14=9,'translation List'!K$9,IF(Deckblatt!$B$14=10,'translation List'!K$10,IF(Deckblatt!$B$14=11,'translation List'!K$11,IF(Deckblatt!$B$14=12,'translation List'!K$12))))))))))))</f>
        <v>Date</v>
      </c>
      <c r="L1" s="161"/>
      <c r="M1" s="241">
        <v>45525</v>
      </c>
      <c r="N1" s="242"/>
      <c r="O1" s="242"/>
      <c r="P1" s="84"/>
      <c r="Q1" s="85"/>
      <c r="R1" s="84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</row>
    <row r="2" spans="1:45" ht="18" customHeight="1">
      <c r="A2" s="243" t="str">
        <f>IF(Deckblatt!$B$14=1,'translation List'!M$1,IF(Deckblatt!$B$14=2,'translation List'!M$2,IF(Deckblatt!$B$14=3,'translation List'!M$3,IF(Deckblatt!$B$14=4,'translation List'!M$4,IF(Deckblatt!$B$14=5,'translation List'!M$5,IF(Deckblatt!$B$14=6,'translation List'!M$6,IF(Deckblatt!$B$14=7,'translation List'!M$7,IF(Deckblatt!$B$14=8,'translation List'!M$8,IF(Deckblatt!$B$14=9,'translation List'!M$9,IF(Deckblatt!$B$14=10,'translation List'!M$10,IF(Deckblatt!$B$14=11,'translation List'!M$11,IF(Deckblatt!$B$14=12,'translation List'!M$12))))))))))))</f>
        <v>Machine equipment</v>
      </c>
      <c r="B2" s="162"/>
      <c r="C2" s="162"/>
      <c r="D2" s="163"/>
      <c r="E2" s="164" t="s">
        <v>11</v>
      </c>
      <c r="F2" s="165"/>
      <c r="G2" s="165"/>
      <c r="H2" s="165"/>
      <c r="I2" s="165"/>
      <c r="J2" s="165"/>
      <c r="K2" s="165"/>
      <c r="L2" s="165"/>
      <c r="M2" s="165"/>
      <c r="N2" s="165"/>
      <c r="O2" s="244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</row>
    <row r="3" spans="1:45" ht="18" customHeight="1">
      <c r="A3" s="180" t="str">
        <f>IF(Deckblatt!$B$14=1,'translation List'!N$1,IF(Deckblatt!$B$14=2,'translation List'!N$2,IF(Deckblatt!$B$14=3,'translation List'!N$3,IF(Deckblatt!$B$14=4,'translation List'!N$4,IF(Deckblatt!$B$14=5,'translation List'!N$5,IF(Deckblatt!$B$14=6,'translation List'!N$6,IF(Deckblatt!$B$14=7,'translation List'!N$7,IF(Deckblatt!$B$14=8,'translation List'!N$8,IF(Deckblatt!$B$14=9,'translation List'!N$9,IF(Deckblatt!$B$14=10,'translation List'!N$10,IF(Deckblatt!$B$14=11,'translation List'!N$11,IF(Deckblatt!$B$14=12,'translation List'!N$12))))))))))))</f>
        <v>Pump</v>
      </c>
      <c r="B3" s="186"/>
      <c r="C3" s="186"/>
      <c r="D3" s="173" t="s">
        <v>12</v>
      </c>
      <c r="E3" s="174"/>
      <c r="F3" s="174"/>
      <c r="G3" s="175"/>
      <c r="H3" s="181" t="str">
        <f>IF(OR(D3="Gearpump",D3="Air Diaphragm Pump",D3="EM diaphragm pump"),"",IF(OR(D3="Hosepump",D3="Nemopump"),IF(Deckblatt!$B$14=1,'translation List'!BI$1,IF(Deckblatt!$B$14=2,'translation List'!BI$2,IF(Deckblatt!$B$14=3,'translation List'!BI$3,IF(Deckblatt!$B$14=4,'translation List'!BI$4,IF(Deckblatt!$B$14=5,'translation List'!BI$5,IF(Deckblatt!$B$14=6,'translation List'!BI$6,IF(Deckblatt!$B$14=7,'translation List'!BI$7,IF(Deckblatt!$B$14=8,'translation List'!BI$8,IF(Deckblatt!$B$14=9,'translation List'!BI$9,IF(Deckblatt!$B$14=10,'translation List'!BI$10,IF(Deckblatt!$B$14=11,'translation List'!BI$11,IF(Deckblatt!$B$14=12,'translation List'!BI$12,""))))))))))))))</f>
        <v>Hose material</v>
      </c>
      <c r="I3" s="182"/>
      <c r="J3" s="182"/>
      <c r="K3" s="187"/>
      <c r="L3" s="187"/>
      <c r="M3" s="187"/>
      <c r="N3" s="187"/>
      <c r="O3" s="6"/>
      <c r="P3" s="84"/>
      <c r="Q3" s="85"/>
      <c r="R3" s="84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</row>
    <row r="4" spans="1:45" ht="18" customHeight="1">
      <c r="A4" s="180" t="str">
        <f>IF(Deckblatt!$B$14=1,'translation List'!R$1,IF(Deckblatt!$B$14=2,'translation List'!R$2,IF(Deckblatt!$B$14=3,'translation List'!R$3,IF(Deckblatt!$B$14=4,'translation List'!R$4,IF(Deckblatt!$B$14=5,'translation List'!R$5,IF(Deckblatt!$B$14=6,'translation List'!R$6,IF(Deckblatt!$B$14=7,'translation List'!R$7,IF(Deckblatt!$B$14=8,'translation List'!R$8,IF(Deckblatt!$B$14=9,'translation List'!R$9,IF(Deckblatt!$B$14=10,'translation List'!R$10,IF(Deckblatt!$B$14=11,'translation List'!R$11,IF(Deckblatt!$B$14=12,'translation List'!R$12))))))))))))</f>
        <v>Separating system</v>
      </c>
      <c r="B4" s="186"/>
      <c r="C4" s="186"/>
      <c r="D4" s="66">
        <v>7.4999999999999997E-2</v>
      </c>
      <c r="E4" s="29" t="s">
        <v>13</v>
      </c>
      <c r="F4" s="30" t="s">
        <v>14</v>
      </c>
      <c r="G4" s="67"/>
      <c r="H4" s="29" t="s">
        <v>13</v>
      </c>
      <c r="I4" s="183" t="str">
        <f>IF(Deckblatt!$B$14=1,'translation List'!O$1,IF(Deckblatt!$B$14=2,'translation List'!O$2,IF(Deckblatt!$B$14=3,'translation List'!O$3,IF(Deckblatt!$B$14=4,'translation List'!O$4,IF(Deckblatt!$B$14=5,'translation List'!O$5,IF(Deckblatt!$B$14=6,'translation List'!O$6,IF(Deckblatt!$B$14=7,'translation List'!O$7,IF(Deckblatt!$B$14=8,'translation List'!O$8,IF(Deckblatt!$B$14=9,'translation List'!O$9,IF(Deckblatt!$B$14=10,'translation List'!O$10,IF(Deckblatt!$B$14=11,'translation List'!O$11,IF(Deckblatt!$B$14=12,'translation List'!O$12))))))))))))</f>
        <v>Sealing liquid</v>
      </c>
      <c r="J4" s="184"/>
      <c r="K4" s="185"/>
      <c r="L4" s="193" t="s">
        <v>15</v>
      </c>
      <c r="M4" s="176"/>
      <c r="N4" s="176"/>
      <c r="O4" s="24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</row>
    <row r="5" spans="1:45" ht="18" customHeight="1">
      <c r="A5" s="209" t="str">
        <f>IF(Deckblatt!$B$14=1,'translation List'!P$1,IF(Deckblatt!$B$14=2,'translation List'!P$2,IF(Deckblatt!$B$14=3,'translation List'!P$3,IF(Deckblatt!$B$14=4,'translation List'!P$4,IF(Deckblatt!$B$14=5,'translation List'!P$5,IF(Deckblatt!$B$14=6,'translation List'!P$6,IF(Deckblatt!$B$14=7,'translation List'!P$7,IF(Deckblatt!$B$14=8,'translation List'!P$8,IF(Deckblatt!$B$14=9,'translation List'!P$9,IF(Deckblatt!$B$14=10,'translation List'!P$10,IF(Deckblatt!$B$14=11,'translation List'!P$11,IF(Deckblatt!$B$14=12,'translation List'!P$12))))))))))))</f>
        <v>Type of grinding beads</v>
      </c>
      <c r="B5" s="216"/>
      <c r="C5" s="216"/>
      <c r="D5" s="217" t="s">
        <v>16</v>
      </c>
      <c r="E5" s="206"/>
      <c r="F5" s="206"/>
      <c r="G5" s="206"/>
      <c r="H5" s="91" t="s">
        <v>17</v>
      </c>
      <c r="I5" s="31" t="s">
        <v>13</v>
      </c>
      <c r="J5" s="188" t="str">
        <f>IF(Deckblatt!$B$14=1,'translation List'!BJ$1,IF(Deckblatt!$B$14=2,'translation List'!BJ$2,IF(Deckblatt!$B$14=3,'translation List'!BJ$3,IF(Deckblatt!$B$14=4,'translation List'!BJ$4,IF(Deckblatt!$B$14=5,'translation List'!BJ$5,IF(Deckblatt!$B$14=6,'translation List'!BJ$6,IF(Deckblatt!$B$14=7,'translation List'!BJ$7,IF(Deckblatt!$B$14=8,'translation List'!#REF!,IF(Deckblatt!$B$14=9,'translation List'!BJ$9,IF(Deckblatt!$B$14=10,'translation List'!BJ$10,IF(Deckblatt!$B$14=11,'translation List'!BJ$11,IF(Deckblatt!$B$14=12,'translation List'!BJ$12))))))))))))</f>
        <v>mass</v>
      </c>
      <c r="K5" s="189"/>
      <c r="L5" s="68"/>
      <c r="M5" s="10" t="s">
        <v>18</v>
      </c>
      <c r="N5" s="92">
        <v>85</v>
      </c>
      <c r="O5" s="9" t="s">
        <v>19</v>
      </c>
      <c r="P5" s="85"/>
      <c r="Q5" s="85"/>
      <c r="R5" s="84" t="s">
        <v>20</v>
      </c>
      <c r="S5" s="84" t="s">
        <v>21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</row>
    <row r="6" spans="1:45" ht="18" customHeight="1">
      <c r="A6" s="177" t="str">
        <f>IF(Deckblatt!$B$14=1,'translation List'!S$1,IF(Deckblatt!$B$14=2,'translation List'!S$2,IF(Deckblatt!$B$14=3,'translation List'!S$3,IF(Deckblatt!$B$14=4,'translation List'!S$4,IF(Deckblatt!$B$14=5,'translation List'!S$5,IF(Deckblatt!$B$14=6,'translation List'!S$6,IF(Deckblatt!$B$14=7,'translation List'!S$7,IF(Deckblatt!$B$14=8,'translation List'!S$8,IF(Deckblatt!$B$14=9,'translation List'!S$9,IF(Deckblatt!$B$14=10,'translation List'!S$10,IF(Deckblatt!$B$14=11,'translation List'!S$11,IF(Deckblatt!$B$14=12,'translation List'!S$12))))))))))))</f>
        <v>Product</v>
      </c>
      <c r="B6" s="177"/>
      <c r="C6" s="178"/>
      <c r="D6" s="194" t="s">
        <v>22</v>
      </c>
      <c r="E6" s="195"/>
      <c r="F6" s="195"/>
      <c r="G6" s="195"/>
      <c r="H6" s="196"/>
      <c r="I6" s="167" t="str">
        <f>IF(Deckblatt!$B$14=1,'translation List'!U$1,IF(Deckblatt!$B$14=2,'translation List'!U$2,IF(Deckblatt!$B$14=3,'translation List'!U$3,IF(Deckblatt!$B$14=4,'translation List'!U$4,IF(Deckblatt!$B$14=5,'translation List'!U$5,IF(Deckblatt!$B$14=6,'translation List'!U$6,IF(Deckblatt!$B$14=7,'translation List'!U$7,IF(Deckblatt!$B$14=8,'translation List'!U$8,IF(Deckblatt!$B$14=9,'translation List'!U$9,IF(Deckblatt!$B$14=10,'translation List'!U$10,IF(Deckblatt!$B$14=11,'translation List'!U$11,IF(Deckblatt!$B$14=12,'translation List'!U$12))))))))))))</f>
        <v>Max. temperature</v>
      </c>
      <c r="J6" s="162"/>
      <c r="K6" s="162"/>
      <c r="L6" s="163"/>
      <c r="M6" s="190">
        <v>100</v>
      </c>
      <c r="N6" s="190"/>
      <c r="O6" s="11" t="s">
        <v>23</v>
      </c>
      <c r="P6" s="86"/>
      <c r="Q6" s="85"/>
      <c r="R6" s="97">
        <v>0.4</v>
      </c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</row>
    <row r="7" spans="1:45" ht="18" customHeight="1">
      <c r="A7" s="179" t="str">
        <f>IF(Deckblatt!$B$14=1,'translation List'!T$1,IF(Deckblatt!$B$14=2,'translation List'!T$2,IF(Deckblatt!$B$14=3,'translation List'!T$3,IF(Deckblatt!$B$14=4,'translation List'!T$4,IF(Deckblatt!$B$14=5,'translation List'!T$5,IF(Deckblatt!$B$14=6,'translation List'!T$6,IF(Deckblatt!$B$14=7,'translation List'!T$7,IF(Deckblatt!$B$14=8,'translation List'!T$8,IF(Deckblatt!$B$14=9,'translation List'!T$9,IF(Deckblatt!$B$14=10,'translation List'!T$10,IF(Deckblatt!$B$14=11,'translation List'!T$11,IF(Deckblatt!$B$14=12,'translation List'!T$12))))))))))))</f>
        <v>Solid</v>
      </c>
      <c r="B7" s="179"/>
      <c r="C7" s="180"/>
      <c r="D7" s="176" t="s">
        <v>20</v>
      </c>
      <c r="E7" s="174"/>
      <c r="F7" s="174"/>
      <c r="G7" s="69">
        <f>R7</f>
        <v>1.5</v>
      </c>
      <c r="H7" s="24" t="s">
        <v>18</v>
      </c>
      <c r="I7" s="183" t="str">
        <f>IF(Deckblatt!$B$14=1,'translation List'!V$1,IF(Deckblatt!$B$14=2,'translation List'!V$2,IF(Deckblatt!$B$14=3,'translation List'!V$3,IF(Deckblatt!$B$14=4,'translation List'!V$4,IF(Deckblatt!$B$14=5,'translation List'!V$5,IF(Deckblatt!$B$14=6,'translation List'!V$6,IF(Deckblatt!$B$14=7,'translation List'!V$7,IF(Deckblatt!$B$14=8,'translation List'!V$8,IF(Deckblatt!$B$14=9,'translation List'!V$9,IF(Deckblatt!$B$14=10,'translation List'!V$10,IF(Deckblatt!$B$14=11,'translation List'!V$11,IF(Deckblatt!$B$14=12,'translation List'!V$12))))))))))))</f>
        <v>Solid content</v>
      </c>
      <c r="J7" s="184"/>
      <c r="K7" s="184"/>
      <c r="L7" s="185"/>
      <c r="M7" s="191">
        <f>(G7/M8)*100</f>
        <v>30</v>
      </c>
      <c r="N7" s="192"/>
      <c r="O7" s="6" t="s">
        <v>19</v>
      </c>
      <c r="P7" s="84" t="s">
        <v>46</v>
      </c>
      <c r="Q7" s="98">
        <v>3.75</v>
      </c>
      <c r="R7" s="85">
        <f>Q7*R6</f>
        <v>1.5</v>
      </c>
      <c r="S7" s="85">
        <f>Q7-R7</f>
        <v>2.25</v>
      </c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</row>
    <row r="8" spans="1:45" ht="18" customHeight="1">
      <c r="A8" s="179" t="str">
        <f>IF(Deckblatt!$B$14=1,'translation List'!Y$1,IF(Deckblatt!$B$14=2,'translation List'!Y$2,IF(Deckblatt!$B$14=3,'translation List'!Y$3,IF(Deckblatt!$B$14=4,'translation List'!Y$4,IF(Deckblatt!$B$14=5,'translation List'!Y$5,IF(Deckblatt!$B$14=6,'translation List'!Y$6,IF(Deckblatt!$B$14=7,'translation List'!Y$7,IF(Deckblatt!$B$14=8,'translation List'!Y$8,IF(Deckblatt!$B$14=9,'translation List'!Y$9,IF(Deckblatt!$B$14=10,'translation List'!Y$10,IF(Deckblatt!$B$14=11,'translation List'!Y$11,IF(Deckblatt!$B$14=12,'translation List'!Y$12))))))))))))</f>
        <v>Dispersant</v>
      </c>
      <c r="B8" s="179"/>
      <c r="C8" s="180"/>
      <c r="D8" s="174" t="s">
        <v>24</v>
      </c>
      <c r="E8" s="174"/>
      <c r="F8" s="174"/>
      <c r="G8" s="67"/>
      <c r="H8" s="24" t="s">
        <v>18</v>
      </c>
      <c r="I8" s="183" t="str">
        <f>IF(Deckblatt!$B$14=1,'translation List'!W$1,IF(Deckblatt!$B$14=2,'translation List'!W$2,IF(Deckblatt!$B$14=3,'translation List'!W$3,IF(Deckblatt!$B$14=4,'translation List'!W$4,IF(Deckblatt!$B$14=5,'translation List'!W$5,IF(Deckblatt!$B$14=6,'translation List'!W$6,IF(Deckblatt!$B$14=7,'translation List'!W$7,IF(Deckblatt!$B$14=8,'translation List'!W$8,IF(Deckblatt!$B$14=9,'translation List'!W$9,IF(Deckblatt!$B$14=10,'translation List'!W$10,IF(Deckblatt!$B$14=11,'translation List'!W$11,IF(Deckblatt!$B$14=12,'translation List'!W$12))))))))))))</f>
        <v>Total mass</v>
      </c>
      <c r="J8" s="184"/>
      <c r="K8" s="184"/>
      <c r="L8" s="185"/>
      <c r="M8" s="204">
        <f>SUM(G7:G9)</f>
        <v>5</v>
      </c>
      <c r="N8" s="205"/>
      <c r="O8" s="6" t="s">
        <v>18</v>
      </c>
      <c r="P8" s="84" t="s">
        <v>47</v>
      </c>
      <c r="Q8" s="85">
        <v>1.25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45" ht="18" customHeight="1">
      <c r="A9" s="208" t="str">
        <f>IF(Deckblatt!$B$14=1,'translation List'!Z$1,IF(Deckblatt!$B$14=2,'translation List'!Z$2,IF(Deckblatt!$B$14=3,'translation List'!Z$3,IF(Deckblatt!$B$14=4,'translation List'!Z$4,IF(Deckblatt!$B$14=5,'translation List'!Z$5,IF(Deckblatt!$B$14=6,'translation List'!Z$6,IF(Deckblatt!$B$14=7,'translation List'!Z$7,IF(Deckblatt!$B$14=8,'translation List'!Z$8,IF(Deckblatt!$B$14=9,'translation List'!Z$9,IF(Deckblatt!$B$14=10,'translation List'!Z$10,IF(Deckblatt!$B$14=11,'translation List'!Z$11,IF(Deckblatt!$B$14=12,'translation List'!Z$12))))))))))))</f>
        <v>Solvent</v>
      </c>
      <c r="B9" s="208"/>
      <c r="C9" s="209"/>
      <c r="D9" s="206" t="s">
        <v>25</v>
      </c>
      <c r="E9" s="206"/>
      <c r="F9" s="206"/>
      <c r="G9" s="70">
        <f>Q8+S7</f>
        <v>3.5</v>
      </c>
      <c r="H9" s="7" t="s">
        <v>18</v>
      </c>
      <c r="I9" s="201" t="str">
        <f>IF(Deckblatt!$B$14=1,'translation List'!X$1,IF(Deckblatt!$B$14=2,'translation List'!X$2,IF(Deckblatt!$B$14=3,'translation List'!X$3,IF(Deckblatt!$B$14=4,'translation List'!X$4,IF(Deckblatt!$B$14=5,'translation List'!X$5,IF(Deckblatt!$B$14=6,'translation List'!X$6,IF(Deckblatt!$B$14=7,'translation List'!X$7,IF(Deckblatt!$B$14=8,'translation List'!X$8,IF(Deckblatt!$B$14=9,'translation List'!X$9,IF(Deckblatt!$B$14=10,'translation List'!X$10,IF(Deckblatt!$B$14=11,'translation List'!X$11,IF(Deckblatt!$B$14=12,'translation List'!X$12))))))))))))</f>
        <v>Density</v>
      </c>
      <c r="J9" s="202"/>
      <c r="K9" s="202"/>
      <c r="L9" s="203"/>
      <c r="M9" s="200"/>
      <c r="N9" s="200"/>
      <c r="O9" s="9" t="s">
        <v>26</v>
      </c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45" ht="18" customHeight="1">
      <c r="A10" s="243" t="str">
        <f>IF(Deckblatt!$B$14=1,'translation List'!AA$1,IF(Deckblatt!$B$14=2,'translation List'!AA$2,IF(Deckblatt!$B$14=3,'translation List'!AA$3,IF(Deckblatt!$B$14=4,'translation List'!AA$4,IF(Deckblatt!$B$14=5,'translation List'!AA$5,IF(Deckblatt!$B$14=6,'translation List'!AA$6,IF(Deckblatt!$B$14=7,'translation List'!AA$7,IF(Deckblatt!$B$14=8,'translation List'!AA$8,IF(Deckblatt!$B$14=9,'translation List'!AA$9,IF(Deckblatt!$B$14=10,'translation List'!AA$10,IF(Deckblatt!$B$14=11,'translation List'!AA$11,IF(Deckblatt!$B$14=12,'translation List'!AA$12))))))))))))</f>
        <v>Material preparation</v>
      </c>
      <c r="B10" s="162"/>
      <c r="C10" s="162"/>
      <c r="D10" s="163"/>
      <c r="E10" s="164" t="s">
        <v>27</v>
      </c>
      <c r="F10" s="165"/>
      <c r="G10" s="165"/>
      <c r="H10" s="165"/>
      <c r="I10" s="165"/>
      <c r="J10" s="165"/>
      <c r="K10" s="166"/>
      <c r="L10" s="167" t="str">
        <f>IF(Deckblatt!$B$14=1,'translation List'!AB$1,IF(Deckblatt!$B$14=2,'translation List'!AB$2,IF(Deckblatt!$B$14=3,'translation List'!AB$3,IF(Deckblatt!$B$14=4,'translation List'!AB$4,IF(Deckblatt!$B$14=5,'translation List'!AB$5,IF(Deckblatt!$B$14=6,'translation List'!AB$6,IF(Deckblatt!$B$14=7,'translation List'!AB$7,IF(Deckblatt!$B$14=8,'translation List'!AB$8,IF(Deckblatt!$B$14=9,'translation List'!AB$9,IF(Deckblatt!$B$14=10,'translation List'!AB$10,IF(Deckblatt!$B$14=11,'translation List'!AB$11,IF(Deckblatt!$B$14=12,'translation List'!AB$12))))))))))))</f>
        <v>Duration</v>
      </c>
      <c r="M10" s="163"/>
      <c r="N10" s="71"/>
      <c r="O10" s="25" t="s">
        <v>28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ht="18" customHeight="1">
      <c r="A11" s="246" t="str">
        <f>IF(Deckblatt!$B$14=1,'translation List'!BK$1,IF(Deckblatt!$B$14=2,'translation List'!BK$2,IF(Deckblatt!$B$14=3,'translation List'!BK$3,IF(Deckblatt!$B$14=4,'translation List'!BK$4,IF(Deckblatt!$B$14=5,'translation List'!BK$5,IF(Deckblatt!$B$14=6,'translation List'!BK$6,IF(Deckblatt!$B$14=7,'translation List'!BK$7,IF(Deckblatt!$B$14=8,'translation List'!BJ$8,IF(Deckblatt!$B$14=9,'translation List'!BK$9,IF(Deckblatt!$B$14=10,'translation List'!BK$10,IF(Deckblatt!$B$14=11,'translation List'!BK$11,IF(Deckblatt!$B$14=12,'translation List'!BK$12))))))))))))</f>
        <v>quality requirements</v>
      </c>
      <c r="B11" s="221"/>
      <c r="C11" s="221"/>
      <c r="D11" s="222"/>
      <c r="E11" s="173" t="s">
        <v>29</v>
      </c>
      <c r="F11" s="174"/>
      <c r="G11" s="174"/>
      <c r="H11" s="174"/>
      <c r="I11" s="174"/>
      <c r="J11" s="174"/>
      <c r="K11" s="174"/>
      <c r="L11" s="174"/>
      <c r="M11" s="174"/>
      <c r="N11" s="174"/>
      <c r="O11" s="247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ht="18" customHeight="1">
      <c r="A12" s="248" t="str">
        <f>IF(Deckblatt!$B$14=1,'translation List'!AD$1,IF(Deckblatt!$B$14=2,'translation List'!AD$2,IF(Deckblatt!$B$14=3,'translation List'!AD$3,IF(Deckblatt!$B$14=4,'translation List'!AD$4,IF(Deckblatt!$B$14=5,'translation List'!AD$5,IF(Deckblatt!$B$14=6,'translation List'!AD$6,IF(Deckblatt!$B$14=7,'translation List'!AD$7,IF(Deckblatt!$B$14=8,'translation List'!AD$8,IF(Deckblatt!$B$14=9,'translation List'!AD$9,IF(Deckblatt!$B$14=10,'translation List'!AD$10,IF(Deckblatt!$B$14=11,'translation List'!AD$11,IF(Deckblatt!$B$14=12,'translation List'!AD$12))))))))))))</f>
        <v>Target fineness</v>
      </c>
      <c r="B12" s="171"/>
      <c r="C12" s="172"/>
      <c r="D12" s="82">
        <v>50</v>
      </c>
      <c r="E12" s="170">
        <v>0.1</v>
      </c>
      <c r="F12" s="170"/>
      <c r="G12" s="32" t="s">
        <v>30</v>
      </c>
      <c r="H12" s="82">
        <v>90</v>
      </c>
      <c r="I12" s="200">
        <v>0.15</v>
      </c>
      <c r="J12" s="200"/>
      <c r="K12" s="12" t="s">
        <v>30</v>
      </c>
      <c r="L12" s="83">
        <v>95</v>
      </c>
      <c r="M12" s="200"/>
      <c r="N12" s="200"/>
      <c r="O12" s="9" t="s">
        <v>30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5" ht="18" customHeight="1">
      <c r="A13" s="250">
        <f>MAX(G26:O26)</f>
        <v>0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18" customHeight="1">
      <c r="A14" s="239" t="str">
        <f>IF(Deckblatt!$B$14=1,'translation List'!AE$1,IF(Deckblatt!$B$14=2,'translation List'!AE$2,IF(Deckblatt!$B$14=3,'translation List'!AE$3,IF(Deckblatt!$B$14=4,'translation List'!AE$4,IF(Deckblatt!$B$14=5,'translation List'!AE$5,IF(Deckblatt!$B$14=6,'translation List'!AE$6,IF(Deckblatt!$B$14=7,'translation List'!AE$7,IF(Deckblatt!$B$14=8,'translation List'!AE$8,IF(Deckblatt!$B$14=9,'translation List'!AE$9,IF(Deckblatt!$B$14=10,'translation List'!AE$10,IF(Deckblatt!$B$14=11,'translation List'!AE$11,IF(Deckblatt!$B$14=12,'translation List'!AE$12))))))))))))</f>
        <v>Operation mode</v>
      </c>
      <c r="B14" s="160"/>
      <c r="C14" s="160"/>
      <c r="D14" s="160"/>
      <c r="E14" s="160"/>
      <c r="F14" s="161"/>
      <c r="G14" s="158" t="str">
        <f>IF(Deckblatt!$B$14=1,'translation List'!BG$1,IF(Deckblatt!$B$14=2,'translation List'!BG$2,IF(Deckblatt!$B$14=3,'translation List'!BG$3,IF(Deckblatt!$B$14=4,'translation List'!BG$4,IF(Deckblatt!$B$14=5,'translation List'!BG$5,IF(Deckblatt!$B$14=6,'translation List'!BG$6,IF(Deckblatt!$B$14=7,'translation List'!BG$7,IF(Deckblatt!$B$14=8,'translation List'!BG$8,IF(Deckblatt!$B$14=9,'translation List'!BG$9,IF(Deckblatt!$B$14=10,'translation List'!BG$10,IF(Deckblatt!$B$14=11,'translation List'!BG$11,IF(Deckblatt!$B$14=12,'translation List'!BG$12))))))))))))</f>
        <v>Circulation</v>
      </c>
      <c r="H14" s="159"/>
      <c r="I14" s="159"/>
      <c r="J14" s="159"/>
      <c r="K14" s="159"/>
      <c r="L14" s="159"/>
      <c r="M14" s="159"/>
      <c r="N14" s="159"/>
      <c r="O14" s="251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18" customHeight="1">
      <c r="A15" s="239" t="str">
        <f>IF(Deckblatt!$B$14=1,'translation List'!AF$1,IF(Deckblatt!$B$14=2,'translation List'!AF$2,IF(Deckblatt!$B$14=3,'translation List'!AF$3,IF(Deckblatt!$B$14=4,'translation List'!AF$4,IF(Deckblatt!$B$14=5,'translation List'!AF$5,IF(Deckblatt!$B$14=6,'translation List'!AF$6,IF(Deckblatt!$B$14=7,'translation List'!AF$7,IF(Deckblatt!$B$14=8,'translation List'!AF$8,IF(Deckblatt!$B$14=9,'translation List'!AF$9,IF(Deckblatt!$B$14=10,'translation List'!AF$10,IF(Deckblatt!$B$14=11,'translation List'!AF$11,IF(Deckblatt!$B$14=12,'translation List'!AF$12))))))))))))</f>
        <v>Test version</v>
      </c>
      <c r="B15" s="160"/>
      <c r="C15" s="160"/>
      <c r="D15" s="160"/>
      <c r="E15" s="161"/>
      <c r="F15" s="8">
        <v>0</v>
      </c>
      <c r="G15" s="74">
        <v>1</v>
      </c>
      <c r="H15" s="74">
        <v>2</v>
      </c>
      <c r="I15" s="74">
        <v>3</v>
      </c>
      <c r="J15" s="74">
        <v>4</v>
      </c>
      <c r="K15" s="74">
        <v>5</v>
      </c>
      <c r="L15" s="74">
        <v>6</v>
      </c>
      <c r="M15" s="74">
        <v>7</v>
      </c>
      <c r="N15" s="74">
        <v>8</v>
      </c>
      <c r="O15" s="75">
        <v>9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</row>
    <row r="16" spans="1:45" ht="18" customHeight="1">
      <c r="A16" s="252" t="str">
        <f>IF(Deckblatt!$B$14=1,'translation List'!AG$1,IF(Deckblatt!$B$14=2,'translation List'!AG$2,IF(Deckblatt!$B$14=3,'translation List'!AG$3,IF(Deckblatt!$B$14=4,'translation List'!AG$4,IF(Deckblatt!$B$14=5,'translation List'!AG$5,IF(Deckblatt!$B$14=6,'translation List'!AG$6,IF(Deckblatt!$B$14=7,'translation List'!AG$7,IF(Deckblatt!$B$14=8,'translation List'!AG$8,IF(Deckblatt!$B$14=9,'translation List'!AG$9,IF(Deckblatt!$B$14=10,'translation List'!AG$10,IF(Deckblatt!$B$14=11,'translation List'!AG$11,IF(Deckblatt!$B$14=12,'translation List'!AG$12))))))))))))</f>
        <v>Running time</v>
      </c>
      <c r="B16" s="197"/>
      <c r="C16" s="197"/>
      <c r="D16" s="198" t="s">
        <v>31</v>
      </c>
      <c r="E16" s="199"/>
      <c r="F16" s="72">
        <v>0</v>
      </c>
      <c r="G16" s="284" t="s">
        <v>60</v>
      </c>
      <c r="H16" s="285"/>
      <c r="I16" s="285"/>
      <c r="J16" s="285"/>
      <c r="K16" s="285"/>
      <c r="L16" s="285"/>
      <c r="M16" s="285"/>
      <c r="N16" s="285"/>
      <c r="O16" s="286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45" ht="18" customHeight="1">
      <c r="A17" s="249" t="str">
        <f>IF(Deckblatt!$B$14=1,'translation List'!AI$1,IF(Deckblatt!$B$14=2,'translation List'!AI$2,IF(Deckblatt!$B$14=3,'translation List'!AI$3,IF(Deckblatt!$B$14=4,'translation List'!AI$4,IF(Deckblatt!$B$14=5,'translation List'!AI$5,IF(Deckblatt!$B$14=6,'translation List'!AI$6,IF(Deckblatt!$B$14=7,'translation List'!AI$7,IF(Deckblatt!$B$14=8,'translation List'!AI$8,IF(Deckblatt!$B$14=9,'translation List'!AI$9,IF(Deckblatt!$B$14=10,'translation List'!AI$10,IF(Deckblatt!$B$14=11,'translation List'!AI$11,IF(Deckblatt!$B$14=12,'translation List'!AI$12))))))))))))</f>
        <v>Agitator speed</v>
      </c>
      <c r="B17" s="168"/>
      <c r="C17" s="169"/>
      <c r="D17" s="156" t="s">
        <v>32</v>
      </c>
      <c r="E17" s="157"/>
      <c r="F17" s="218"/>
      <c r="G17" s="290"/>
      <c r="H17" s="291"/>
      <c r="I17" s="291"/>
      <c r="J17" s="291"/>
      <c r="K17" s="291"/>
      <c r="L17" s="291"/>
      <c r="M17" s="291"/>
      <c r="N17" s="291"/>
      <c r="O17" s="292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45" ht="18" customHeight="1">
      <c r="A18" s="249" t="str">
        <f>IF(Deckblatt!$B$14=1,'translation List'!AJ$1,IF(Deckblatt!$B$14=2,'translation List'!AJ$2,IF(Deckblatt!$B$14=3,'translation List'!AJ$3,IF(Deckblatt!$B$14=4,'translation List'!AJ$4,IF(Deckblatt!$B$14=5,'translation List'!AJ$5,IF(Deckblatt!$B$14=6,'translation List'!AJ$6,IF(Deckblatt!$B$14=7,'translation List'!AJ$7,IF(Deckblatt!$B$14=8,'translation List'!AJ$8,IF(Deckblatt!$B$14=9,'translation List'!AJ$9,IF(Deckblatt!$B$14=10,'translation List'!AJ$10,IF(Deckblatt!$B$14=11,'translation List'!AJ$11,IF(Deckblatt!$B$14=12,'translation List'!AJ$12))))))))))))</f>
        <v>Throughput</v>
      </c>
      <c r="B18" s="168"/>
      <c r="C18" s="169"/>
      <c r="D18" s="156" t="s">
        <v>33</v>
      </c>
      <c r="E18" s="157"/>
      <c r="F18" s="219"/>
      <c r="G18" s="287"/>
      <c r="H18" s="288"/>
      <c r="I18" s="288"/>
      <c r="J18" s="288"/>
      <c r="K18" s="288"/>
      <c r="L18" s="288"/>
      <c r="M18" s="288"/>
      <c r="N18" s="288"/>
      <c r="O18" s="289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45" ht="18" customHeight="1">
      <c r="A19" s="249" t="str">
        <f>IF(Deckblatt!$B$14=1,'translation List'!AK$1,IF(Deckblatt!$B$14=2,'translation List'!AK$2,IF(Deckblatt!$B$14=3,'translation List'!AK$3,IF(Deckblatt!$B$14=4,'translation List'!AK$4,IF(Deckblatt!$B$14=5,'translation List'!AK$5,IF(Deckblatt!$B$14=6,'translation List'!AK$6,IF(Deckblatt!$B$14=7,'translation List'!AK$7,IF(Deckblatt!$B$14=8,'translation List'!AK$8,IF(Deckblatt!$B$14=9,'translation List'!AK$9,IF(Deckblatt!$B$14=10,'translation List'!AK$10,IF(Deckblatt!$B$14=11,'translation List'!AK$11,IF(Deckblatt!$B$14=12,'translation List'!AK$12))))))))))))</f>
        <v>Pump speed</v>
      </c>
      <c r="B19" s="168"/>
      <c r="C19" s="169"/>
      <c r="D19" s="156" t="s">
        <v>32</v>
      </c>
      <c r="E19" s="157"/>
      <c r="F19" s="219"/>
      <c r="G19" s="78"/>
      <c r="H19" s="78"/>
      <c r="I19" s="78"/>
      <c r="J19" s="78"/>
      <c r="K19" s="78"/>
      <c r="L19" s="78"/>
      <c r="M19" s="78"/>
      <c r="N19" s="78"/>
      <c r="O19" s="79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</row>
    <row r="20" spans="1:45" ht="18" customHeight="1">
      <c r="A20" s="249" t="str">
        <f>IF(Deckblatt!$B$14=1,'translation List'!AL$1,IF(Deckblatt!$B$14=2,'translation List'!AL$2,IF(Deckblatt!$B$14=3,'translation List'!AL$3,IF(Deckblatt!$B$14=4,'translation List'!AL$4,IF(Deckblatt!$B$14=5,'translation List'!AL$5,IF(Deckblatt!$B$14=6,'translation List'!AL$6,IF(Deckblatt!$B$14=7,'translation List'!AL$7,IF(Deckblatt!$B$14=8,'translation List'!AL$8,IF(Deckblatt!$B$14=9,'translation List'!AL$9,IF(Deckblatt!$B$14=10,'translation List'!AL$10,IF(Deckblatt!$B$14=11,'translation List'!AL$11,IF(Deckblatt!$B$14=12,'translation List'!AL$12))))))))))))</f>
        <v>Pressure</v>
      </c>
      <c r="B20" s="168"/>
      <c r="C20" s="169"/>
      <c r="D20" s="156" t="s">
        <v>34</v>
      </c>
      <c r="E20" s="157"/>
      <c r="F20" s="219"/>
      <c r="G20" s="78"/>
      <c r="H20" s="78"/>
      <c r="I20" s="78"/>
      <c r="J20" s="78"/>
      <c r="K20" s="78"/>
      <c r="L20" s="78"/>
      <c r="M20" s="78"/>
      <c r="N20" s="78"/>
      <c r="O20" s="79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</row>
    <row r="21" spans="1:45" ht="18" customHeight="1">
      <c r="A21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1" s="168"/>
      <c r="C21" s="169"/>
      <c r="D21" s="156" t="s">
        <v>35</v>
      </c>
      <c r="E21" s="157"/>
      <c r="F21" s="219"/>
      <c r="G21" s="78"/>
      <c r="H21" s="78"/>
      <c r="L21" s="78"/>
      <c r="M21" s="78"/>
      <c r="N21" s="78"/>
      <c r="O21" s="79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45" ht="18" customHeight="1">
      <c r="A22" s="249" t="str">
        <f>IF(Deckblatt!$B$14=1,'translation List'!AM$1,IF(Deckblatt!$B$14=2,'translation List'!AM$2,IF(Deckblatt!$B$14=3,'translation List'!AM$3,IF(Deckblatt!$B$14=4,'translation List'!AM$4,IF(Deckblatt!$B$14=5,'translation List'!AM$5,IF(Deckblatt!$B$14=6,'translation List'!AM$6,IF(Deckblatt!$B$14=7,'translation List'!AM$7,IF(Deckblatt!$B$14=8,'translation List'!AM$8,IF(Deckblatt!$B$14=9,'translation List'!AM$9,IF(Deckblatt!$B$14=10,'translation List'!AM$10,IF(Deckblatt!$B$14=11,'translation List'!AM$11,IF(Deckblatt!$B$14=12,'translation List'!AM$12))))))))))))</f>
        <v>Product temperature</v>
      </c>
      <c r="B22" s="168"/>
      <c r="C22" s="169"/>
      <c r="D22" s="156" t="s">
        <v>36</v>
      </c>
      <c r="E22" s="157"/>
      <c r="F22" s="219"/>
      <c r="G22" s="87"/>
      <c r="H22" s="87"/>
      <c r="I22" s="78"/>
      <c r="J22" s="78"/>
      <c r="K22" s="78"/>
      <c r="L22" s="78"/>
      <c r="M22" s="78"/>
      <c r="N22" s="78"/>
      <c r="O22" s="7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45" ht="18" customHeight="1">
      <c r="A23" s="249" t="str">
        <f>IF(Deckblatt!$B$14=1,'translation List'!AN$1,IF(Deckblatt!$B$14=2,'translation List'!AN$2,IF(Deckblatt!$B$14=3,'translation List'!AN$3,IF(Deckblatt!$B$14=4,'translation List'!AN$4,IF(Deckblatt!$B$14=5,'translation List'!AN$5,IF(Deckblatt!$B$14=6,'translation List'!AN$6,IF(Deckblatt!$B$14=7,'translation List'!AN$7,IF(Deckblatt!$B$14=8,'translation List'!AN$8,IF(Deckblatt!$B$14=9,'translation List'!AN$9,IF(Deckblatt!$B$14=10,'translation List'!AN$10,IF(Deckblatt!$B$14=11,'translation List'!AN$11,IF(Deckblatt!$B$14=12,'translation List'!AN$12))))))))))))</f>
        <v>Gross power</v>
      </c>
      <c r="B23" s="168"/>
      <c r="C23" s="169"/>
      <c r="D23" s="156" t="s">
        <v>37</v>
      </c>
      <c r="E23" s="157"/>
      <c r="F23" s="219"/>
      <c r="G23" s="78"/>
      <c r="H23" s="78"/>
      <c r="I23" s="78"/>
      <c r="J23" s="78"/>
      <c r="K23" s="78"/>
      <c r="L23" s="78"/>
      <c r="M23" s="78"/>
      <c r="N23" s="78"/>
      <c r="O23" s="7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45" ht="18" customHeight="1">
      <c r="A24" s="249" t="str">
        <f>IF(Deckblatt!$B$14=1,'translation List'!AO$1,IF(Deckblatt!$B$14=2,'translation List'!AO$2,IF(Deckblatt!$B$14=3,'translation List'!AO$3,IF(Deckblatt!$B$14=4,'translation List'!AO$4,IF(Deckblatt!$B$14=5,'translation List'!AO$5,IF(Deckblatt!$B$14=6,'translation List'!AO$6,IF(Deckblatt!$B$14=7,'translation List'!AO$7,IF(Deckblatt!$B$14=8,'translation List'!AO$8,IF(Deckblatt!$B$14=9,'translation List'!AO$9,IF(Deckblatt!$B$14=10,'translation List'!AO$10,IF(Deckblatt!$B$14=11,'translation List'!AO$11,IF(Deckblatt!$B$14=12,'translation List'!AO$12))))))))))))</f>
        <v>Net power input</v>
      </c>
      <c r="B24" s="168"/>
      <c r="C24" s="169"/>
      <c r="D24" s="156" t="s">
        <v>38</v>
      </c>
      <c r="E24" s="157"/>
      <c r="F24" s="220"/>
      <c r="G24" s="78"/>
      <c r="H24" s="78"/>
      <c r="I24" s="78"/>
      <c r="J24" s="78"/>
      <c r="K24" s="78"/>
      <c r="L24" s="78"/>
      <c r="M24" s="78"/>
      <c r="N24" s="78"/>
      <c r="O24" s="79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45" ht="18" customHeight="1">
      <c r="A25" s="249" t="str">
        <f>IF(Deckblatt!$B$14=1,'translation List'!AP$1,IF(Deckblatt!$B$14=2,'translation List'!AP$2,IF(Deckblatt!$B$14=3,'translation List'!AP$3,IF(Deckblatt!$B$14=4,'translation List'!AP$4,IF(Deckblatt!$B$14=5,'translation List'!AP$5,IF(Deckblatt!$B$14=6,'translation List'!AP$6,IF(Deckblatt!$B$14=7,'translation List'!AP$7,IF(Deckblatt!$B$14=8,'translation List'!AP$8,IF(Deckblatt!$B$14=9,'translation List'!AP$9,IF(Deckblatt!$B$14=10,'translation List'!AP$10,IF(Deckblatt!$B$14=11,'translation List'!AP$11,IF(Deckblatt!$B$14=12,'translation List'!AP$12))))))))))))</f>
        <v>Grinding energy input</v>
      </c>
      <c r="B25" s="168"/>
      <c r="C25" s="169"/>
      <c r="D25" s="156" t="s">
        <v>39</v>
      </c>
      <c r="E25" s="157"/>
      <c r="F25" s="73"/>
      <c r="G25" s="78"/>
      <c r="H25" s="78"/>
      <c r="I25" s="78"/>
      <c r="J25" s="78"/>
      <c r="K25" s="78"/>
      <c r="L25" s="78"/>
      <c r="M25" s="78"/>
      <c r="N25" s="78"/>
      <c r="O25" s="79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</row>
    <row r="26" spans="1:45" ht="18" customHeight="1">
      <c r="A26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6" s="168"/>
      <c r="C26" s="169"/>
      <c r="D26" s="154" t="s">
        <v>50</v>
      </c>
      <c r="E26" s="155"/>
      <c r="F26" s="28">
        <v>0</v>
      </c>
      <c r="G26" s="80"/>
      <c r="H26" s="80"/>
      <c r="I26" s="80"/>
      <c r="J26" s="80"/>
      <c r="K26" s="80"/>
      <c r="L26" s="80"/>
      <c r="M26" s="80"/>
      <c r="N26" s="80"/>
      <c r="O26" s="80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</row>
    <row r="27" spans="1:45" ht="18" customHeight="1">
      <c r="A27" s="249" t="str">
        <f>IF(Deckblatt!$B$14=1,'translation List'!AQ$1,IF(Deckblatt!$B$14=2,'translation List'!AQ$2,IF(Deckblatt!$B$14=3,'translation List'!AQ$3,IF(Deckblatt!$B$14=4,'translation List'!AQ$4,IF(Deckblatt!$B$14=5,'translation List'!AQ$5,IF(Deckblatt!$B$14=6,'translation List'!AQ$6,IF(Deckblatt!$B$14=7,'translation List'!AQ$7,IF(Deckblatt!$B$14=8,'translation List'!AQ$8,IF(Deckblatt!$B$14=9,'translation List'!AQ$9,IF(Deckblatt!$B$14=10,'translation List'!AQ$10,IF(Deckblatt!$B$14=11,'translation List'!AQ$11,IF(Deckblatt!$B$14=12,'translation List'!AQ$12))))))))))))</f>
        <v>Specific energy input</v>
      </c>
      <c r="B27" s="168"/>
      <c r="C27" s="169"/>
      <c r="D27" s="154" t="s">
        <v>40</v>
      </c>
      <c r="E27" s="155"/>
      <c r="F27" s="28">
        <v>0</v>
      </c>
      <c r="G27" s="100"/>
      <c r="H27" s="100"/>
      <c r="I27" s="100"/>
      <c r="J27" s="100"/>
      <c r="K27" s="100"/>
      <c r="L27" s="80"/>
      <c r="M27" s="80"/>
      <c r="N27" s="80"/>
      <c r="O27" s="103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ht="18" customHeight="1">
      <c r="A28" s="253" t="str">
        <f>IF(Deckblatt!$B$14=1,'translation List'!AR$1,IF(Deckblatt!$B$14=2,'translation List'!AR$2,IF(Deckblatt!$B$14=3,'translation List'!AR$3,IF(Deckblatt!$B$14=4,'translation List'!AR$4,IF(Deckblatt!$B$14=5,'translation List'!AR$5,IF(Deckblatt!$B$14=6,'translation List'!AR$6,IF(Deckblatt!$B$14=7,'translation List'!AR$7,IF(Deckblatt!$B$14=8,'translation List'!AR$8,IF(Deckblatt!$B$14=9,'translation List'!AR$9,IF(Deckblatt!$B$14=10,'translation List'!AR$10,IF(Deckblatt!$B$14=11,'translation List'!AR$11,IF(Deckblatt!$B$14=12,'translation List'!AR$12))))))))))))</f>
        <v>Particle size</v>
      </c>
      <c r="B28" s="212" t="s">
        <v>41</v>
      </c>
      <c r="C28" s="213" t="s">
        <v>42</v>
      </c>
      <c r="D28" s="62">
        <f>D12</f>
        <v>50</v>
      </c>
      <c r="E28" s="63" t="s">
        <v>43</v>
      </c>
      <c r="F28" s="73">
        <v>2.0099999999999998</v>
      </c>
      <c r="G28" s="78"/>
      <c r="H28" s="78"/>
      <c r="I28" s="78"/>
      <c r="J28" s="78"/>
      <c r="K28" s="78"/>
      <c r="L28" s="78"/>
      <c r="M28" s="78"/>
      <c r="N28" s="78"/>
      <c r="O28" s="79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</row>
    <row r="29" spans="1:45" ht="18" customHeight="1">
      <c r="A29" s="254"/>
      <c r="B29" s="212"/>
      <c r="C29" s="214"/>
      <c r="D29" s="62">
        <f>H12</f>
        <v>90</v>
      </c>
      <c r="E29" s="63" t="s">
        <v>43</v>
      </c>
      <c r="F29" s="73">
        <v>3.93</v>
      </c>
      <c r="G29" s="78"/>
      <c r="H29" s="78"/>
      <c r="I29" s="78"/>
      <c r="J29" s="78"/>
      <c r="K29" s="78"/>
      <c r="L29" s="78"/>
      <c r="M29" s="78"/>
      <c r="N29" s="78"/>
      <c r="O29" s="79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ht="18" customHeight="1">
      <c r="A30" s="255"/>
      <c r="B30" s="212"/>
      <c r="C30" s="215"/>
      <c r="D30" s="64">
        <f>L12</f>
        <v>95</v>
      </c>
      <c r="E30" s="63" t="s">
        <v>43</v>
      </c>
      <c r="F30" s="73">
        <v>4.58</v>
      </c>
      <c r="G30" s="78"/>
      <c r="H30" s="78"/>
      <c r="I30" s="78"/>
      <c r="J30" s="78"/>
      <c r="K30" s="78"/>
      <c r="L30" s="78"/>
      <c r="M30" s="78"/>
      <c r="N30" s="78"/>
      <c r="O30" s="7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1" spans="1:45" ht="18" customHeight="1">
      <c r="A31" s="249" t="str">
        <f>IF(Deckblatt!$B$14=1,'translation List'!AS$1,IF(Deckblatt!$B$14=2,'translation List'!AS$2,IF(Deckblatt!$B$14=3,'translation List'!AS$3,IF(Deckblatt!$B$14=4,'translation List'!AS$4,IF(Deckblatt!$B$14=5,'translation List'!AS$5,IF(Deckblatt!$B$14=6,'translation List'!AS$6,IF(Deckblatt!$B$14=7,'translation List'!AS$7,IF(Deckblatt!$B$14=8,'translation List'!AS$8,IF(Deckblatt!$B$14=9,'translation List'!AS$9,IF(Deckblatt!$B$14=10,'translation List'!AS$10,IF(Deckblatt!$B$14=11,'translation List'!AS$11,IF(Deckblatt!$B$14=12,'translation List'!AS$12))))))))))))</f>
        <v>Other measurements</v>
      </c>
      <c r="B31" s="168"/>
      <c r="C31" s="169"/>
      <c r="D31" s="210" t="s">
        <v>51</v>
      </c>
      <c r="E31" s="211"/>
      <c r="F31" s="99"/>
      <c r="G31" s="78"/>
      <c r="H31" s="78"/>
      <c r="I31" s="78"/>
      <c r="J31" s="78"/>
      <c r="K31" s="78"/>
      <c r="L31" s="78"/>
      <c r="M31" s="78"/>
      <c r="N31" s="78"/>
      <c r="O31" s="7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</row>
    <row r="32" spans="1:45" ht="18" customHeight="1">
      <c r="A32" s="256" t="str">
        <f>IF(Deckblatt!$B$14=1,'translation List'!AT$1,IF(Deckblatt!$B$14=2,'translation List'!AT$2,IF(Deckblatt!$B$14=3,'translation List'!AT$3,IF(Deckblatt!$B$14=4,'translation List'!AT$4,IF(Deckblatt!$B$14=5,'translation List'!AT$5,IF(Deckblatt!$B$14=6,'translation List'!AT$6,IF(Deckblatt!$B$14=7,'translation List'!AT$7,IF(Deckblatt!$B$14=8,'translation List'!AT$8,IF(Deckblatt!$B$14=9,'translation List'!AT$9,IF(Deckblatt!$B$14=10,'translation List'!AT$10,IF(Deckblatt!$B$14=11,'translation List'!AT$11,IF(Deckblatt!$B$14=12,'translation List'!AT$12))))))))))))</f>
        <v>Theoretical circles</v>
      </c>
      <c r="B32" s="233"/>
      <c r="C32" s="233"/>
      <c r="D32" s="231" t="s">
        <v>44</v>
      </c>
      <c r="E32" s="232"/>
      <c r="F32" s="101">
        <v>0</v>
      </c>
      <c r="G32" s="102" t="e">
        <f t="shared" ref="G32:O32" si="0">((G18/60)/$M8)*(G16-F16)+F32</f>
        <v>#VALUE!</v>
      </c>
      <c r="H32" s="102" t="e">
        <f t="shared" si="0"/>
        <v>#VALUE!</v>
      </c>
      <c r="I32" s="102" t="e">
        <f t="shared" si="0"/>
        <v>#VALUE!</v>
      </c>
      <c r="J32" s="102" t="e">
        <f t="shared" si="0"/>
        <v>#VALUE!</v>
      </c>
      <c r="K32" s="102" t="e">
        <f t="shared" si="0"/>
        <v>#VALUE!</v>
      </c>
      <c r="L32" s="102" t="e">
        <f t="shared" si="0"/>
        <v>#VALUE!</v>
      </c>
      <c r="M32" s="102" t="e">
        <f t="shared" si="0"/>
        <v>#VALUE!</v>
      </c>
      <c r="N32" s="102" t="e">
        <f t="shared" si="0"/>
        <v>#VALUE!</v>
      </c>
      <c r="O32" s="102" t="e">
        <f t="shared" si="0"/>
        <v>#VALUE!</v>
      </c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ht="18" customHeight="1">
      <c r="A33" s="257" t="str">
        <f>IF(Deckblatt!$B$14=1,'translation List'!AU$1,IF(Deckblatt!$B$14=2,'translation List'!AU$2,IF(Deckblatt!$B$14=3,'translation List'!AU$3,IF(Deckblatt!$B$14=4,'translation List'!AU$4,IF(Deckblatt!$B$14=5,'translation List'!AU$5,IF(Deckblatt!$B$14=6,'translation List'!AU$6,IF(Deckblatt!$B$14=7,'translation List'!AU$7,IF(Deckblatt!$B$14=8,'translation List'!AU$8,IF(Deckblatt!$B$14=9,'translation List'!AU$9,IF(Deckblatt!$B$14=10,'translation List'!AU$10,IF(Deckblatt!$B$14=11,'translation List'!AU$11,IF(Deckblatt!$B$14=12,'translation List'!AU$12))))))))))))</f>
        <v>Production capacity</v>
      </c>
      <c r="B33" s="258"/>
      <c r="C33" s="259"/>
      <c r="D33" s="172" t="s">
        <v>45</v>
      </c>
      <c r="E33" s="260"/>
      <c r="F33" s="61">
        <v>0</v>
      </c>
      <c r="G33" s="81" t="e">
        <f t="shared" ref="G33:O33" si="1">IF($C$28="Sample from the circulat. tank",$M$8*(60/G16),IF($C$28="Sample from the outlet",(1/((1/($M$8*(60/G16)))+(1/G18))),""))</f>
        <v>#VALUE!</v>
      </c>
      <c r="H33" s="81" t="e">
        <f t="shared" si="1"/>
        <v>#DIV/0!</v>
      </c>
      <c r="I33" s="81" t="e">
        <f t="shared" si="1"/>
        <v>#DIV/0!</v>
      </c>
      <c r="J33" s="81" t="e">
        <f t="shared" si="1"/>
        <v>#DIV/0!</v>
      </c>
      <c r="K33" s="81" t="e">
        <f t="shared" si="1"/>
        <v>#DIV/0!</v>
      </c>
      <c r="L33" s="81" t="e">
        <f t="shared" si="1"/>
        <v>#DIV/0!</v>
      </c>
      <c r="M33" s="81" t="e">
        <f t="shared" si="1"/>
        <v>#DIV/0!</v>
      </c>
      <c r="N33" s="81" t="e">
        <f t="shared" si="1"/>
        <v>#DIV/0!</v>
      </c>
      <c r="O33" s="81" t="e">
        <f t="shared" si="1"/>
        <v>#DIV/0!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</row>
    <row r="34" spans="1:45" ht="18" customHeight="1">
      <c r="A34" s="230" t="s">
        <v>0</v>
      </c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</row>
    <row r="35" spans="1:45" ht="22.5" customHeight="1">
      <c r="A35" s="261" t="str">
        <f>IF(Deckblatt!$B$14=1,'translation List'!AV$1,IF(Deckblatt!$B$14=2,'translation List'!AV$2,IF(Deckblatt!$B$14=3,'translation List'!AV$3,IF(Deckblatt!$B$14=4,'translation List'!AV$4,IF(Deckblatt!$B$14=5,'translation List'!AV$5,IF(Deckblatt!$B$14=6,'translation List'!AV$6,IF(Deckblatt!$B$14=7,'translation List'!AV$7,IF(Deckblatt!$B$14=8,'translation List'!AV$8,IF(Deckblatt!$B$14=9,'translation List'!AV$9,IF(Deckblatt!$B$14=10,'translation List'!AV$10,IF(Deckblatt!$B$14=11,'translation List'!AV$11,IF(Deckblatt!$B$14=12,'translation List'!AV$12))))))))))))</f>
        <v>Cooling</v>
      </c>
      <c r="B35" s="262"/>
      <c r="C35" s="262"/>
      <c r="D35" s="262"/>
      <c r="E35" s="263"/>
      <c r="F35" s="264" t="str">
        <f>IF(Deckblatt!$B$14=1,'translation List'!BA$1,IF(Deckblatt!$B$14=2,'translation List'!BA$2,IF(Deckblatt!$B$14=3,'translation List'!BA$3,IF(Deckblatt!$B$14=4,'translation List'!BA$4,IF(Deckblatt!$B$14=5,'translation List'!BA$5,IF(Deckblatt!$B$14=6,'translation List'!BA$6,IF(Deckblatt!$B$14=7,'translation List'!BA$7,IF(Deckblatt!$B$14=8,'translation List'!BA$8,IF(Deckblatt!$B$14=9,'translation List'!BA$9,IF(Deckblatt!$B$14=10,'translation List'!BA$10,IF(Deckblatt!$B$14=11,'translation List'!BA$11,IF(Deckblatt!$B$14=12,'translation List'!BA$12))))))))))))</f>
        <v>Grinding chamber</v>
      </c>
      <c r="G35" s="264"/>
      <c r="H35" s="264" t="str">
        <f>IF(Deckblatt!$B$14=1,'translation List'!BB$1,IF(Deckblatt!$B$14=2,'translation List'!BB$2,IF(Deckblatt!$B$14=3,'translation List'!BB$3,IF(Deckblatt!$B$14=4,'translation List'!BB$4,IF(Deckblatt!$B$14=5,'translation List'!BB$5,IF(Deckblatt!$B$14=6,'translation List'!BB$6,IF(Deckblatt!$B$14=7,'translation List'!BB$7,IF(Deckblatt!$B$14=8,'translation List'!BB$8,IF(Deckblatt!$B$14=9,'translation List'!BB$9,IF(Deckblatt!$B$14=10,'translation List'!BB$10,IF(Deckblatt!$B$14=11,'translation List'!BB$11,IF(Deckblatt!$B$14=12,'translation List'!BB$12))))))))))))</f>
        <v>Mechanical seal</v>
      </c>
      <c r="I35" s="264"/>
      <c r="J35" s="264" t="str">
        <f>IF(Deckblatt!$B$14=1,'translation List'!BC$1,IF(Deckblatt!$B$14=2,'translation List'!BC$2,IF(Deckblatt!$B$14=3,'translation List'!BC$3,IF(Deckblatt!$B$14=4,'translation List'!BC$4,IF(Deckblatt!$B$14=5,'translation List'!BC$5,IF(Deckblatt!$B$14=6,'translation List'!BC$6,IF(Deckblatt!$B$14=7,'translation List'!BC$7,IF(Deckblatt!$B$14=8,'translation List'!BC$8,IF(Deckblatt!$B$14=9,'translation List'!BC$9,IF(Deckblatt!$B$14=10,'translation List'!BC$10,IF(Deckblatt!$B$14=11,'translation List'!BC$11,IF(Deckblatt!$B$14=12,'translation List'!BC$12))))))))))))</f>
        <v>Circulation tank</v>
      </c>
      <c r="K35" s="264"/>
      <c r="L35" s="264" t="str">
        <f>IF(Deckblatt!$B$14=1,'translation List'!BD$1,IF(Deckblatt!$B$14=2,'translation List'!BD$2,IF(Deckblatt!$B$14=3,'translation List'!BD$3,IF(Deckblatt!$B$14=4,'translation List'!BD$4,IF(Deckblatt!$B$14=5,'translation List'!BD$5,IF(Deckblatt!$B$14=6,'translation List'!BD$6,IF(Deckblatt!$B$14=7,'translation List'!BD$7,IF(Deckblatt!$B$14=8,'translation List'!BD$8,IF(Deckblatt!$B$14=9,'translation List'!BD$9,IF(Deckblatt!$B$14=10,'translation List'!BD$10,IF(Deckblatt!$B$14=11,'translation List'!BD$11,IF(Deckblatt!$B$14=12,'translation List'!BD$12))))))))))))</f>
        <v>Chiller</v>
      </c>
      <c r="M35" s="264"/>
      <c r="N35" s="264" t="str">
        <f>IF(Deckblatt!$B$14=1,'translation List'!BE$1,IF(Deckblatt!$B$14=2,'translation List'!BE$2,IF(Deckblatt!$B$14=3,'translation List'!BE$3,IF(Deckblatt!$B$14=4,'translation List'!BE$4,IF(Deckblatt!$B$14=5,'translation List'!BE$5,IF(Deckblatt!$B$14=6,'translation List'!BE$6,IF(Deckblatt!$B$14=7,'translation List'!BE$7,IF(Deckblatt!$B$14=8,'translation List'!BE$8,IF(Deckblatt!$B$14=9,'translation List'!BE$9,IF(Deckblatt!$B$14=10,'translation List'!BE$10,IF(Deckblatt!$B$14=11,'translation List'!BE$11,IF(Deckblatt!$B$14=12,'translation List'!BE$12))))))))))))</f>
        <v>Total</v>
      </c>
      <c r="O35" s="26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</row>
    <row r="36" spans="1:45" ht="18" customHeight="1">
      <c r="A36" s="273" t="str">
        <f>IF(Deckblatt!$B$14=1,'translation List'!AW$1,IF(Deckblatt!$B$14=2,'translation List'!AW$2,IF(Deckblatt!$B$14=3,'translation List'!AW$3,IF(Deckblatt!$B$14=4,'translation List'!AW$4,IF(Deckblatt!$B$14=5,'translation List'!AW$5,IF(Deckblatt!$B$14=6,'translation List'!AW$6,IF(Deckblatt!$B$14=7,'translation List'!AW$7,IF(Deckblatt!$B$14=8,'translation List'!AW$8,IF(Deckblatt!$B$14=9,'translation List'!AW$9,IF(Deckblatt!$B$14=10,'translation List'!AW$10,IF(Deckblatt!$B$14=11,'translation List'!AW$11,IF(Deckblatt!$B$14=12,'translation List'!AW$12))))))))))))</f>
        <v>Temperature inlet</v>
      </c>
      <c r="B36" s="274"/>
      <c r="C36" s="275"/>
      <c r="D36" s="276" t="s">
        <v>35</v>
      </c>
      <c r="E36" s="277"/>
      <c r="F36" s="266"/>
      <c r="G36" s="266"/>
      <c r="H36" s="266"/>
      <c r="I36" s="266"/>
      <c r="J36" s="266"/>
      <c r="K36" s="266"/>
      <c r="L36" s="266"/>
      <c r="M36" s="266"/>
      <c r="N36" s="266"/>
      <c r="O36" s="267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</row>
    <row r="37" spans="1:45" ht="18" customHeight="1">
      <c r="A37" s="268" t="str">
        <f>IF(Deckblatt!$B$14=1,'translation List'!AX$1,IF(Deckblatt!$B$14=2,'translation List'!AX$2,IF(Deckblatt!$B$14=3,'translation List'!AX$3,IF(Deckblatt!$B$14=4,'translation List'!AX$4,IF(Deckblatt!$B$14=5,'translation List'!AX$5,IF(Deckblatt!$B$14=6,'translation List'!AX$6,IF(Deckblatt!$B$14=7,'translation List'!AX$7,IF(Deckblatt!$B$14=8,'translation List'!AX$8,IF(Deckblatt!$B$14=9,'translation List'!AX$9,IF(Deckblatt!$B$14=10,'translation List'!AX$10,IF(Deckblatt!$B$14=11,'translation List'!AX$11,IF(Deckblatt!$B$14=12,'translation List'!AX$12))))))))))))</f>
        <v>Temperature outlet</v>
      </c>
      <c r="B37" s="269"/>
      <c r="C37" s="270"/>
      <c r="D37" s="156" t="s">
        <v>36</v>
      </c>
      <c r="E37" s="157"/>
      <c r="F37" s="271"/>
      <c r="G37" s="271"/>
      <c r="H37" s="271"/>
      <c r="I37" s="271"/>
      <c r="J37" s="271"/>
      <c r="K37" s="271"/>
      <c r="L37" s="271"/>
      <c r="M37" s="271"/>
      <c r="N37" s="271"/>
      <c r="O37" s="272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</row>
    <row r="38" spans="1:45" ht="18" customHeight="1">
      <c r="A38" s="278" t="str">
        <f>IF(Deckblatt!$B$14=1,'translation List'!AY$1,IF(Deckblatt!$B$14=2,'translation List'!AY$2,IF(Deckblatt!$B$14=3,'translation List'!AY$3,IF(Deckblatt!$B$14=4,'translation List'!AY$4,IF(Deckblatt!$B$14=5,'translation List'!AY$5,IF(Deckblatt!$B$14=6,'translation List'!AY$6,IF(Deckblatt!$B$14=7,'translation List'!AY$7,IF(Deckblatt!$B$14=8,'translation List'!AY$8,IF(Deckblatt!$B$14=9,'translation List'!AY$9,IF(Deckblatt!$B$14=10,'translation List'!AY$10,IF(Deckblatt!$B$14=11,'translation List'!AY$11,IF(Deckblatt!$B$14=12,'translation List'!AY$12))))))))))))</f>
        <v>Cooling water flow rate</v>
      </c>
      <c r="B38" s="279"/>
      <c r="C38" s="279"/>
      <c r="D38" s="279"/>
      <c r="E38" s="65" t="s">
        <v>53</v>
      </c>
      <c r="F38" s="280"/>
      <c r="G38" s="280"/>
      <c r="H38" s="280"/>
      <c r="I38" s="280"/>
      <c r="J38" s="280"/>
      <c r="K38" s="280"/>
      <c r="L38" s="280"/>
      <c r="M38" s="280"/>
      <c r="N38" s="281"/>
      <c r="O38" s="282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8" customHeight="1">
      <c r="A39" s="229" t="str">
        <f>IF(Deckblatt!$B$14=1,'translation List'!AZ$1,IF(Deckblatt!$B$14=2,'translation List'!AZ$2,IF(Deckblatt!$B$14=3,'translation List'!AZ$3,IF(Deckblatt!$B$14=4,'translation List'!AZ$4,IF(Deckblatt!$B$14=5,'translation List'!AZ$5,IF(Deckblatt!$B$14=6,'translation List'!AZ$6,IF(Deckblatt!$B$14=7,'translation List'!AZ$7,IF(Deckblatt!$B$14=8,'translation List'!AZ$8,IF(Deckblatt!$B$14=9,'translation List'!AZ$9,IF(Deckblatt!$B$14=10,'translation List'!AZ$10,IF(Deckblatt!$B$14=11,'translation List'!AZ$11,IF(Deckblatt!$B$14=12,'translation List'!AZ$12))))))))))))</f>
        <v>Remarks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</row>
    <row r="40" spans="1:45" ht="18" customHeight="1">
      <c r="A40" s="223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7"/>
      <c r="P40" s="8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</row>
    <row r="41" spans="1:45" ht="32.25" customHeight="1">
      <c r="A41" s="225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8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</row>
    <row r="42" spans="1:45" ht="18" customHeight="1">
      <c r="C42" s="13"/>
      <c r="E42" s="13"/>
    </row>
    <row r="52" spans="4:13" ht="18" customHeight="1">
      <c r="D52" s="3" t="s">
        <v>0</v>
      </c>
      <c r="I52" s="3" t="s">
        <v>0</v>
      </c>
      <c r="J52" s="3" t="s">
        <v>0</v>
      </c>
      <c r="M52" s="3" t="s">
        <v>0</v>
      </c>
    </row>
  </sheetData>
  <sheetProtection selectLockedCells="1"/>
  <mergeCells count="111">
    <mergeCell ref="A39:O39"/>
    <mergeCell ref="A40:H41"/>
    <mergeCell ref="I40:O41"/>
    <mergeCell ref="A38:D38"/>
    <mergeCell ref="F38:G38"/>
    <mergeCell ref="H38:I38"/>
    <mergeCell ref="J38:K38"/>
    <mergeCell ref="L38:M38"/>
    <mergeCell ref="N38:O38"/>
    <mergeCell ref="N36:O36"/>
    <mergeCell ref="A37:C37"/>
    <mergeCell ref="D37:E37"/>
    <mergeCell ref="F37:G37"/>
    <mergeCell ref="H37:I37"/>
    <mergeCell ref="J37:K37"/>
    <mergeCell ref="L37:M37"/>
    <mergeCell ref="N37:O37"/>
    <mergeCell ref="A36:C36"/>
    <mergeCell ref="D36:E36"/>
    <mergeCell ref="F36:G36"/>
    <mergeCell ref="H36:I36"/>
    <mergeCell ref="J36:K36"/>
    <mergeCell ref="L36:M36"/>
    <mergeCell ref="A33:C33"/>
    <mergeCell ref="D33:E33"/>
    <mergeCell ref="A34:O34"/>
    <mergeCell ref="A35:E35"/>
    <mergeCell ref="F35:G35"/>
    <mergeCell ref="H35:I35"/>
    <mergeCell ref="J35:K35"/>
    <mergeCell ref="L35:M35"/>
    <mergeCell ref="N35:O35"/>
    <mergeCell ref="A28:A30"/>
    <mergeCell ref="B28:B30"/>
    <mergeCell ref="C28:C30"/>
    <mergeCell ref="A31:C31"/>
    <mergeCell ref="D31:E31"/>
    <mergeCell ref="A32:C32"/>
    <mergeCell ref="D32:E32"/>
    <mergeCell ref="A25:C25"/>
    <mergeCell ref="D25:E25"/>
    <mergeCell ref="A26:C26"/>
    <mergeCell ref="D26:E26"/>
    <mergeCell ref="A27:C27"/>
    <mergeCell ref="D27:E27"/>
    <mergeCell ref="F17:F24"/>
    <mergeCell ref="A18:C18"/>
    <mergeCell ref="D18:E18"/>
    <mergeCell ref="A19:C19"/>
    <mergeCell ref="D19:E19"/>
    <mergeCell ref="A20:C20"/>
    <mergeCell ref="D20:E20"/>
    <mergeCell ref="A21:C21"/>
    <mergeCell ref="A13:O13"/>
    <mergeCell ref="A14:F14"/>
    <mergeCell ref="G14:O14"/>
    <mergeCell ref="A15:E15"/>
    <mergeCell ref="A16:C16"/>
    <mergeCell ref="D16:E16"/>
    <mergeCell ref="D21:E21"/>
    <mergeCell ref="A22:C22"/>
    <mergeCell ref="D22:E22"/>
    <mergeCell ref="A23:C23"/>
    <mergeCell ref="D23:E23"/>
    <mergeCell ref="A24:C24"/>
    <mergeCell ref="D24:E24"/>
    <mergeCell ref="A17:C17"/>
    <mergeCell ref="D17:E17"/>
    <mergeCell ref="G16:O18"/>
    <mergeCell ref="A12:C12"/>
    <mergeCell ref="E12:F12"/>
    <mergeCell ref="I12:J12"/>
    <mergeCell ref="M12:N12"/>
    <mergeCell ref="A9:C9"/>
    <mergeCell ref="D9:F9"/>
    <mergeCell ref="I9:L9"/>
    <mergeCell ref="M9:N9"/>
    <mergeCell ref="A10:D10"/>
    <mergeCell ref="E10:K10"/>
    <mergeCell ref="L10:M10"/>
    <mergeCell ref="A7:C7"/>
    <mergeCell ref="D7:F7"/>
    <mergeCell ref="I7:L7"/>
    <mergeCell ref="M7:N7"/>
    <mergeCell ref="A8:C8"/>
    <mergeCell ref="D8:F8"/>
    <mergeCell ref="I8:L8"/>
    <mergeCell ref="M8:N8"/>
    <mergeCell ref="A11:D11"/>
    <mergeCell ref="E11:O11"/>
    <mergeCell ref="A6:C6"/>
    <mergeCell ref="D6:H6"/>
    <mergeCell ref="I6:L6"/>
    <mergeCell ref="A3:C3"/>
    <mergeCell ref="D3:G3"/>
    <mergeCell ref="H3:J3"/>
    <mergeCell ref="K3:N3"/>
    <mergeCell ref="A4:C4"/>
    <mergeCell ref="I4:K4"/>
    <mergeCell ref="L4:O4"/>
    <mergeCell ref="M6:N6"/>
    <mergeCell ref="A1:D1"/>
    <mergeCell ref="E1:G1"/>
    <mergeCell ref="H1:I1"/>
    <mergeCell ref="K1:L1"/>
    <mergeCell ref="M1:O1"/>
    <mergeCell ref="A2:D2"/>
    <mergeCell ref="E2:O2"/>
    <mergeCell ref="A5:C5"/>
    <mergeCell ref="D5:G5"/>
    <mergeCell ref="J5:K5"/>
  </mergeCells>
  <dataValidations disablePrompts="1" count="1">
    <dataValidation errorStyle="information" allowBlank="1" showInputMessage="1" showErrorMessage="1" sqref="D18:E18" xr:uid="{00000000-0002-0000-0500-000000000000}"/>
  </dataValidations>
  <pageMargins left="0.70866141732283472" right="0.31496062992125984" top="0.98425196850393704" bottom="0.59055118110236227" header="0.31496062992125984" footer="0.31496062992125984"/>
  <pageSetup paperSize="9" scale="98" pageOrder="overThenDown" orientation="portrait" r:id="rId1"/>
  <headerFooter>
    <oddHeader>&amp;L&amp;G&amp;R&amp;"Arial,Fett"&amp;24&amp;F &amp;A</oddHeader>
    <oddFooter>&amp;LTest report_mill&amp;C &amp;R &amp;F &amp;P/&amp;N</oddFooter>
  </headerFooter>
  <rowBreaks count="1" manualBreakCount="1">
    <brk id="43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500-000001000000}">
          <x14:formula1>
            <xm:f>'translation List'!$F$19:$F$22</xm:f>
          </x14:formula1>
          <xm:sqref>B28:B30</xm:sqref>
        </x14:dataValidation>
        <x14:dataValidation type="list" allowBlank="1" showInputMessage="1" showErrorMessage="1" xr:uid="{00000000-0002-0000-0500-000002000000}">
          <x14:formula1>
            <xm:f>'translation List'!$D$19:$D$21</xm:f>
          </x14:formula1>
          <xm:sqref>C28:C30</xm:sqref>
        </x14:dataValidation>
        <x14:dataValidation type="list" allowBlank="1" showInputMessage="1" showErrorMessage="1" xr:uid="{00000000-0002-0000-0500-000003000000}">
          <x14:formula1>
            <xm:f>'translation List'!$C$19:$C$25</xm:f>
          </x14:formula1>
          <xm:sqref>D5</xm:sqref>
        </x14:dataValidation>
        <x14:dataValidation type="list" allowBlank="1" showInputMessage="1" showErrorMessage="1" xr:uid="{00000000-0002-0000-0500-000004000000}">
          <x14:formula1>
            <xm:f>'translation List'!$B$26:$B$31</xm:f>
          </x14:formula1>
          <xm:sqref>K3:N3</xm:sqref>
        </x14:dataValidation>
        <x14:dataValidation type="list" allowBlank="1" showInputMessage="1" showErrorMessage="1" xr:uid="{00000000-0002-0000-0500-000005000000}">
          <x14:formula1>
            <xm:f>'translation List'!$B$19:$B$23</xm:f>
          </x14:formula1>
          <xm:sqref>D3:G3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20"/>
  <sheetViews>
    <sheetView topLeftCell="A3" zoomScale="190" zoomScaleNormal="190" workbookViewId="0">
      <selection activeCell="A5" sqref="A5:XFD5"/>
    </sheetView>
  </sheetViews>
  <sheetFormatPr baseColWidth="10" defaultColWidth="11.44140625" defaultRowHeight="13.2"/>
  <sheetData>
    <row r="2" spans="1:15">
      <c r="A2" s="94" t="s">
        <v>61</v>
      </c>
    </row>
    <row r="4" spans="1:15" ht="14.4">
      <c r="A4" s="108" t="s">
        <v>62</v>
      </c>
      <c r="B4" s="109"/>
      <c r="C4" s="109"/>
      <c r="D4" s="109"/>
      <c r="E4" s="109"/>
    </row>
    <row r="5" spans="1:15" ht="14.4">
      <c r="A5" s="108" t="s">
        <v>63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ht="14.4">
      <c r="A6" s="110" t="s">
        <v>64</v>
      </c>
      <c r="B6" s="111"/>
      <c r="C6" s="111"/>
      <c r="D6" s="111"/>
      <c r="E6" s="111"/>
      <c r="F6" s="111"/>
    </row>
    <row r="7" spans="1:15" ht="14.4">
      <c r="A7" s="93" t="s">
        <v>65</v>
      </c>
    </row>
    <row r="8" spans="1:15" ht="14.4">
      <c r="A8" s="93" t="s">
        <v>66</v>
      </c>
    </row>
    <row r="9" spans="1:15" ht="14.4">
      <c r="A9" s="93" t="s">
        <v>67</v>
      </c>
    </row>
    <row r="10" spans="1:15" ht="14.4">
      <c r="A10" s="93" t="s">
        <v>68</v>
      </c>
    </row>
    <row r="11" spans="1:15" ht="14.4">
      <c r="A11" s="93" t="s">
        <v>69</v>
      </c>
    </row>
    <row r="12" spans="1:15" ht="14.4">
      <c r="A12" s="93" t="s">
        <v>70</v>
      </c>
    </row>
    <row r="15" spans="1:15" ht="14.4">
      <c r="A15" s="93" t="s">
        <v>71</v>
      </c>
      <c r="B15" s="95">
        <v>0.4</v>
      </c>
    </row>
    <row r="16" spans="1:15" ht="14.4">
      <c r="A16" s="93" t="s">
        <v>51</v>
      </c>
      <c r="B16" s="96" t="s">
        <v>72</v>
      </c>
      <c r="C16" s="3" t="s">
        <v>73</v>
      </c>
    </row>
    <row r="17" spans="1:5" ht="14.4">
      <c r="A17" s="93" t="s">
        <v>74</v>
      </c>
      <c r="B17" s="3" t="s">
        <v>75</v>
      </c>
      <c r="C17" s="3" t="s">
        <v>76</v>
      </c>
    </row>
    <row r="20" spans="1:5">
      <c r="A20" s="3" t="s">
        <v>77</v>
      </c>
      <c r="B20" s="3" t="s">
        <v>78</v>
      </c>
      <c r="C20" s="3" t="s">
        <v>79</v>
      </c>
      <c r="D20" s="3" t="s">
        <v>80</v>
      </c>
      <c r="E20" s="3" t="s">
        <v>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zoomScale="160" zoomScaleNormal="160" workbookViewId="0">
      <selection activeCell="G12" sqref="G12"/>
    </sheetView>
  </sheetViews>
  <sheetFormatPr baseColWidth="10" defaultColWidth="11.44140625" defaultRowHeight="13.2"/>
  <cols>
    <col min="1" max="1" width="18.109375" bestFit="1" customWidth="1"/>
    <col min="2" max="2" width="13.33203125" customWidth="1"/>
    <col min="4" max="4" width="12.33203125" bestFit="1" customWidth="1"/>
  </cols>
  <sheetData>
    <row r="1" spans="1:7" ht="17.399999999999999">
      <c r="A1" s="118" t="s">
        <v>82</v>
      </c>
    </row>
    <row r="2" spans="1:7">
      <c r="A2" s="119" t="s">
        <v>83</v>
      </c>
    </row>
    <row r="3" spans="1:7">
      <c r="A3" t="s">
        <v>84</v>
      </c>
      <c r="B3">
        <v>1500</v>
      </c>
      <c r="C3" t="s">
        <v>85</v>
      </c>
    </row>
    <row r="5" spans="1:7">
      <c r="A5" s="120" t="s">
        <v>86</v>
      </c>
    </row>
    <row r="6" spans="1:7">
      <c r="A6" s="3" t="s">
        <v>87</v>
      </c>
      <c r="F6" t="s">
        <v>88</v>
      </c>
      <c r="G6">
        <v>0.1</v>
      </c>
    </row>
    <row r="7" spans="1:7">
      <c r="A7" t="s">
        <v>84</v>
      </c>
      <c r="B7">
        <f>90*0.3</f>
        <v>27</v>
      </c>
      <c r="C7" t="s">
        <v>85</v>
      </c>
      <c r="F7" t="s">
        <v>89</v>
      </c>
      <c r="G7">
        <v>1</v>
      </c>
    </row>
    <row r="8" spans="1:7" hidden="1">
      <c r="A8" s="3" t="s">
        <v>90</v>
      </c>
    </row>
    <row r="9" spans="1:7" hidden="1">
      <c r="A9" t="s">
        <v>84</v>
      </c>
      <c r="B9" s="116">
        <f>3.1*0.25</f>
        <v>0.77500000000000002</v>
      </c>
      <c r="C9" t="s">
        <v>85</v>
      </c>
    </row>
    <row r="10" spans="1:7">
      <c r="F10" t="s">
        <v>91</v>
      </c>
      <c r="G10">
        <v>7</v>
      </c>
    </row>
    <row r="11" spans="1:7">
      <c r="A11" s="121" t="s">
        <v>92</v>
      </c>
      <c r="F11" t="s">
        <v>93</v>
      </c>
      <c r="G11">
        <v>20</v>
      </c>
    </row>
    <row r="12" spans="1:7">
      <c r="A12" t="s">
        <v>94</v>
      </c>
      <c r="B12" t="s">
        <v>93</v>
      </c>
      <c r="D12" t="s">
        <v>91</v>
      </c>
    </row>
    <row r="13" spans="1:7">
      <c r="A13" t="s">
        <v>95</v>
      </c>
      <c r="B13" s="122">
        <v>20</v>
      </c>
      <c r="D13" s="122">
        <v>7</v>
      </c>
    </row>
    <row r="14" spans="1:7">
      <c r="A14" t="s">
        <v>84</v>
      </c>
      <c r="B14">
        <f>B7*B13</f>
        <v>540</v>
      </c>
      <c r="C14" t="s">
        <v>85</v>
      </c>
      <c r="D14">
        <f>B7*D13</f>
        <v>189</v>
      </c>
      <c r="E14" t="s">
        <v>85</v>
      </c>
    </row>
    <row r="15" spans="1:7">
      <c r="A15" t="s">
        <v>96</v>
      </c>
      <c r="B15" s="117">
        <f>B3/B14</f>
        <v>2.7777777777777777</v>
      </c>
      <c r="D15" s="117">
        <f>B3/D14</f>
        <v>7.9365079365079367</v>
      </c>
    </row>
    <row r="17" spans="1:4">
      <c r="A17" t="s">
        <v>97</v>
      </c>
    </row>
    <row r="18" spans="1:4">
      <c r="A18" t="s">
        <v>98</v>
      </c>
    </row>
    <row r="20" spans="1:4">
      <c r="A20" s="3" t="s">
        <v>99</v>
      </c>
      <c r="B20" s="3" t="s">
        <v>100</v>
      </c>
      <c r="D20" s="3" t="s">
        <v>101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Y8:AA9"/>
  <sheetViews>
    <sheetView topLeftCell="G1" workbookViewId="0">
      <selection activeCell="AJ18" sqref="AJ18"/>
    </sheetView>
  </sheetViews>
  <sheetFormatPr baseColWidth="10" defaultColWidth="8.88671875" defaultRowHeight="13.2"/>
  <sheetData>
    <row r="8" spans="25:27">
      <c r="Y8">
        <v>0</v>
      </c>
      <c r="Z8">
        <v>0.15</v>
      </c>
      <c r="AA8">
        <v>0.1</v>
      </c>
    </row>
    <row r="9" spans="25:27">
      <c r="Y9">
        <v>5</v>
      </c>
      <c r="Z9">
        <v>0.15</v>
      </c>
      <c r="AA9"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"/>
  <dimension ref="A1:BK39"/>
  <sheetViews>
    <sheetView zoomScaleNormal="100" workbookViewId="0">
      <pane xSplit="1" topLeftCell="B1" activePane="topRight" state="frozen"/>
      <selection pane="topRight" activeCell="G7" sqref="G7"/>
    </sheetView>
  </sheetViews>
  <sheetFormatPr baseColWidth="10" defaultColWidth="11.44140625" defaultRowHeight="13.2"/>
  <cols>
    <col min="1" max="1" width="11.44140625" style="15"/>
    <col min="2" max="2" width="22.109375" style="15" customWidth="1"/>
    <col min="3" max="3" width="29.5546875" style="15" customWidth="1"/>
    <col min="4" max="4" width="22.109375" style="15" customWidth="1"/>
    <col min="5" max="5" width="22.109375" style="13" customWidth="1"/>
    <col min="6" max="12" width="27.88671875" style="15" customWidth="1"/>
    <col min="13" max="32" width="30.44140625" style="15" customWidth="1"/>
    <col min="33" max="34" width="25" style="15" customWidth="1"/>
    <col min="35" max="35" width="32.109375" style="15" customWidth="1"/>
    <col min="36" max="37" width="24.109375" style="15" customWidth="1"/>
    <col min="38" max="38" width="20.88671875" style="15" customWidth="1"/>
    <col min="39" max="39" width="29.5546875" style="15" customWidth="1"/>
    <col min="40" max="40" width="20.109375" style="15" customWidth="1"/>
    <col min="41" max="41" width="23.5546875" style="15" customWidth="1"/>
    <col min="42" max="42" width="29.88671875" style="15" customWidth="1"/>
    <col min="43" max="43" width="31.109375" style="15" customWidth="1"/>
    <col min="44" max="44" width="23.44140625" style="15" customWidth="1"/>
    <col min="45" max="45" width="20.88671875" style="15" customWidth="1"/>
    <col min="46" max="46" width="29" style="15" customWidth="1"/>
    <col min="47" max="47" width="27.44140625" style="15" customWidth="1"/>
    <col min="48" max="48" width="18.109375" style="15" customWidth="1"/>
    <col min="49" max="49" width="25.88671875" style="15" customWidth="1"/>
    <col min="50" max="50" width="24.88671875" style="15" customWidth="1"/>
    <col min="51" max="51" width="34.109375" style="15" customWidth="1"/>
    <col min="52" max="52" width="17.109375" style="15" customWidth="1"/>
    <col min="53" max="53" width="24.109375" style="15" customWidth="1"/>
    <col min="54" max="54" width="22.5546875" style="15" customWidth="1"/>
    <col min="55" max="55" width="26.5546875" style="15" customWidth="1"/>
    <col min="56" max="56" width="18.88671875" style="15" customWidth="1"/>
    <col min="57" max="57" width="11.44140625" style="15"/>
    <col min="58" max="58" width="14" style="15" customWidth="1"/>
    <col min="59" max="59" width="12.5546875" style="15" customWidth="1"/>
    <col min="60" max="60" width="13.109375" style="15" customWidth="1"/>
    <col min="61" max="61" width="25.5546875" style="15" customWidth="1"/>
    <col min="62" max="62" width="11.44140625" style="15"/>
    <col min="63" max="63" width="26.88671875" style="15" customWidth="1"/>
    <col min="64" max="16384" width="11.44140625" style="15"/>
  </cols>
  <sheetData>
    <row r="1" spans="1:63" s="39" customFormat="1" ht="20.100000000000001" customHeight="1">
      <c r="A1" s="39" t="s">
        <v>102</v>
      </c>
      <c r="B1" s="36" t="s">
        <v>103</v>
      </c>
      <c r="C1" s="37" t="s">
        <v>104</v>
      </c>
      <c r="D1" s="37" t="s">
        <v>105</v>
      </c>
      <c r="E1" s="41" t="s">
        <v>106</v>
      </c>
      <c r="F1" s="37" t="s">
        <v>107</v>
      </c>
      <c r="G1" s="37" t="s">
        <v>108</v>
      </c>
      <c r="H1" s="36" t="s">
        <v>109</v>
      </c>
      <c r="I1" s="36" t="s">
        <v>110</v>
      </c>
      <c r="J1" s="36" t="s">
        <v>111</v>
      </c>
      <c r="K1" s="36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6" t="s">
        <v>118</v>
      </c>
      <c r="R1" s="36" t="s">
        <v>119</v>
      </c>
      <c r="S1" s="36" t="s">
        <v>111</v>
      </c>
      <c r="T1" s="36" t="s">
        <v>120</v>
      </c>
      <c r="U1" s="36" t="s">
        <v>121</v>
      </c>
      <c r="V1" s="36" t="s">
        <v>122</v>
      </c>
      <c r="W1" s="36" t="s">
        <v>123</v>
      </c>
      <c r="X1" s="36" t="s">
        <v>124</v>
      </c>
      <c r="Y1" s="36" t="s">
        <v>125</v>
      </c>
      <c r="Z1" s="36" t="s">
        <v>126</v>
      </c>
      <c r="AA1" s="36" t="s">
        <v>127</v>
      </c>
      <c r="AB1" s="36" t="s">
        <v>128</v>
      </c>
      <c r="AC1" s="36" t="s">
        <v>129</v>
      </c>
      <c r="AD1" s="36" t="s">
        <v>130</v>
      </c>
      <c r="AE1" s="36" t="s">
        <v>131</v>
      </c>
      <c r="AF1" s="36" t="s">
        <v>132</v>
      </c>
      <c r="AG1" s="37" t="s">
        <v>133</v>
      </c>
      <c r="AH1" s="37" t="s">
        <v>134</v>
      </c>
      <c r="AI1" s="22" t="s">
        <v>135</v>
      </c>
      <c r="AJ1" s="37" t="s">
        <v>136</v>
      </c>
      <c r="AK1" s="36" t="s">
        <v>137</v>
      </c>
      <c r="AL1" s="37" t="s">
        <v>138</v>
      </c>
      <c r="AM1" s="36" t="s">
        <v>139</v>
      </c>
      <c r="AN1" s="36" t="s">
        <v>140</v>
      </c>
      <c r="AO1" s="36" t="s">
        <v>141</v>
      </c>
      <c r="AP1" s="19" t="s">
        <v>142</v>
      </c>
      <c r="AQ1" s="19" t="s">
        <v>143</v>
      </c>
      <c r="AR1" s="19" t="s">
        <v>144</v>
      </c>
      <c r="AS1" s="19" t="s">
        <v>145</v>
      </c>
      <c r="AT1" s="19" t="s">
        <v>146</v>
      </c>
      <c r="AU1" s="19" t="s">
        <v>147</v>
      </c>
      <c r="AV1" s="38" t="s">
        <v>148</v>
      </c>
      <c r="AW1" s="38" t="s">
        <v>149</v>
      </c>
      <c r="AX1" s="19" t="s">
        <v>150</v>
      </c>
      <c r="AY1" s="38" t="s">
        <v>151</v>
      </c>
      <c r="AZ1" s="38" t="s">
        <v>152</v>
      </c>
      <c r="BA1" s="38" t="s">
        <v>153</v>
      </c>
      <c r="BB1" s="38" t="s">
        <v>154</v>
      </c>
      <c r="BC1" s="38" t="s">
        <v>155</v>
      </c>
      <c r="BD1" s="38" t="s">
        <v>156</v>
      </c>
      <c r="BE1" s="38" t="s">
        <v>157</v>
      </c>
      <c r="BF1" s="38" t="s">
        <v>158</v>
      </c>
      <c r="BG1" s="38" t="s">
        <v>159</v>
      </c>
      <c r="BH1" s="38" t="s">
        <v>160</v>
      </c>
      <c r="BI1" s="39" t="str">
        <f>IF('[1]Labstar - 0.1-0.2mm'!$D$3="Hosepump","Hose material",IF('[1]Labstar - 0.1-0.2mm'!$D$3="Nemopump","Stator material",""))</f>
        <v>Hose material</v>
      </c>
      <c r="BJ1" s="39" t="s">
        <v>161</v>
      </c>
      <c r="BK1" s="39" t="s">
        <v>162</v>
      </c>
    </row>
    <row r="2" spans="1:63" s="39" customFormat="1" ht="20.100000000000001" customHeight="1">
      <c r="A2" s="39" t="s">
        <v>163</v>
      </c>
      <c r="B2" s="37" t="s">
        <v>164</v>
      </c>
      <c r="C2" s="37" t="s">
        <v>165</v>
      </c>
      <c r="D2" s="37" t="s">
        <v>166</v>
      </c>
      <c r="E2" s="41" t="s">
        <v>167</v>
      </c>
      <c r="F2" s="37" t="s">
        <v>168</v>
      </c>
      <c r="G2" s="37" t="s">
        <v>108</v>
      </c>
      <c r="H2" s="37" t="s">
        <v>169</v>
      </c>
      <c r="I2" s="37" t="s">
        <v>170</v>
      </c>
      <c r="J2" s="37" t="s">
        <v>171</v>
      </c>
      <c r="K2" s="37" t="s">
        <v>172</v>
      </c>
      <c r="L2" s="37" t="s">
        <v>173</v>
      </c>
      <c r="M2" s="37" t="s">
        <v>174</v>
      </c>
      <c r="N2" s="37" t="s">
        <v>175</v>
      </c>
      <c r="O2" s="37" t="s">
        <v>176</v>
      </c>
      <c r="P2" s="37" t="s">
        <v>177</v>
      </c>
      <c r="Q2" s="37" t="s">
        <v>178</v>
      </c>
      <c r="R2" s="37" t="s">
        <v>179</v>
      </c>
      <c r="S2" s="37" t="s">
        <v>171</v>
      </c>
      <c r="T2" s="37" t="s">
        <v>74</v>
      </c>
      <c r="U2" s="37" t="s">
        <v>180</v>
      </c>
      <c r="V2" s="37" t="s">
        <v>181</v>
      </c>
      <c r="W2" s="37" t="s">
        <v>182</v>
      </c>
      <c r="X2" s="37" t="s">
        <v>183</v>
      </c>
      <c r="Y2" s="37" t="s">
        <v>184</v>
      </c>
      <c r="Z2" s="37" t="s">
        <v>185</v>
      </c>
      <c r="AA2" s="37" t="s">
        <v>186</v>
      </c>
      <c r="AB2" s="37" t="s">
        <v>187</v>
      </c>
      <c r="AC2" s="37" t="s">
        <v>188</v>
      </c>
      <c r="AD2" s="37" t="s">
        <v>189</v>
      </c>
      <c r="AE2" s="37" t="s">
        <v>190</v>
      </c>
      <c r="AF2" s="37" t="s">
        <v>191</v>
      </c>
      <c r="AG2" s="37" t="s">
        <v>192</v>
      </c>
      <c r="AH2" s="37" t="s">
        <v>193</v>
      </c>
      <c r="AI2" s="37" t="s">
        <v>194</v>
      </c>
      <c r="AJ2" s="37" t="s">
        <v>195</v>
      </c>
      <c r="AK2" s="37" t="s">
        <v>196</v>
      </c>
      <c r="AL2" s="37" t="s">
        <v>197</v>
      </c>
      <c r="AM2" s="37" t="s">
        <v>198</v>
      </c>
      <c r="AN2" s="37" t="s">
        <v>199</v>
      </c>
      <c r="AO2" s="37" t="s">
        <v>200</v>
      </c>
      <c r="AP2" s="38" t="s">
        <v>201</v>
      </c>
      <c r="AQ2" s="38" t="s">
        <v>202</v>
      </c>
      <c r="AR2" s="19" t="s">
        <v>203</v>
      </c>
      <c r="AS2" s="19" t="s">
        <v>204</v>
      </c>
      <c r="AT2" s="19" t="s">
        <v>205</v>
      </c>
      <c r="AU2" s="19" t="s">
        <v>206</v>
      </c>
      <c r="AV2" s="38" t="s">
        <v>207</v>
      </c>
      <c r="AW2" s="38" t="s">
        <v>208</v>
      </c>
      <c r="AX2" s="38" t="s">
        <v>209</v>
      </c>
      <c r="AY2" s="38" t="s">
        <v>210</v>
      </c>
      <c r="AZ2" s="38" t="s">
        <v>211</v>
      </c>
      <c r="BA2" s="38" t="s">
        <v>212</v>
      </c>
      <c r="BB2" s="38" t="s">
        <v>213</v>
      </c>
      <c r="BC2" s="38" t="s">
        <v>214</v>
      </c>
      <c r="BD2" s="38" t="s">
        <v>215</v>
      </c>
      <c r="BE2" s="38" t="s">
        <v>216</v>
      </c>
      <c r="BF2" s="38" t="s">
        <v>158</v>
      </c>
      <c r="BG2" s="38" t="s">
        <v>217</v>
      </c>
      <c r="BH2" s="38" t="s">
        <v>218</v>
      </c>
      <c r="BI2" s="39" t="str">
        <f>IF('[1]Labstar - 0.1-0.2mm'!$D$3="Hosepump","Schlauchwerkstoff",IF('[1]Labstar - 0.1-0.2mm'!$D$3="Nemopump","Statorwerkstoff",""))</f>
        <v>Schlauchwerkstoff</v>
      </c>
      <c r="BJ2" s="39" t="s">
        <v>219</v>
      </c>
      <c r="BK2" s="39" t="s">
        <v>220</v>
      </c>
    </row>
    <row r="3" spans="1:63" s="60" customFormat="1" ht="20.100000000000001" customHeight="1">
      <c r="A3" s="60" t="s">
        <v>221</v>
      </c>
      <c r="B3" s="57" t="s">
        <v>222</v>
      </c>
      <c r="C3" s="57" t="s">
        <v>223</v>
      </c>
      <c r="D3" s="57" t="s">
        <v>224</v>
      </c>
      <c r="E3" s="59" t="s">
        <v>106</v>
      </c>
      <c r="F3" s="57" t="s">
        <v>225</v>
      </c>
      <c r="G3" s="57" t="s">
        <v>226</v>
      </c>
      <c r="H3" s="57" t="s">
        <v>227</v>
      </c>
      <c r="I3" s="57" t="s">
        <v>228</v>
      </c>
      <c r="J3" s="57" t="s">
        <v>229</v>
      </c>
      <c r="K3" s="57" t="s">
        <v>112</v>
      </c>
      <c r="L3" s="57" t="s">
        <v>230</v>
      </c>
      <c r="M3" s="57" t="s">
        <v>231</v>
      </c>
      <c r="N3" s="57" t="s">
        <v>232</v>
      </c>
      <c r="O3" s="57" t="s">
        <v>233</v>
      </c>
      <c r="P3" s="57" t="s">
        <v>234</v>
      </c>
      <c r="Q3" s="57" t="s">
        <v>118</v>
      </c>
      <c r="R3" s="57" t="s">
        <v>235</v>
      </c>
      <c r="S3" s="57" t="s">
        <v>229</v>
      </c>
      <c r="T3" s="57" t="s">
        <v>236</v>
      </c>
      <c r="U3" s="57" t="s">
        <v>237</v>
      </c>
      <c r="V3" s="57" t="s">
        <v>238</v>
      </c>
      <c r="W3" s="57" t="s">
        <v>239</v>
      </c>
      <c r="X3" s="57" t="s">
        <v>240</v>
      </c>
      <c r="Y3" s="57" t="s">
        <v>125</v>
      </c>
      <c r="Z3" s="57" t="s">
        <v>241</v>
      </c>
      <c r="AA3" s="57" t="s">
        <v>242</v>
      </c>
      <c r="AB3" s="57" t="s">
        <v>243</v>
      </c>
      <c r="AC3" s="57" t="s">
        <v>244</v>
      </c>
      <c r="AD3" s="57" t="s">
        <v>245</v>
      </c>
      <c r="AE3" s="57" t="s">
        <v>246</v>
      </c>
      <c r="AF3" s="57" t="s">
        <v>247</v>
      </c>
      <c r="AG3" s="58" t="s">
        <v>248</v>
      </c>
      <c r="AH3" s="57" t="s">
        <v>249</v>
      </c>
      <c r="AI3" s="58" t="s">
        <v>250</v>
      </c>
      <c r="AJ3" s="58" t="s">
        <v>251</v>
      </c>
      <c r="AK3" s="57" t="s">
        <v>252</v>
      </c>
      <c r="AL3" s="58" t="s">
        <v>253</v>
      </c>
      <c r="AM3" s="57" t="s">
        <v>254</v>
      </c>
      <c r="AN3" s="57" t="s">
        <v>255</v>
      </c>
      <c r="AO3" s="57" t="s">
        <v>256</v>
      </c>
      <c r="AP3" s="57" t="s">
        <v>257</v>
      </c>
      <c r="AQ3" s="57" t="s">
        <v>258</v>
      </c>
      <c r="AR3" s="57" t="s">
        <v>259</v>
      </c>
      <c r="AS3" s="57" t="s">
        <v>260</v>
      </c>
      <c r="AT3" s="57" t="s">
        <v>261</v>
      </c>
      <c r="AU3" s="57" t="s">
        <v>262</v>
      </c>
      <c r="AV3" s="57" t="s">
        <v>263</v>
      </c>
      <c r="AW3" s="57" t="s">
        <v>264</v>
      </c>
      <c r="AX3" s="57" t="s">
        <v>265</v>
      </c>
      <c r="AY3" s="57" t="s">
        <v>266</v>
      </c>
      <c r="AZ3" s="57" t="s">
        <v>267</v>
      </c>
      <c r="BA3" s="57" t="s">
        <v>268</v>
      </c>
      <c r="BB3" s="57" t="s">
        <v>269</v>
      </c>
      <c r="BC3" s="57" t="s">
        <v>270</v>
      </c>
      <c r="BD3" s="57" t="s">
        <v>271</v>
      </c>
      <c r="BE3" s="57" t="s">
        <v>157</v>
      </c>
      <c r="BF3" s="59" t="s">
        <v>158</v>
      </c>
      <c r="BG3" s="59" t="s">
        <v>159</v>
      </c>
      <c r="BH3" s="59" t="s">
        <v>272</v>
      </c>
      <c r="BI3" s="39" t="str">
        <f>IF('[1]Labstar - 0.1-0.2mm'!$D$3="Hosepump","Matériau tuyuau",IF('[1]Labstar - 0.1-0.2mm'!$D$3="Nemopump","Matériau stator",""))</f>
        <v>Matériau tuyuau</v>
      </c>
      <c r="BJ3" s="56" t="s">
        <v>219</v>
      </c>
      <c r="BK3" s="56" t="s">
        <v>273</v>
      </c>
    </row>
    <row r="4" spans="1:63" s="39" customFormat="1" ht="20.100000000000001" customHeight="1">
      <c r="A4" s="39" t="s">
        <v>274</v>
      </c>
      <c r="B4" s="21" t="s">
        <v>275</v>
      </c>
      <c r="C4" s="21" t="s">
        <v>276</v>
      </c>
      <c r="D4" s="39" t="s">
        <v>277</v>
      </c>
      <c r="E4" s="39" t="s">
        <v>278</v>
      </c>
      <c r="F4" s="21" t="s">
        <v>279</v>
      </c>
      <c r="G4" s="21" t="s">
        <v>280</v>
      </c>
      <c r="H4" s="21" t="s">
        <v>281</v>
      </c>
      <c r="I4" s="21" t="s">
        <v>282</v>
      </c>
      <c r="J4" s="21" t="s">
        <v>283</v>
      </c>
      <c r="K4" s="21" t="s">
        <v>284</v>
      </c>
      <c r="L4" s="21" t="s">
        <v>285</v>
      </c>
      <c r="M4" s="39" t="s">
        <v>286</v>
      </c>
      <c r="N4" s="21" t="s">
        <v>287</v>
      </c>
      <c r="O4" s="21" t="s">
        <v>288</v>
      </c>
      <c r="P4" s="21" t="s">
        <v>289</v>
      </c>
      <c r="Q4" s="21" t="s">
        <v>118</v>
      </c>
      <c r="R4" s="21" t="s">
        <v>290</v>
      </c>
      <c r="S4" s="21" t="s">
        <v>283</v>
      </c>
      <c r="T4" s="21" t="s">
        <v>291</v>
      </c>
      <c r="U4" s="21" t="s">
        <v>292</v>
      </c>
      <c r="V4" s="21" t="s">
        <v>293</v>
      </c>
      <c r="W4" s="21" t="s">
        <v>294</v>
      </c>
      <c r="X4" s="21" t="s">
        <v>295</v>
      </c>
      <c r="Y4" s="21" t="s">
        <v>296</v>
      </c>
      <c r="Z4" s="21" t="s">
        <v>297</v>
      </c>
      <c r="AA4" s="21" t="s">
        <v>298</v>
      </c>
      <c r="AB4" s="21" t="s">
        <v>299</v>
      </c>
      <c r="AC4" s="21" t="s">
        <v>300</v>
      </c>
      <c r="AD4" s="39" t="s">
        <v>301</v>
      </c>
      <c r="AE4" s="39" t="s">
        <v>302</v>
      </c>
      <c r="AF4" s="39" t="s">
        <v>303</v>
      </c>
      <c r="AG4" s="41" t="s">
        <v>304</v>
      </c>
      <c r="AH4" s="39" t="s">
        <v>305</v>
      </c>
      <c r="AI4" s="41" t="s">
        <v>306</v>
      </c>
      <c r="AJ4" s="22" t="s">
        <v>307</v>
      </c>
      <c r="AK4" s="21" t="s">
        <v>308</v>
      </c>
      <c r="AL4" s="22" t="s">
        <v>309</v>
      </c>
      <c r="AM4" s="21" t="s">
        <v>310</v>
      </c>
      <c r="AN4" s="39" t="s">
        <v>311</v>
      </c>
      <c r="AO4" s="39" t="s">
        <v>312</v>
      </c>
      <c r="AP4" s="42" t="s">
        <v>313</v>
      </c>
      <c r="AQ4" s="39" t="s">
        <v>314</v>
      </c>
      <c r="AR4" s="39" t="s">
        <v>315</v>
      </c>
      <c r="AS4" s="21" t="s">
        <v>316</v>
      </c>
      <c r="AT4" s="21" t="s">
        <v>317</v>
      </c>
      <c r="AU4" s="21" t="s">
        <v>318</v>
      </c>
      <c r="AV4" s="21" t="s">
        <v>319</v>
      </c>
      <c r="AW4" s="21" t="s">
        <v>320</v>
      </c>
      <c r="AX4" s="21" t="s">
        <v>321</v>
      </c>
      <c r="AY4" s="43" t="s">
        <v>322</v>
      </c>
      <c r="AZ4" s="21" t="s">
        <v>323</v>
      </c>
      <c r="BA4" s="39" t="s">
        <v>324</v>
      </c>
      <c r="BB4" s="39" t="s">
        <v>325</v>
      </c>
      <c r="BC4" s="39" t="s">
        <v>326</v>
      </c>
      <c r="BD4" s="39" t="s">
        <v>327</v>
      </c>
      <c r="BE4" s="39" t="s">
        <v>328</v>
      </c>
      <c r="BF4" s="39" t="s">
        <v>329</v>
      </c>
      <c r="BG4" s="39" t="s">
        <v>330</v>
      </c>
      <c r="BH4" s="39" t="s">
        <v>331</v>
      </c>
      <c r="BI4" s="39" t="str">
        <f>IF('[1]Labstar - 0.1-0.2mm'!$D$3="Hosepump","materiale flessibile",IF('[1]Labstar - 0.1-0.2mm'!$D$3="Nemopump","materiale statore",""))</f>
        <v>materiale flessibile</v>
      </c>
      <c r="BJ4" s="39" t="s">
        <v>332</v>
      </c>
      <c r="BK4" s="39" t="s">
        <v>333</v>
      </c>
    </row>
    <row r="5" spans="1:63" s="39" customFormat="1" ht="20.100000000000001" customHeight="1">
      <c r="A5" s="39" t="s">
        <v>334</v>
      </c>
      <c r="B5" s="21" t="s">
        <v>335</v>
      </c>
      <c r="C5" s="21" t="s">
        <v>336</v>
      </c>
      <c r="D5" s="21" t="s">
        <v>337</v>
      </c>
      <c r="E5" s="39" t="s">
        <v>338</v>
      </c>
      <c r="F5" s="21" t="s">
        <v>225</v>
      </c>
      <c r="G5" s="21" t="s">
        <v>339</v>
      </c>
      <c r="H5" s="21" t="s">
        <v>340</v>
      </c>
      <c r="I5" s="21" t="s">
        <v>282</v>
      </c>
      <c r="J5" s="21" t="s">
        <v>341</v>
      </c>
      <c r="K5" s="21" t="s">
        <v>342</v>
      </c>
      <c r="L5" s="21" t="s">
        <v>343</v>
      </c>
      <c r="M5" s="21" t="s">
        <v>344</v>
      </c>
      <c r="N5" s="21" t="s">
        <v>345</v>
      </c>
      <c r="O5" s="21" t="s">
        <v>346</v>
      </c>
      <c r="P5" s="21" t="s">
        <v>347</v>
      </c>
      <c r="Q5" s="21" t="s">
        <v>348</v>
      </c>
      <c r="R5" s="21" t="s">
        <v>349</v>
      </c>
      <c r="S5" s="21" t="s">
        <v>341</v>
      </c>
      <c r="T5" s="21" t="s">
        <v>350</v>
      </c>
      <c r="U5" s="21" t="s">
        <v>351</v>
      </c>
      <c r="V5" s="21" t="s">
        <v>352</v>
      </c>
      <c r="W5" s="21" t="s">
        <v>353</v>
      </c>
      <c r="X5" s="21" t="s">
        <v>354</v>
      </c>
      <c r="Y5" s="21" t="s">
        <v>355</v>
      </c>
      <c r="Z5" s="21" t="s">
        <v>356</v>
      </c>
      <c r="AA5" s="21" t="s">
        <v>357</v>
      </c>
      <c r="AB5" s="21" t="s">
        <v>358</v>
      </c>
      <c r="AC5" s="21" t="s">
        <v>359</v>
      </c>
      <c r="AD5" s="21" t="s">
        <v>360</v>
      </c>
      <c r="AE5" s="21" t="s">
        <v>361</v>
      </c>
      <c r="AF5" s="21" t="s">
        <v>362</v>
      </c>
      <c r="AG5" s="22" t="s">
        <v>363</v>
      </c>
      <c r="AH5" s="21" t="s">
        <v>364</v>
      </c>
      <c r="AI5" s="22" t="s">
        <v>365</v>
      </c>
      <c r="AJ5" s="22" t="s">
        <v>366</v>
      </c>
      <c r="AK5" s="21" t="s">
        <v>367</v>
      </c>
      <c r="AL5" s="22" t="s">
        <v>368</v>
      </c>
      <c r="AM5" s="21" t="s">
        <v>369</v>
      </c>
      <c r="AN5" s="21" t="s">
        <v>370</v>
      </c>
      <c r="AO5" s="21" t="s">
        <v>371</v>
      </c>
      <c r="AP5" s="21" t="s">
        <v>372</v>
      </c>
      <c r="AQ5" s="21" t="s">
        <v>373</v>
      </c>
      <c r="AR5" s="21" t="s">
        <v>374</v>
      </c>
      <c r="AS5" s="21" t="s">
        <v>375</v>
      </c>
      <c r="AT5" s="21" t="s">
        <v>376</v>
      </c>
      <c r="AU5" s="21" t="s">
        <v>377</v>
      </c>
      <c r="AV5" s="21" t="s">
        <v>378</v>
      </c>
      <c r="AW5" s="21" t="s">
        <v>379</v>
      </c>
      <c r="AX5" s="21" t="s">
        <v>380</v>
      </c>
      <c r="AY5" s="21" t="s">
        <v>381</v>
      </c>
      <c r="AZ5" s="21" t="s">
        <v>382</v>
      </c>
      <c r="BA5" s="21" t="s">
        <v>383</v>
      </c>
      <c r="BB5" s="21" t="s">
        <v>384</v>
      </c>
      <c r="BC5" s="21" t="s">
        <v>385</v>
      </c>
      <c r="BD5" s="21" t="s">
        <v>386</v>
      </c>
      <c r="BE5" s="21" t="s">
        <v>387</v>
      </c>
      <c r="BF5" s="21" t="s">
        <v>388</v>
      </c>
      <c r="BG5" s="21" t="s">
        <v>389</v>
      </c>
      <c r="BH5" s="38" t="s">
        <v>390</v>
      </c>
      <c r="BI5" s="39" t="str">
        <f>IF('[1]Labstar - 0.1-0.2mm'!$D$3="Hosepump","Material de la manguera",IF('[1]Labstar - 0.1-0.2mm'!$D$3="Nemopump","Material de la estator",""))</f>
        <v>Material de la manguera</v>
      </c>
      <c r="BJ5" s="38" t="s">
        <v>391</v>
      </c>
      <c r="BK5" s="38" t="s">
        <v>392</v>
      </c>
    </row>
    <row r="6" spans="1:63" s="39" customFormat="1" ht="20.100000000000001" customHeight="1">
      <c r="A6" s="39" t="s">
        <v>393</v>
      </c>
      <c r="B6" s="21" t="s">
        <v>394</v>
      </c>
      <c r="C6" s="21" t="s">
        <v>395</v>
      </c>
      <c r="D6" s="21" t="s">
        <v>396</v>
      </c>
      <c r="E6" s="39" t="s">
        <v>397</v>
      </c>
      <c r="F6" s="21" t="s">
        <v>398</v>
      </c>
      <c r="G6" s="21" t="s">
        <v>399</v>
      </c>
      <c r="H6" s="21" t="s">
        <v>400</v>
      </c>
      <c r="I6" s="21" t="s">
        <v>401</v>
      </c>
      <c r="J6" s="21" t="s">
        <v>402</v>
      </c>
      <c r="K6" s="21" t="s">
        <v>403</v>
      </c>
      <c r="L6" s="21" t="s">
        <v>404</v>
      </c>
      <c r="M6" s="21" t="s">
        <v>405</v>
      </c>
      <c r="N6" s="21" t="s">
        <v>406</v>
      </c>
      <c r="O6" s="21" t="s">
        <v>407</v>
      </c>
      <c r="P6" s="21" t="s">
        <v>408</v>
      </c>
      <c r="Q6" s="21" t="s">
        <v>409</v>
      </c>
      <c r="R6" s="21" t="s">
        <v>410</v>
      </c>
      <c r="S6" s="21" t="s">
        <v>402</v>
      </c>
      <c r="T6" s="21" t="s">
        <v>411</v>
      </c>
      <c r="U6" s="21" t="s">
        <v>412</v>
      </c>
      <c r="V6" s="21" t="s">
        <v>413</v>
      </c>
      <c r="W6" s="21" t="s">
        <v>414</v>
      </c>
      <c r="X6" s="21" t="s">
        <v>415</v>
      </c>
      <c r="Y6" s="21" t="s">
        <v>416</v>
      </c>
      <c r="Z6" s="21" t="s">
        <v>417</v>
      </c>
      <c r="AA6" s="21" t="s">
        <v>418</v>
      </c>
      <c r="AB6" s="21" t="s">
        <v>419</v>
      </c>
      <c r="AC6" s="21" t="s">
        <v>420</v>
      </c>
      <c r="AD6" s="21" t="s">
        <v>421</v>
      </c>
      <c r="AE6" s="21" t="s">
        <v>422</v>
      </c>
      <c r="AF6" s="21" t="s">
        <v>423</v>
      </c>
      <c r="AG6" s="22" t="s">
        <v>424</v>
      </c>
      <c r="AH6" s="22" t="s">
        <v>425</v>
      </c>
      <c r="AI6" s="22" t="s">
        <v>426</v>
      </c>
      <c r="AJ6" s="40" t="s">
        <v>427</v>
      </c>
      <c r="AK6" s="40" t="s">
        <v>428</v>
      </c>
      <c r="AL6" s="22" t="s">
        <v>429</v>
      </c>
      <c r="AM6" s="22" t="s">
        <v>430</v>
      </c>
      <c r="AN6" s="39" t="s">
        <v>431</v>
      </c>
      <c r="AO6" s="39" t="s">
        <v>432</v>
      </c>
      <c r="AP6" s="39" t="s">
        <v>433</v>
      </c>
      <c r="AQ6" s="39" t="s">
        <v>434</v>
      </c>
      <c r="AR6" s="39" t="s">
        <v>435</v>
      </c>
      <c r="AS6" s="39" t="s">
        <v>436</v>
      </c>
      <c r="AT6" s="39" t="s">
        <v>437</v>
      </c>
      <c r="AU6" s="39" t="s">
        <v>438</v>
      </c>
      <c r="AV6" s="39" t="s">
        <v>439</v>
      </c>
      <c r="AW6" s="39" t="s">
        <v>440</v>
      </c>
      <c r="AX6" s="39" t="s">
        <v>441</v>
      </c>
      <c r="AY6" s="39" t="s">
        <v>442</v>
      </c>
      <c r="AZ6" s="39" t="s">
        <v>443</v>
      </c>
      <c r="BA6" s="39" t="s">
        <v>444</v>
      </c>
      <c r="BB6" s="39" t="s">
        <v>445</v>
      </c>
      <c r="BC6" s="39" t="s">
        <v>446</v>
      </c>
      <c r="BD6" s="39" t="s">
        <v>447</v>
      </c>
      <c r="BE6" s="39" t="s">
        <v>448</v>
      </c>
      <c r="BF6" s="39" t="s">
        <v>427</v>
      </c>
      <c r="BG6" s="39" t="s">
        <v>449</v>
      </c>
      <c r="BH6" s="39" t="s">
        <v>450</v>
      </c>
      <c r="BI6" s="39" t="str">
        <f>IF('[1]Labstar - 0.1-0.2mm'!$D$3="Hosepump","Материал шланга",IF('[1]Labstar - 0.1-0.2mm'!$D$3="Nemopump","Материал статор",""))</f>
        <v>Материал шланга</v>
      </c>
      <c r="BJ6" s="39" t="s">
        <v>451</v>
      </c>
      <c r="BK6" s="39" t="s">
        <v>452</v>
      </c>
    </row>
    <row r="7" spans="1:63" s="23" customFormat="1" ht="20.100000000000001" customHeight="1">
      <c r="A7" s="39" t="s">
        <v>453</v>
      </c>
      <c r="B7" s="44" t="s">
        <v>454</v>
      </c>
      <c r="C7" s="44" t="s">
        <v>455</v>
      </c>
      <c r="D7" s="44" t="s">
        <v>456</v>
      </c>
      <c r="E7" s="46" t="s">
        <v>457</v>
      </c>
      <c r="F7" s="44" t="s">
        <v>458</v>
      </c>
      <c r="G7" s="44" t="s">
        <v>459</v>
      </c>
      <c r="H7" s="44" t="s">
        <v>460</v>
      </c>
      <c r="I7" s="44" t="s">
        <v>461</v>
      </c>
      <c r="J7" s="44" t="s">
        <v>462</v>
      </c>
      <c r="K7" s="44" t="s">
        <v>463</v>
      </c>
      <c r="L7" s="44" t="s">
        <v>464</v>
      </c>
      <c r="M7" s="44" t="s">
        <v>465</v>
      </c>
      <c r="N7" s="44" t="s">
        <v>466</v>
      </c>
      <c r="O7" s="44" t="s">
        <v>467</v>
      </c>
      <c r="P7" s="44" t="s">
        <v>468</v>
      </c>
      <c r="Q7" s="44" t="s">
        <v>469</v>
      </c>
      <c r="R7" s="44" t="s">
        <v>470</v>
      </c>
      <c r="S7" s="44" t="s">
        <v>462</v>
      </c>
      <c r="T7" s="44" t="s">
        <v>471</v>
      </c>
      <c r="U7" s="44" t="s">
        <v>472</v>
      </c>
      <c r="V7" s="44" t="s">
        <v>473</v>
      </c>
      <c r="W7" s="44" t="s">
        <v>474</v>
      </c>
      <c r="X7" s="44" t="s">
        <v>475</v>
      </c>
      <c r="Y7" s="44" t="s">
        <v>476</v>
      </c>
      <c r="Z7" s="44" t="s">
        <v>477</v>
      </c>
      <c r="AA7" s="44" t="s">
        <v>478</v>
      </c>
      <c r="AB7" s="44" t="s">
        <v>479</v>
      </c>
      <c r="AC7" s="44" t="s">
        <v>480</v>
      </c>
      <c r="AD7" s="44" t="s">
        <v>481</v>
      </c>
      <c r="AE7" s="44" t="s">
        <v>482</v>
      </c>
      <c r="AF7" s="44" t="s">
        <v>483</v>
      </c>
      <c r="AG7" s="45" t="s">
        <v>484</v>
      </c>
      <c r="AH7" s="45" t="s">
        <v>485</v>
      </c>
      <c r="AI7" s="45" t="s">
        <v>486</v>
      </c>
      <c r="AJ7" s="45" t="s">
        <v>487</v>
      </c>
      <c r="AK7" s="45" t="s">
        <v>488</v>
      </c>
      <c r="AL7" s="45" t="s">
        <v>489</v>
      </c>
      <c r="AM7" s="45" t="s">
        <v>490</v>
      </c>
      <c r="AN7" s="46" t="s">
        <v>491</v>
      </c>
      <c r="AO7" s="46" t="s">
        <v>492</v>
      </c>
      <c r="AP7" s="46" t="s">
        <v>493</v>
      </c>
      <c r="AQ7" s="46" t="s">
        <v>494</v>
      </c>
      <c r="AR7" s="46" t="s">
        <v>495</v>
      </c>
      <c r="AS7" s="46" t="s">
        <v>496</v>
      </c>
      <c r="AT7" s="46" t="s">
        <v>497</v>
      </c>
      <c r="AU7" s="46" t="s">
        <v>498</v>
      </c>
      <c r="AV7" s="46" t="s">
        <v>499</v>
      </c>
      <c r="AW7" s="46" t="s">
        <v>500</v>
      </c>
      <c r="AX7" s="46" t="s">
        <v>501</v>
      </c>
      <c r="AY7" s="46" t="s">
        <v>502</v>
      </c>
      <c r="AZ7" s="46" t="s">
        <v>503</v>
      </c>
      <c r="BA7" s="46" t="s">
        <v>504</v>
      </c>
      <c r="BB7" s="46" t="s">
        <v>505</v>
      </c>
      <c r="BC7" s="46" t="s">
        <v>506</v>
      </c>
      <c r="BD7" s="46" t="s">
        <v>507</v>
      </c>
      <c r="BE7" s="46" t="s">
        <v>474</v>
      </c>
      <c r="BF7" s="46" t="s">
        <v>508</v>
      </c>
      <c r="BG7" s="44" t="s">
        <v>509</v>
      </c>
      <c r="BH7" s="44" t="s">
        <v>510</v>
      </c>
      <c r="BI7" s="39" t="str">
        <f>IF('[1]Labstar - 0.1-0.2mm'!$D$3="Hosepump","软管材质",IF('[1]Labstar - 0.1-0.2mm'!$D$3="Nemopump","定子材料",""))</f>
        <v>软管材质</v>
      </c>
      <c r="BJ7" s="44" t="s">
        <v>511</v>
      </c>
      <c r="BK7" s="44" t="s">
        <v>512</v>
      </c>
    </row>
    <row r="8" spans="1:63" s="23" customFormat="1" ht="20.100000000000001" customHeight="1">
      <c r="A8" s="39" t="s">
        <v>513</v>
      </c>
      <c r="B8" s="21" t="s">
        <v>514</v>
      </c>
      <c r="C8" s="21" t="s">
        <v>515</v>
      </c>
      <c r="D8" s="21" t="s">
        <v>516</v>
      </c>
      <c r="E8" s="39" t="s">
        <v>338</v>
      </c>
      <c r="F8" s="21" t="s">
        <v>517</v>
      </c>
      <c r="G8" s="21" t="s">
        <v>339</v>
      </c>
      <c r="H8" s="21" t="s">
        <v>518</v>
      </c>
      <c r="I8" s="21" t="s">
        <v>519</v>
      </c>
      <c r="J8" s="21" t="s">
        <v>520</v>
      </c>
      <c r="K8" s="21" t="s">
        <v>284</v>
      </c>
      <c r="L8" s="21" t="s">
        <v>521</v>
      </c>
      <c r="M8" s="21" t="s">
        <v>522</v>
      </c>
      <c r="N8" s="21" t="s">
        <v>523</v>
      </c>
      <c r="O8" s="21" t="s">
        <v>524</v>
      </c>
      <c r="P8" s="21" t="s">
        <v>525</v>
      </c>
      <c r="Q8" s="21" t="s">
        <v>118</v>
      </c>
      <c r="R8" s="21" t="s">
        <v>526</v>
      </c>
      <c r="S8" s="21" t="s">
        <v>520</v>
      </c>
      <c r="T8" s="21" t="s">
        <v>527</v>
      </c>
      <c r="U8" s="21" t="s">
        <v>528</v>
      </c>
      <c r="V8" s="21" t="s">
        <v>529</v>
      </c>
      <c r="W8" s="21" t="s">
        <v>530</v>
      </c>
      <c r="X8" s="21" t="s">
        <v>531</v>
      </c>
      <c r="Y8" s="21" t="s">
        <v>532</v>
      </c>
      <c r="Z8" s="21" t="s">
        <v>297</v>
      </c>
      <c r="AA8" s="21" t="s">
        <v>533</v>
      </c>
      <c r="AB8" s="21" t="s">
        <v>534</v>
      </c>
      <c r="AC8" s="21" t="s">
        <v>535</v>
      </c>
      <c r="AD8" s="21" t="s">
        <v>536</v>
      </c>
      <c r="AE8" s="21" t="s">
        <v>537</v>
      </c>
      <c r="AF8" s="21" t="s">
        <v>538</v>
      </c>
      <c r="AG8" s="22" t="s">
        <v>539</v>
      </c>
      <c r="AH8" s="22" t="s">
        <v>540</v>
      </c>
      <c r="AI8" s="22" t="s">
        <v>541</v>
      </c>
      <c r="AJ8" s="22" t="s">
        <v>542</v>
      </c>
      <c r="AK8" s="22" t="s">
        <v>543</v>
      </c>
      <c r="AL8" s="22" t="s">
        <v>544</v>
      </c>
      <c r="AM8" s="22" t="s">
        <v>545</v>
      </c>
      <c r="AN8" s="22" t="s">
        <v>546</v>
      </c>
      <c r="AO8" s="22" t="s">
        <v>547</v>
      </c>
      <c r="AP8" s="22" t="s">
        <v>548</v>
      </c>
      <c r="AQ8" s="22" t="s">
        <v>549</v>
      </c>
      <c r="AR8" s="22" t="s">
        <v>550</v>
      </c>
      <c r="AS8" s="22" t="s">
        <v>551</v>
      </c>
      <c r="AT8" s="22" t="s">
        <v>552</v>
      </c>
      <c r="AU8" s="22" t="s">
        <v>553</v>
      </c>
      <c r="AV8" s="22" t="s">
        <v>554</v>
      </c>
      <c r="AW8" s="22" t="s">
        <v>555</v>
      </c>
      <c r="AX8" s="22" t="s">
        <v>556</v>
      </c>
      <c r="AY8" s="22" t="s">
        <v>557</v>
      </c>
      <c r="AZ8" s="22" t="s">
        <v>558</v>
      </c>
      <c r="BA8" s="22" t="s">
        <v>559</v>
      </c>
      <c r="BB8" s="22" t="s">
        <v>560</v>
      </c>
      <c r="BC8" s="22" t="s">
        <v>561</v>
      </c>
      <c r="BD8" s="22" t="s">
        <v>156</v>
      </c>
      <c r="BE8" s="22" t="s">
        <v>157</v>
      </c>
      <c r="BF8" s="38" t="s">
        <v>562</v>
      </c>
      <c r="BG8" s="38" t="s">
        <v>563</v>
      </c>
      <c r="BH8" s="38" t="s">
        <v>564</v>
      </c>
      <c r="BI8" s="39" t="str">
        <f>IF('[1]Labstar - 0.1-0.2mm'!$D$3="Hosepump","material da mangueira",IF('[1]Labstar - 0.1-0.2mm'!$D$3="Nemopump","material da estator",""))</f>
        <v>material da mangueira</v>
      </c>
      <c r="BJ8" s="38" t="s">
        <v>332</v>
      </c>
      <c r="BK8" s="38" t="s">
        <v>565</v>
      </c>
    </row>
    <row r="9" spans="1:63" s="54" customFormat="1" ht="20.100000000000001" customHeight="1">
      <c r="A9" s="14" t="s">
        <v>566</v>
      </c>
      <c r="B9" s="51" t="s">
        <v>567</v>
      </c>
      <c r="C9" s="51" t="s">
        <v>568</v>
      </c>
      <c r="D9" s="51" t="s">
        <v>569</v>
      </c>
      <c r="E9" s="88" t="s">
        <v>570</v>
      </c>
      <c r="F9" s="51" t="s">
        <v>571</v>
      </c>
      <c r="G9" s="51" t="s">
        <v>572</v>
      </c>
      <c r="H9" s="51" t="s">
        <v>573</v>
      </c>
      <c r="I9" s="51" t="s">
        <v>574</v>
      </c>
      <c r="J9" s="51" t="s">
        <v>575</v>
      </c>
      <c r="K9" s="51" t="s">
        <v>576</v>
      </c>
      <c r="L9" s="51" t="s">
        <v>577</v>
      </c>
      <c r="M9" s="51" t="s">
        <v>578</v>
      </c>
      <c r="N9" s="51" t="s">
        <v>579</v>
      </c>
      <c r="O9" s="51" t="s">
        <v>580</v>
      </c>
      <c r="P9" s="51" t="s">
        <v>581</v>
      </c>
      <c r="Q9" s="51" t="s">
        <v>582</v>
      </c>
      <c r="R9" s="51" t="s">
        <v>583</v>
      </c>
      <c r="S9" s="51" t="s">
        <v>575</v>
      </c>
      <c r="T9" s="51" t="s">
        <v>584</v>
      </c>
      <c r="U9" s="51" t="s">
        <v>585</v>
      </c>
      <c r="V9" s="51" t="s">
        <v>586</v>
      </c>
      <c r="W9" s="51" t="s">
        <v>587</v>
      </c>
      <c r="X9" s="51" t="s">
        <v>588</v>
      </c>
      <c r="Y9" s="51" t="s">
        <v>589</v>
      </c>
      <c r="Z9" s="51" t="s">
        <v>590</v>
      </c>
      <c r="AA9" s="51" t="s">
        <v>591</v>
      </c>
      <c r="AB9" s="51" t="s">
        <v>592</v>
      </c>
      <c r="AC9" s="51" t="s">
        <v>593</v>
      </c>
      <c r="AD9" s="51" t="s">
        <v>594</v>
      </c>
      <c r="AE9" s="51" t="s">
        <v>595</v>
      </c>
      <c r="AF9" s="51" t="s">
        <v>596</v>
      </c>
      <c r="AG9" s="52" t="s">
        <v>597</v>
      </c>
      <c r="AH9" s="53" t="s">
        <v>598</v>
      </c>
      <c r="AI9" s="52" t="s">
        <v>599</v>
      </c>
      <c r="AJ9" s="52" t="s">
        <v>600</v>
      </c>
      <c r="AK9" s="52" t="s">
        <v>601</v>
      </c>
      <c r="AL9" s="54" t="s">
        <v>602</v>
      </c>
      <c r="AM9" s="52" t="s">
        <v>603</v>
      </c>
      <c r="AN9" s="54" t="s">
        <v>604</v>
      </c>
      <c r="AO9" s="54" t="s">
        <v>605</v>
      </c>
      <c r="AP9" s="54" t="s">
        <v>606</v>
      </c>
      <c r="AQ9" s="54" t="s">
        <v>607</v>
      </c>
      <c r="AR9" s="54" t="s">
        <v>608</v>
      </c>
      <c r="AS9" s="54" t="s">
        <v>609</v>
      </c>
      <c r="AT9" s="54" t="s">
        <v>610</v>
      </c>
      <c r="AU9" s="54" t="s">
        <v>611</v>
      </c>
      <c r="AV9" s="54" t="s">
        <v>612</v>
      </c>
      <c r="AW9" s="54" t="s">
        <v>613</v>
      </c>
      <c r="AX9" s="54" t="s">
        <v>614</v>
      </c>
      <c r="AY9" s="54" t="s">
        <v>615</v>
      </c>
      <c r="AZ9" s="54" t="s">
        <v>616</v>
      </c>
      <c r="BA9" s="54" t="s">
        <v>617</v>
      </c>
      <c r="BB9" s="54" t="s">
        <v>618</v>
      </c>
      <c r="BC9" s="54" t="s">
        <v>619</v>
      </c>
      <c r="BD9" s="54" t="s">
        <v>620</v>
      </c>
      <c r="BE9" s="54" t="s">
        <v>621</v>
      </c>
      <c r="BF9" s="55" t="s">
        <v>622</v>
      </c>
      <c r="BG9" s="55" t="s">
        <v>623</v>
      </c>
      <c r="BH9" s="55" t="s">
        <v>624</v>
      </c>
      <c r="BI9" s="14" t="str">
        <f>IF('[1]Labstar - 0.1-0.2mm'!$D$3="Hosepump","مادة الأنبوب",IF('[1]Labstar - 0.1-0.2mm'!$D$3="Nemopump","مادة الموالي",""))</f>
        <v>مادة الأنبوب</v>
      </c>
      <c r="BJ9" s="55" t="s">
        <v>625</v>
      </c>
      <c r="BK9" s="55" t="s">
        <v>626</v>
      </c>
    </row>
    <row r="10" spans="1:63" s="23" customFormat="1" ht="20.100000000000001" customHeight="1">
      <c r="A10" s="39" t="s">
        <v>627</v>
      </c>
      <c r="B10" s="20" t="s">
        <v>628</v>
      </c>
      <c r="C10" s="21" t="s">
        <v>629</v>
      </c>
      <c r="D10" s="21" t="s">
        <v>630</v>
      </c>
      <c r="E10" s="89" t="s">
        <v>631</v>
      </c>
      <c r="F10" s="21" t="s">
        <v>632</v>
      </c>
      <c r="G10" s="21" t="s">
        <v>633</v>
      </c>
      <c r="H10" s="21" t="s">
        <v>634</v>
      </c>
      <c r="I10" s="21" t="s">
        <v>635</v>
      </c>
      <c r="J10" s="21" t="s">
        <v>636</v>
      </c>
      <c r="K10" s="21" t="s">
        <v>637</v>
      </c>
      <c r="L10" s="21" t="s">
        <v>638</v>
      </c>
      <c r="M10" s="20" t="s">
        <v>639</v>
      </c>
      <c r="N10" s="21" t="s">
        <v>640</v>
      </c>
      <c r="O10" s="21" t="s">
        <v>641</v>
      </c>
      <c r="P10" s="21" t="s">
        <v>642</v>
      </c>
      <c r="Q10" s="21" t="s">
        <v>643</v>
      </c>
      <c r="R10" s="21" t="s">
        <v>644</v>
      </c>
      <c r="S10" s="21" t="s">
        <v>636</v>
      </c>
      <c r="T10" s="21" t="s">
        <v>645</v>
      </c>
      <c r="U10" s="21" t="s">
        <v>646</v>
      </c>
      <c r="V10" s="21" t="s">
        <v>647</v>
      </c>
      <c r="W10" s="21" t="s">
        <v>648</v>
      </c>
      <c r="X10" s="21" t="s">
        <v>649</v>
      </c>
      <c r="Y10" s="21" t="s">
        <v>650</v>
      </c>
      <c r="Z10" s="21" t="s">
        <v>651</v>
      </c>
      <c r="AA10" s="21" t="s">
        <v>652</v>
      </c>
      <c r="AB10" s="21" t="s">
        <v>653</v>
      </c>
      <c r="AC10" s="21" t="s">
        <v>654</v>
      </c>
      <c r="AD10" s="21" t="s">
        <v>655</v>
      </c>
      <c r="AE10" s="21" t="s">
        <v>656</v>
      </c>
      <c r="AF10" s="21" t="s">
        <v>657</v>
      </c>
      <c r="AG10" s="22" t="s">
        <v>658</v>
      </c>
      <c r="AH10" s="22" t="s">
        <v>659</v>
      </c>
      <c r="AI10" s="22" t="s">
        <v>660</v>
      </c>
      <c r="AJ10" s="22" t="s">
        <v>661</v>
      </c>
      <c r="AK10" s="22" t="s">
        <v>662</v>
      </c>
      <c r="AL10" s="22" t="s">
        <v>663</v>
      </c>
      <c r="AM10" s="22" t="s">
        <v>664</v>
      </c>
      <c r="AN10" s="22" t="s">
        <v>665</v>
      </c>
      <c r="AO10" s="22" t="s">
        <v>666</v>
      </c>
      <c r="AP10" s="23" t="s">
        <v>667</v>
      </c>
      <c r="AQ10" s="23" t="s">
        <v>668</v>
      </c>
      <c r="AR10" s="23" t="s">
        <v>669</v>
      </c>
      <c r="AS10" s="23" t="s">
        <v>670</v>
      </c>
      <c r="AT10" s="23" t="s">
        <v>671</v>
      </c>
      <c r="AU10" s="23" t="s">
        <v>672</v>
      </c>
      <c r="AV10" s="23" t="s">
        <v>673</v>
      </c>
      <c r="AW10" s="23" t="s">
        <v>674</v>
      </c>
      <c r="AX10" s="23" t="s">
        <v>675</v>
      </c>
      <c r="AY10" s="23" t="s">
        <v>676</v>
      </c>
      <c r="AZ10" s="23" t="s">
        <v>677</v>
      </c>
      <c r="BA10" s="23" t="s">
        <v>678</v>
      </c>
      <c r="BB10" s="23" t="s">
        <v>679</v>
      </c>
      <c r="BC10" s="23" t="s">
        <v>680</v>
      </c>
      <c r="BD10" s="23" t="s">
        <v>681</v>
      </c>
      <c r="BE10" s="23" t="s">
        <v>682</v>
      </c>
      <c r="BF10" s="23" t="s">
        <v>683</v>
      </c>
      <c r="BG10" s="23" t="s">
        <v>684</v>
      </c>
      <c r="BH10" s="23" t="s">
        <v>685</v>
      </c>
      <c r="BI10" s="39" t="str">
        <f>IF('[1]Labstar - 0.1-0.2mm'!$D$3="Hosepump","호스재질",IF('[1]Labstar - 0.1-0.2mm'!$D$3="Nemopump","고정자 재료",""))</f>
        <v>호스재질</v>
      </c>
      <c r="BJ10" s="23" t="s">
        <v>686</v>
      </c>
      <c r="BK10" s="23" t="s">
        <v>687</v>
      </c>
    </row>
    <row r="11" spans="1:63" s="23" customFormat="1" ht="20.100000000000001" customHeight="1">
      <c r="A11" s="39" t="s">
        <v>688</v>
      </c>
      <c r="B11" s="33" t="s">
        <v>689</v>
      </c>
      <c r="C11" s="33" t="s">
        <v>690</v>
      </c>
      <c r="D11" s="33" t="s">
        <v>691</v>
      </c>
      <c r="E11" s="35" t="s">
        <v>692</v>
      </c>
      <c r="F11" s="33" t="s">
        <v>693</v>
      </c>
      <c r="G11" s="33" t="s">
        <v>108</v>
      </c>
      <c r="H11" s="33" t="s">
        <v>694</v>
      </c>
      <c r="I11" s="33" t="s">
        <v>695</v>
      </c>
      <c r="J11" s="33" t="s">
        <v>696</v>
      </c>
      <c r="K11" s="33" t="s">
        <v>697</v>
      </c>
      <c r="L11" s="33" t="s">
        <v>698</v>
      </c>
      <c r="M11" s="33" t="s">
        <v>699</v>
      </c>
      <c r="N11" s="33" t="s">
        <v>287</v>
      </c>
      <c r="O11" s="33" t="s">
        <v>700</v>
      </c>
      <c r="P11" s="33" t="s">
        <v>701</v>
      </c>
      <c r="Q11" s="33" t="s">
        <v>702</v>
      </c>
      <c r="R11" s="33" t="s">
        <v>703</v>
      </c>
      <c r="S11" s="33" t="s">
        <v>696</v>
      </c>
      <c r="T11" s="33" t="s">
        <v>704</v>
      </c>
      <c r="U11" s="33" t="s">
        <v>705</v>
      </c>
      <c r="V11" s="33" t="s">
        <v>706</v>
      </c>
      <c r="W11" s="33" t="s">
        <v>707</v>
      </c>
      <c r="X11" s="33" t="s">
        <v>708</v>
      </c>
      <c r="Y11" s="33" t="s">
        <v>709</v>
      </c>
      <c r="Z11" s="33" t="s">
        <v>710</v>
      </c>
      <c r="AA11" s="33" t="s">
        <v>711</v>
      </c>
      <c r="AB11" s="33" t="s">
        <v>712</v>
      </c>
      <c r="AC11" s="33" t="s">
        <v>713</v>
      </c>
      <c r="AD11" s="33" t="s">
        <v>714</v>
      </c>
      <c r="AE11" s="33" t="s">
        <v>715</v>
      </c>
      <c r="AF11" s="33" t="s">
        <v>716</v>
      </c>
      <c r="AG11" s="34" t="s">
        <v>717</v>
      </c>
      <c r="AH11" s="34" t="s">
        <v>718</v>
      </c>
      <c r="AI11" s="34" t="s">
        <v>719</v>
      </c>
      <c r="AJ11" s="34" t="s">
        <v>720</v>
      </c>
      <c r="AK11" s="34" t="s">
        <v>721</v>
      </c>
      <c r="AL11" s="34" t="s">
        <v>722</v>
      </c>
      <c r="AM11" s="34" t="s">
        <v>723</v>
      </c>
      <c r="AN11" s="35" t="s">
        <v>724</v>
      </c>
      <c r="AO11" s="35" t="s">
        <v>725</v>
      </c>
      <c r="AP11" s="35" t="s">
        <v>726</v>
      </c>
      <c r="AQ11" s="35" t="s">
        <v>727</v>
      </c>
      <c r="AR11" s="35" t="s">
        <v>728</v>
      </c>
      <c r="AS11" s="35" t="s">
        <v>729</v>
      </c>
      <c r="AT11" s="35" t="s">
        <v>730</v>
      </c>
      <c r="AU11" s="35" t="s">
        <v>731</v>
      </c>
      <c r="AV11" s="35" t="s">
        <v>732</v>
      </c>
      <c r="AW11" s="35" t="s">
        <v>733</v>
      </c>
      <c r="AX11" s="35" t="s">
        <v>734</v>
      </c>
      <c r="AY11" s="35" t="s">
        <v>735</v>
      </c>
      <c r="AZ11" s="35" t="s">
        <v>736</v>
      </c>
      <c r="BA11" s="35" t="s">
        <v>737</v>
      </c>
      <c r="BB11" s="35" t="s">
        <v>738</v>
      </c>
      <c r="BC11" s="35" t="s">
        <v>739</v>
      </c>
      <c r="BD11" s="35" t="s">
        <v>740</v>
      </c>
      <c r="BE11" s="35" t="s">
        <v>741</v>
      </c>
      <c r="BF11" s="35" t="s">
        <v>742</v>
      </c>
      <c r="BG11" s="35" t="s">
        <v>743</v>
      </c>
      <c r="BH11" s="35" t="s">
        <v>744</v>
      </c>
      <c r="BI11" s="39" t="str">
        <f>IF('[1]Labstar - 0.1-0.2mm'!$D$3="Hosepump","hortum malzemesi",IF('[1]Labstar - 0.1-0.2mm'!$D$3="Nemopump","stator malzemesi",""))</f>
        <v>hortum malzemesi</v>
      </c>
      <c r="BJ11" s="35" t="s">
        <v>745</v>
      </c>
      <c r="BK11" s="35" t="s">
        <v>746</v>
      </c>
    </row>
    <row r="12" spans="1:63" s="47" customFormat="1" ht="20.100000000000001" customHeight="1">
      <c r="A12" s="39" t="s">
        <v>747</v>
      </c>
      <c r="B12" s="48" t="s">
        <v>748</v>
      </c>
      <c r="C12" s="48" t="s">
        <v>749</v>
      </c>
      <c r="D12" s="48" t="s">
        <v>750</v>
      </c>
      <c r="E12" s="47" t="s">
        <v>751</v>
      </c>
      <c r="F12" s="48" t="s">
        <v>752</v>
      </c>
      <c r="G12" s="48" t="s">
        <v>753</v>
      </c>
      <c r="H12" s="48" t="s">
        <v>754</v>
      </c>
      <c r="I12" s="48" t="s">
        <v>755</v>
      </c>
      <c r="J12" s="48" t="s">
        <v>756</v>
      </c>
      <c r="K12" s="48" t="s">
        <v>757</v>
      </c>
      <c r="L12" s="48" t="s">
        <v>758</v>
      </c>
      <c r="M12" s="48" t="s">
        <v>759</v>
      </c>
      <c r="N12" s="48" t="s">
        <v>760</v>
      </c>
      <c r="O12" s="48" t="s">
        <v>761</v>
      </c>
      <c r="P12" s="48" t="s">
        <v>762</v>
      </c>
      <c r="Q12" s="48" t="s">
        <v>763</v>
      </c>
      <c r="R12" s="48" t="s">
        <v>764</v>
      </c>
      <c r="S12" s="48" t="s">
        <v>756</v>
      </c>
      <c r="T12" s="48" t="s">
        <v>765</v>
      </c>
      <c r="U12" s="48" t="s">
        <v>766</v>
      </c>
      <c r="V12" s="48" t="s">
        <v>767</v>
      </c>
      <c r="W12" s="48" t="s">
        <v>768</v>
      </c>
      <c r="X12" s="48" t="s">
        <v>769</v>
      </c>
      <c r="Y12" s="48" t="s">
        <v>770</v>
      </c>
      <c r="Z12" s="48" t="s">
        <v>771</v>
      </c>
      <c r="AA12" s="48" t="s">
        <v>772</v>
      </c>
      <c r="AB12" s="48" t="s">
        <v>773</v>
      </c>
      <c r="AC12" s="48" t="s">
        <v>774</v>
      </c>
      <c r="AD12" s="48" t="s">
        <v>775</v>
      </c>
      <c r="AE12" s="48" t="s">
        <v>776</v>
      </c>
      <c r="AF12" s="48" t="s">
        <v>777</v>
      </c>
      <c r="AG12" s="49" t="s">
        <v>778</v>
      </c>
      <c r="AH12" s="49" t="s">
        <v>779</v>
      </c>
      <c r="AI12" s="49" t="s">
        <v>780</v>
      </c>
      <c r="AJ12" s="49" t="s">
        <v>781</v>
      </c>
      <c r="AK12" s="49" t="s">
        <v>782</v>
      </c>
      <c r="AL12" s="49" t="s">
        <v>783</v>
      </c>
      <c r="AM12" s="49" t="s">
        <v>784</v>
      </c>
      <c r="AN12" s="47" t="s">
        <v>785</v>
      </c>
      <c r="AO12" s="47" t="s">
        <v>786</v>
      </c>
      <c r="AP12" s="47" t="s">
        <v>787</v>
      </c>
      <c r="AQ12" s="47" t="s">
        <v>788</v>
      </c>
      <c r="AR12" s="47" t="s">
        <v>789</v>
      </c>
      <c r="AS12" s="47" t="s">
        <v>790</v>
      </c>
      <c r="AT12" s="47" t="s">
        <v>791</v>
      </c>
      <c r="AU12" s="47" t="s">
        <v>792</v>
      </c>
      <c r="AV12" s="47" t="s">
        <v>793</v>
      </c>
      <c r="AW12" s="47" t="s">
        <v>794</v>
      </c>
      <c r="AX12" s="47" t="s">
        <v>795</v>
      </c>
      <c r="AY12" s="47" t="s">
        <v>796</v>
      </c>
      <c r="AZ12" s="47" t="s">
        <v>797</v>
      </c>
      <c r="BA12" s="47" t="s">
        <v>798</v>
      </c>
      <c r="BB12" s="47" t="s">
        <v>799</v>
      </c>
      <c r="BC12" s="47" t="s">
        <v>800</v>
      </c>
      <c r="BD12" s="47" t="s">
        <v>801</v>
      </c>
      <c r="BE12" s="47" t="s">
        <v>802</v>
      </c>
      <c r="BF12" s="47" t="s">
        <v>803</v>
      </c>
      <c r="BG12" s="47" t="s">
        <v>804</v>
      </c>
      <c r="BH12" s="47" t="s">
        <v>805</v>
      </c>
      <c r="BI12" s="39" t="str">
        <f>IF('[1]Labstar - 0.1-0.2mm'!$D$3="Hosepump","नली सामग्री",IF('[1]Labstar - 0.1-0.2mm'!$D$3="Nemopump","स्टेटर सामग्री",""))</f>
        <v>नली सामग्री</v>
      </c>
      <c r="BJ12" s="50" t="s">
        <v>806</v>
      </c>
      <c r="BK12" s="50" t="s">
        <v>807</v>
      </c>
    </row>
    <row r="13" spans="1:63" ht="20.100000000000001" customHeight="1">
      <c r="A13" s="13"/>
      <c r="AG13" s="16"/>
      <c r="AH13" s="16"/>
      <c r="BI13" s="39" t="e">
        <f>IF(#REF!="Hosepump","Hose material",IF(#REF!="Nemopump","Stator material",""))</f>
        <v>#REF!</v>
      </c>
    </row>
    <row r="14" spans="1:63" ht="20.100000000000001" customHeight="1">
      <c r="C14" s="17"/>
      <c r="D14" s="17"/>
      <c r="E14" s="18"/>
      <c r="BI14" s="39" t="e">
        <f>IF(#REF!="Hosepump","Schlauchwerkstoff",IF(#REF!="Nemopump","Statorwerkstoff",""))</f>
        <v>#REF!</v>
      </c>
    </row>
    <row r="15" spans="1:63" ht="20.100000000000001" customHeight="1">
      <c r="C15" s="17"/>
      <c r="E15" s="16" t="str">
        <f>IF(OR('[1]Labstar - 0.1-0.2mm'!$D$3="Hosepump",'[1]Labstar - 0.1-0.2mm'!$D$3="Nemopump"),"EPDM","")</f>
        <v>EPDM</v>
      </c>
      <c r="BI15" s="39" t="e">
        <f>IF(#REF!="Hosepump","Matériau tuyuau",IF(#REF!="Nemopump","Matériau stator",""))</f>
        <v>#REF!</v>
      </c>
    </row>
    <row r="16" spans="1:63" ht="20.100000000000001" customHeight="1">
      <c r="BI16" s="39" t="e">
        <f>IF(#REF!="Hosepump","materiale flessibile",IF(#REF!="Nemopump","materiale statore",""))</f>
        <v>#REF!</v>
      </c>
    </row>
    <row r="17" spans="2:61" ht="19.5" customHeight="1">
      <c r="BI17" s="39" t="e">
        <f>IF(#REF!="Hosepump","Material de la manguera",IF(#REF!="Nemopump","Material de la estator",""))</f>
        <v>#REF!</v>
      </c>
    </row>
    <row r="18" spans="2:61" ht="19.5" customHeight="1">
      <c r="BI18" s="39" t="e">
        <f>IF(#REF!="Hosepump","Материал шланга",IF(#REF!="Nemopump","Материал статор",""))</f>
        <v>#REF!</v>
      </c>
    </row>
    <row r="19" spans="2:61" ht="19.5" customHeight="1">
      <c r="B19" s="16" t="s">
        <v>808</v>
      </c>
      <c r="C19" s="16" t="s">
        <v>16</v>
      </c>
      <c r="D19" s="16" t="s">
        <v>42</v>
      </c>
      <c r="E19" s="16"/>
      <c r="F19" s="16" t="s">
        <v>41</v>
      </c>
      <c r="BI19" s="39" t="e">
        <f>IF(#REF!="Hosepump","软管材质",IF(#REF!="Nemopump","定子材料",""))</f>
        <v>#REF!</v>
      </c>
    </row>
    <row r="20" spans="2:61" ht="19.5" customHeight="1">
      <c r="B20" s="16" t="s">
        <v>12</v>
      </c>
      <c r="C20" s="16" t="s">
        <v>809</v>
      </c>
      <c r="D20" s="16" t="s">
        <v>810</v>
      </c>
      <c r="E20" s="16"/>
      <c r="F20" s="16" t="s">
        <v>811</v>
      </c>
      <c r="BI20" s="39" t="e">
        <f>IF(#REF!="Hosepump","material da mangueira",IF(#REF!="Nemopump","material da estator",""))</f>
        <v>#REF!</v>
      </c>
    </row>
    <row r="21" spans="2:61" ht="19.5" customHeight="1">
      <c r="B21" s="16" t="s">
        <v>812</v>
      </c>
      <c r="C21" s="16" t="s">
        <v>813</v>
      </c>
      <c r="D21" s="16" t="s">
        <v>814</v>
      </c>
      <c r="E21" s="16"/>
      <c r="F21" s="16" t="s">
        <v>815</v>
      </c>
      <c r="BI21" s="14" t="e">
        <f>IF(#REF!="Hosepump","مادة الأنبوب",IF(#REF!="Nemopump","مادة الموالي",""))</f>
        <v>#REF!</v>
      </c>
    </row>
    <row r="22" spans="2:61" ht="19.5" customHeight="1">
      <c r="B22" s="16" t="s">
        <v>816</v>
      </c>
      <c r="C22" s="16" t="s">
        <v>817</v>
      </c>
      <c r="D22" s="16" t="e">
        <f>IF(OR(#REF!="Hosepump",#REF!="Nemopump"),"EPDM","")</f>
        <v>#REF!</v>
      </c>
      <c r="E22" s="16"/>
      <c r="F22" s="16" t="s">
        <v>814</v>
      </c>
      <c r="T22" s="15" t="s">
        <v>0</v>
      </c>
      <c r="BI22" s="39" t="e">
        <f>IF(#REF!="Hosepump","호스재질",IF(#REF!="Nemopump","고정자 재료",""))</f>
        <v>#REF!</v>
      </c>
    </row>
    <row r="23" spans="2:61" ht="19.5" customHeight="1">
      <c r="B23" s="16" t="s">
        <v>818</v>
      </c>
      <c r="C23" s="16" t="s">
        <v>819</v>
      </c>
      <c r="D23" s="16" t="e">
        <f>IF(OR(#REF!="Hosepump",#REF!="Nemopump"),"Viton","")</f>
        <v>#REF!</v>
      </c>
      <c r="E23" s="16"/>
      <c r="F23" s="16"/>
      <c r="BI23" s="39" t="e">
        <f>IF(#REF!="Hosepump","hortum malzemesi",IF(#REF!="Nemopump","stator malzemesi",""))</f>
        <v>#REF!</v>
      </c>
    </row>
    <row r="24" spans="2:61" ht="19.5" customHeight="1">
      <c r="B24" s="16"/>
      <c r="C24" s="16" t="s">
        <v>820</v>
      </c>
      <c r="D24" s="16" t="e">
        <f>IF(#REF!="Hosepump","Natural rubber","")</f>
        <v>#REF!</v>
      </c>
      <c r="E24" s="16"/>
      <c r="F24" s="16"/>
      <c r="BI24" s="39" t="e">
        <f>IF(#REF!="Hosepump","नली सामग्री",IF(#REF!="Nemopump","स्टेटर सामग्री",""))</f>
        <v>#REF!</v>
      </c>
    </row>
    <row r="25" spans="2:61" ht="19.5" customHeight="1">
      <c r="B25" s="90" t="s">
        <v>821</v>
      </c>
      <c r="C25" s="16" t="s">
        <v>822</v>
      </c>
      <c r="D25" s="16" t="e">
        <f>IF(#REF!="Hosepump","Tygon F+L","")</f>
        <v>#REF!</v>
      </c>
      <c r="E25" s="16"/>
      <c r="F25" s="16"/>
      <c r="BI25" s="39"/>
    </row>
    <row r="26" spans="2:61" ht="19.5" customHeight="1">
      <c r="B26" s="16" t="str">
        <f>IF(OR('[1]Labstar - 0.1-0.2mm'!$D$3="Hosepump",'[1]Labstar - 0.1-0.2mm'!$D$3="Nemopump"),"EPDM","")</f>
        <v>EPDM</v>
      </c>
      <c r="D26" s="16" t="e">
        <f>IF(#REF!="Hosepump","Norprene","")</f>
        <v>#REF!</v>
      </c>
      <c r="E26" s="16" t="e">
        <f>IF(OR(#REF!="Hosepump",#REF!="Nemopump"),"EPDM","")</f>
        <v>#REF!</v>
      </c>
      <c r="BI26" s="35"/>
    </row>
    <row r="27" spans="2:61" ht="19.5" customHeight="1">
      <c r="B27" s="16" t="str">
        <f>IF(OR('[1]Labstar - 0.1-0.2mm'!$D$3="Hosepump",'[1]Labstar - 0.1-0.2mm'!$D$3="Nemopump"),"Viton","")</f>
        <v>Viton</v>
      </c>
      <c r="D27" s="16" t="e">
        <f>IF(#REF!="Hosepump","Tygon 2375","")</f>
        <v>#REF!</v>
      </c>
      <c r="E27" s="16" t="e">
        <f>IF(OR(#REF!="Hosepump",#REF!="Nemopump"),"Viton","")</f>
        <v>#REF!</v>
      </c>
      <c r="BI27" s="50"/>
    </row>
    <row r="28" spans="2:61">
      <c r="B28" s="16" t="str">
        <f>IF('[1]Labstar - 0.1-0.2mm'!$D$3="Hosepump","Natural rubber","")</f>
        <v>Natural rubber</v>
      </c>
      <c r="E28" s="16" t="e">
        <f>IF(#REF!="Hosepump","Natural rubber","")</f>
        <v>#REF!</v>
      </c>
    </row>
    <row r="29" spans="2:61">
      <c r="B29" s="16" t="str">
        <f>IF('[1]Labstar - 0.1-0.2mm'!$D$3="Hosepump","Tygon F+L","")</f>
        <v>Tygon F+L</v>
      </c>
      <c r="E29" s="16" t="e">
        <f>IF(#REF!="Hosepump","Norprene","")</f>
        <v>#REF!</v>
      </c>
    </row>
    <row r="30" spans="2:61">
      <c r="B30" s="16" t="str">
        <f>IF('[1]Labstar - 0.1-0.2mm'!$D$3="Hosepump","Norprene","")</f>
        <v>Norprene</v>
      </c>
      <c r="E30" s="16" t="e">
        <f>IF(#REF!="Hosepump","Tygon F+L","")</f>
        <v>#REF!</v>
      </c>
    </row>
    <row r="31" spans="2:61">
      <c r="B31" s="16" t="str">
        <f>IF('[1]Labstar - 0.1-0.2mm'!$D$3="Hosepump","Tygon 2375","")</f>
        <v>Tygon 2375</v>
      </c>
      <c r="E31" s="16" t="e">
        <f>IF(#REF!="Hosepump","Tygon 2375","")</f>
        <v>#REF!</v>
      </c>
    </row>
    <row r="33" spans="2:2">
      <c r="B33" s="90" t="s">
        <v>823</v>
      </c>
    </row>
    <row r="34" spans="2:2">
      <c r="B34" s="16" t="e">
        <f>IF(OR(#REF!="Hosepump",#REF!="Nemopump"),"EPDM","")</f>
        <v>#REF!</v>
      </c>
    </row>
    <row r="35" spans="2:2">
      <c r="B35" s="16" t="e">
        <f>IF(OR(#REF!="Hosepump",#REF!="Nemopump"),"Viton","")</f>
        <v>#REF!</v>
      </c>
    </row>
    <row r="36" spans="2:2">
      <c r="B36" s="16" t="e">
        <f>IF(#REF!="Hosepump","Natural rubber","")</f>
        <v>#REF!</v>
      </c>
    </row>
    <row r="37" spans="2:2">
      <c r="B37" s="16" t="e">
        <f>IF(#REF!="Hosepump","Tygon F+L","")</f>
        <v>#REF!</v>
      </c>
    </row>
    <row r="38" spans="2:2">
      <c r="B38" s="16" t="e">
        <f>IF(#REF!="Hosepump","Norprene","")</f>
        <v>#REF!</v>
      </c>
    </row>
    <row r="39" spans="2:2">
      <c r="B39" s="16" t="e">
        <f>IF(#REF!="Hosepump","Tygon 2375","")</f>
        <v>#REF!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Deckblatt</vt:lpstr>
      <vt:lpstr>B</vt:lpstr>
      <vt:lpstr>C</vt:lpstr>
      <vt:lpstr>D</vt:lpstr>
      <vt:lpstr>E</vt:lpstr>
      <vt:lpstr>Plan</vt:lpstr>
      <vt:lpstr>Scale-up</vt:lpstr>
      <vt:lpstr>Sheet1</vt:lpstr>
      <vt:lpstr>translation List</vt:lpstr>
    </vt:vector>
  </TitlesOfParts>
  <Manager/>
  <Company>NFT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Report</dc:title>
  <dc:subject/>
  <dc:creator>Flessa, Ludwig</dc:creator>
  <cp:keywords/>
  <dc:description/>
  <cp:lastModifiedBy>Münzner, Dr. Maximilian</cp:lastModifiedBy>
  <cp:revision/>
  <dcterms:created xsi:type="dcterms:W3CDTF">2002-02-26T07:49:52Z</dcterms:created>
  <dcterms:modified xsi:type="dcterms:W3CDTF">2024-11-19T20:45:33Z</dcterms:modified>
  <cp:category/>
  <cp:contentStatus/>
</cp:coreProperties>
</file>