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savba95p\Dropbox\Data Waste Project\JASIST paper\"/>
    </mc:Choice>
  </mc:AlternateContent>
  <xr:revisionPtr revIDLastSave="0" documentId="13_ncr:1_{C896EE31-49AF-4877-A0AC-86D734A901FB}" xr6:coauthVersionLast="44" xr6:coauthVersionMax="44" xr10:uidLastSave="{00000000-0000-0000-0000-000000000000}"/>
  <bookViews>
    <workbookView xWindow="-2676" yWindow="3576" windowWidth="17310" windowHeight="9984" activeTab="1" xr2:uid="{00000000-000D-0000-FFFF-FFFF00000000}"/>
  </bookViews>
  <sheets>
    <sheet name="Sources" sheetId="1" r:id="rId1"/>
    <sheet name="App-Review" sheetId="2" r:id="rId2"/>
    <sheet name="Restaurant-Review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20" i="4" l="1"/>
  <c r="K20" i="4"/>
  <c r="K20" i="2"/>
  <c r="O10" i="4"/>
  <c r="O27" i="4"/>
  <c r="M20" i="4"/>
  <c r="M20" i="2"/>
  <c r="K3" i="4"/>
  <c r="O27" i="2" l="1"/>
  <c r="O10" i="2"/>
  <c r="N20" i="4" l="1"/>
  <c r="P25" i="4"/>
  <c r="Q25" i="4" s="1"/>
  <c r="G10" i="4"/>
  <c r="G9" i="4"/>
  <c r="F9" i="4"/>
  <c r="G8" i="4"/>
  <c r="F8" i="4"/>
  <c r="E8" i="4"/>
  <c r="F7" i="4"/>
  <c r="D7" i="4"/>
  <c r="N3" i="4"/>
  <c r="M8" i="4"/>
  <c r="M11" i="4" s="1"/>
  <c r="N26" i="4" l="1"/>
  <c r="O26" i="4"/>
  <c r="P26" i="4"/>
  <c r="Q26" i="4" s="1"/>
  <c r="N8" i="4"/>
  <c r="O8" i="4"/>
  <c r="L7" i="4"/>
  <c r="L11" i="4" s="1"/>
  <c r="P9" i="4"/>
  <c r="Q9" i="4" s="1"/>
  <c r="L24" i="4"/>
  <c r="L28" i="4" s="1"/>
  <c r="N7" i="4"/>
  <c r="N24" i="4"/>
  <c r="P24" i="4"/>
  <c r="P7" i="4"/>
  <c r="M25" i="4"/>
  <c r="M28" i="4" s="1"/>
  <c r="N25" i="4"/>
  <c r="O25" i="4"/>
  <c r="P8" i="4"/>
  <c r="Q8" i="4" s="1"/>
  <c r="N9" i="4"/>
  <c r="O9" i="4"/>
  <c r="N20" i="2"/>
  <c r="O28" i="4" l="1"/>
  <c r="M32" i="4" s="1"/>
  <c r="N32" i="4" s="1"/>
  <c r="O32" i="4" s="1"/>
  <c r="O11" i="4"/>
  <c r="M15" i="4" s="1"/>
  <c r="N15" i="4" s="1"/>
  <c r="O15" i="4" s="1"/>
  <c r="N28" i="4"/>
  <c r="M31" i="4" s="1"/>
  <c r="P11" i="4"/>
  <c r="Q11" i="4" s="1"/>
  <c r="Q7" i="4"/>
  <c r="Q24" i="4"/>
  <c r="Q28" i="4" s="1"/>
  <c r="P28" i="4"/>
  <c r="N11" i="4"/>
  <c r="M14" i="4"/>
  <c r="K3" i="2" l="1"/>
  <c r="N3" i="2" l="1"/>
  <c r="E5" i="1"/>
  <c r="E8" i="2" s="1"/>
  <c r="G10" i="2"/>
  <c r="F7" i="2"/>
  <c r="E10" i="1"/>
  <c r="G9" i="2" s="1"/>
  <c r="E9" i="1"/>
  <c r="G8" i="2" s="1"/>
  <c r="E8" i="1"/>
  <c r="F9" i="2" s="1"/>
  <c r="E7" i="1"/>
  <c r="F8" i="2" s="1"/>
  <c r="E4" i="1"/>
  <c r="P26" i="2" l="1"/>
  <c r="Q26" i="2" s="1"/>
  <c r="N26" i="2"/>
  <c r="N9" i="2"/>
  <c r="P9" i="2"/>
  <c r="P25" i="2"/>
  <c r="Q25" i="2" s="1"/>
  <c r="N25" i="2"/>
  <c r="N8" i="2"/>
  <c r="P8" i="2"/>
  <c r="Q8" i="2" s="1"/>
  <c r="O26" i="2"/>
  <c r="O9" i="2"/>
  <c r="O25" i="2"/>
  <c r="O8" i="2"/>
  <c r="M25" i="2"/>
  <c r="M28" i="2" s="1"/>
  <c r="M8" i="2"/>
  <c r="M11" i="2" s="1"/>
  <c r="D7" i="2"/>
  <c r="L24" i="2" s="1"/>
  <c r="L28" i="2" s="1"/>
  <c r="N24" i="2"/>
  <c r="P24" i="2"/>
  <c r="N7" i="2"/>
  <c r="P7" i="2"/>
  <c r="Q9" i="2"/>
  <c r="L7" i="2"/>
  <c r="L11" i="2" s="1"/>
  <c r="O28" i="2" l="1"/>
  <c r="M32" i="2" s="1"/>
  <c r="N32" i="2" s="1"/>
  <c r="O32" i="2" s="1"/>
  <c r="P28" i="2"/>
  <c r="Q24" i="2"/>
  <c r="Q28" i="2" s="1"/>
  <c r="N28" i="2"/>
  <c r="M31" i="2" s="1"/>
  <c r="Q7" i="2"/>
  <c r="P11" i="2"/>
  <c r="Q11" i="2" s="1"/>
  <c r="N11" i="2"/>
  <c r="M14" i="2" s="1"/>
  <c r="O11" i="2"/>
  <c r="M15" i="2" s="1"/>
  <c r="N15" i="2" l="1"/>
  <c r="O15" i="2" s="1"/>
</calcChain>
</file>

<file path=xl/sharedStrings.xml><?xml version="1.0" encoding="utf-8"?>
<sst xmlns="http://schemas.openxmlformats.org/spreadsheetml/2006/main" count="174" uniqueCount="81">
  <si>
    <t>Storage cost</t>
  </si>
  <si>
    <t>Raw figure</t>
  </si>
  <si>
    <t>0.023 GB/month</t>
  </si>
  <si>
    <t>Reference</t>
  </si>
  <si>
    <t>https://www.apptio.com/emerge/aws-s3-understanding-cloud-storage-costs-to-save/</t>
  </si>
  <si>
    <t>Processing cost</t>
  </si>
  <si>
    <t>Converted figure (computation)</t>
  </si>
  <si>
    <t>Converted figure (with units)</t>
  </si>
  <si>
    <t>276 TB/year</t>
  </si>
  <si>
    <t>Power used (storage)</t>
  </si>
  <si>
    <t>1700KWh/TB</t>
  </si>
  <si>
    <t>Power used (processing)</t>
  </si>
  <si>
    <t>520 KWh/year</t>
  </si>
  <si>
    <t>Power used (transmission)</t>
  </si>
  <si>
    <t>5KWh/GB</t>
  </si>
  <si>
    <t>5000 KWh/TB</t>
  </si>
  <si>
    <t xml:space="preserve"> 10KWh/week</t>
  </si>
  <si>
    <t>81.25 sec/ 40GB in SSD</t>
  </si>
  <si>
    <t>2031.25 seconds</t>
  </si>
  <si>
    <t>Time taken (processing)</t>
  </si>
  <si>
    <t>Time taken (transmission)</t>
  </si>
  <si>
    <t>Time taken (consumption)</t>
  </si>
  <si>
    <t xml:space="preserve"> 150 sec for 200 MB</t>
  </si>
  <si>
    <t>2.38 - 5 sec/review</t>
  </si>
  <si>
    <t>750 second for 1 TB</t>
  </si>
  <si>
    <t>2.8 second for 1 review</t>
  </si>
  <si>
    <t>Phase</t>
  </si>
  <si>
    <t>Processing</t>
  </si>
  <si>
    <t>Power used</t>
  </si>
  <si>
    <t>Time taken</t>
  </si>
  <si>
    <t>Storage</t>
  </si>
  <si>
    <t>Transmission</t>
  </si>
  <si>
    <t>Consumption</t>
  </si>
  <si>
    <t>((2 GHz/0.6 GB * 1000 * 0.42 )/3600)* 0.42</t>
  </si>
  <si>
    <t>https://acg.maine.edu/pricing/fee-structure/</t>
  </si>
  <si>
    <t>Storage cost ($)</t>
  </si>
  <si>
    <t>Processing cost ($)</t>
  </si>
  <si>
    <t>Total</t>
  </si>
  <si>
    <t>Power used (KWh)</t>
  </si>
  <si>
    <t>Time taken (seconds)</t>
  </si>
  <si>
    <t>Number of reviews</t>
  </si>
  <si>
    <t>Number of read reviews</t>
  </si>
  <si>
    <t>https://www.electricchoice.com/electricity-prices-by-state/</t>
  </si>
  <si>
    <t>Electricty price per KWh</t>
  </si>
  <si>
    <t>Costs (in $US)</t>
  </si>
  <si>
    <t>Trash size (in TB)</t>
  </si>
  <si>
    <t>Total characters</t>
  </si>
  <si>
    <t>1700KWh/TB per year</t>
  </si>
  <si>
    <t>Power used ($)</t>
  </si>
  <si>
    <t>Kg per kilowatt hour</t>
  </si>
  <si>
    <t>Carbon emissions</t>
  </si>
  <si>
    <t>Memory required by other attributes (title, star rating …)</t>
  </si>
  <si>
    <t>User name (32 bytes)</t>
  </si>
  <si>
    <t>Date (16 bytes)</t>
  </si>
  <si>
    <t>Star rating (1 byte)</t>
  </si>
  <si>
    <t>Thumbs up (2 bytes)</t>
  </si>
  <si>
    <t>Review title (50 bytes)</t>
  </si>
  <si>
    <t>Review post (350 bytes)</t>
  </si>
  <si>
    <t>Additional bytes</t>
  </si>
  <si>
    <t>Average number of users per year per app</t>
  </si>
  <si>
    <t>Number of apps</t>
  </si>
  <si>
    <t>Days</t>
  </si>
  <si>
    <t>Years</t>
  </si>
  <si>
    <t>Hours</t>
  </si>
  <si>
    <t>Computation for app reviews domain (actual values)</t>
  </si>
  <si>
    <t>Computation for app reviews domain (extrapolated values)</t>
  </si>
  <si>
    <t>Variables representing costs, power consumed and time taken</t>
  </si>
  <si>
    <t>Computations for the app reviews domain</t>
  </si>
  <si>
    <t>Phases</t>
  </si>
  <si>
    <t>Multiplicative factors for costs, power used and time taken (uses data from Sources worksheet)</t>
  </si>
  <si>
    <t>Computation for restaurant reviews domain (actual values)</t>
  </si>
  <si>
    <t>Computation for restaurant reviews domain (extrapolated values)</t>
  </si>
  <si>
    <t>Review post (4000 bytes)</t>
  </si>
  <si>
    <t>Number of restaurants</t>
  </si>
  <si>
    <t>Total reviews</t>
  </si>
  <si>
    <t>Data waste percentage</t>
  </si>
  <si>
    <t>Total apps</t>
  </si>
  <si>
    <t>Average number of reviews per app</t>
  </si>
  <si>
    <t>Average number of reviews per restaurant</t>
  </si>
  <si>
    <t>Average number of users per year per restaurant</t>
  </si>
  <si>
    <t>Total restaurants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</si>
</sst>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Georgia"/>
      <family val="1"/>
    </font>
    <font>
      <sz val="11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6"/>
      <color rgb="FF00B05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ck">
        <color rgb="FF7030A0"/>
      </left>
      <right style="thick">
        <color rgb="FF7030A0"/>
      </right>
      <top style="thick">
        <color rgb="FF7030A0"/>
      </top>
      <bottom style="thick">
        <color rgb="FF7030A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2" fillId="0" borderId="0" xfId="1"/>
    <xf numFmtId="0" fontId="1" fillId="0" borderId="0" xfId="0" applyFont="1"/>
    <xf numFmtId="0" fontId="3" fillId="0" borderId="0" xfId="0" applyFont="1"/>
    <xf numFmtId="0" fontId="1" fillId="0" borderId="1" xfId="0" applyFont="1" applyBorder="1"/>
    <xf numFmtId="0" fontId="5" fillId="0" borderId="1" xfId="0" applyFont="1" applyFill="1" applyBorder="1"/>
    <xf numFmtId="0" fontId="6" fillId="0" borderId="1" xfId="0" applyFont="1" applyFill="1" applyBorder="1"/>
    <xf numFmtId="0" fontId="0" fillId="0" borderId="1" xfId="0" applyBorder="1"/>
    <xf numFmtId="0" fontId="4" fillId="0" borderId="1" xfId="0" applyFont="1" applyBorder="1"/>
    <xf numFmtId="0" fontId="0" fillId="0" borderId="1" xfId="0" applyFill="1" applyBorder="1"/>
    <xf numFmtId="0" fontId="7" fillId="0" borderId="0" xfId="0" applyFont="1"/>
    <xf numFmtId="0" fontId="8" fillId="0" borderId="0" xfId="0" applyFont="1"/>
    <xf numFmtId="0" fontId="5" fillId="0" borderId="0" xfId="0" applyFont="1"/>
    <xf numFmtId="0" fontId="0" fillId="2" borderId="0" xfId="0" applyFill="1"/>
    <xf numFmtId="0" fontId="1" fillId="0" borderId="1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lectricchoice.com/electricity-prices-by-state/" TargetMode="External"/><Relationship Id="rId2" Type="http://schemas.openxmlformats.org/officeDocument/2006/relationships/hyperlink" Target="https://acg.maine.edu/pricing/fee-structure/" TargetMode="External"/><Relationship Id="rId1" Type="http://schemas.openxmlformats.org/officeDocument/2006/relationships/hyperlink" Target="https://www.apptio.com/emerge/aws-s3-understanding-cloud-storage-costs-to-save/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G11"/>
  <sheetViews>
    <sheetView workbookViewId="0">
      <selection activeCell="C22" sqref="C22"/>
    </sheetView>
  </sheetViews>
  <sheetFormatPr defaultRowHeight="14.4" x14ac:dyDescent="0.55000000000000004"/>
  <cols>
    <col min="3" max="3" width="25.26171875" customWidth="1"/>
    <col min="4" max="4" width="41.578125" customWidth="1"/>
    <col min="5" max="5" width="35.26171875" customWidth="1"/>
    <col min="6" max="6" width="25.68359375" customWidth="1"/>
  </cols>
  <sheetData>
    <row r="1" spans="3:7" ht="20.399999999999999" x14ac:dyDescent="0.75">
      <c r="C1" s="10" t="s">
        <v>66</v>
      </c>
    </row>
    <row r="3" spans="3:7" x14ac:dyDescent="0.55000000000000004">
      <c r="D3" s="2" t="s">
        <v>1</v>
      </c>
      <c r="E3" s="2" t="s">
        <v>6</v>
      </c>
      <c r="F3" s="2" t="s">
        <v>7</v>
      </c>
      <c r="G3" s="2" t="s">
        <v>3</v>
      </c>
    </row>
    <row r="4" spans="3:7" x14ac:dyDescent="0.55000000000000004">
      <c r="C4" t="s">
        <v>0</v>
      </c>
      <c r="D4" t="s">
        <v>2</v>
      </c>
      <c r="E4">
        <f>0.023 * 1000 * 12</f>
        <v>276</v>
      </c>
      <c r="F4" t="s">
        <v>8</v>
      </c>
      <c r="G4" s="1" t="s">
        <v>4</v>
      </c>
    </row>
    <row r="5" spans="3:7" x14ac:dyDescent="0.55000000000000004">
      <c r="C5" t="s">
        <v>5</v>
      </c>
      <c r="D5" t="s">
        <v>33</v>
      </c>
      <c r="E5">
        <f xml:space="preserve"> (2/0.6) * 1000/3600 * 0.42</f>
        <v>0.3888888888888889</v>
      </c>
      <c r="F5">
        <v>0.38900000000000001</v>
      </c>
      <c r="G5" s="1" t="s">
        <v>34</v>
      </c>
    </row>
    <row r="6" spans="3:7" x14ac:dyDescent="0.55000000000000004">
      <c r="C6" t="s">
        <v>9</v>
      </c>
      <c r="D6" t="s">
        <v>47</v>
      </c>
      <c r="E6">
        <v>1700</v>
      </c>
      <c r="F6" t="s">
        <v>10</v>
      </c>
      <c r="G6" s="1" t="s">
        <v>42</v>
      </c>
    </row>
    <row r="7" spans="3:7" x14ac:dyDescent="0.55000000000000004">
      <c r="C7" t="s">
        <v>11</v>
      </c>
      <c r="D7" t="s">
        <v>16</v>
      </c>
      <c r="E7">
        <f xml:space="preserve"> 10 *52</f>
        <v>520</v>
      </c>
      <c r="F7" t="s">
        <v>12</v>
      </c>
    </row>
    <row r="8" spans="3:7" x14ac:dyDescent="0.55000000000000004">
      <c r="C8" t="s">
        <v>13</v>
      </c>
      <c r="D8" t="s">
        <v>14</v>
      </c>
      <c r="E8">
        <f>5 * 1000</f>
        <v>5000</v>
      </c>
      <c r="F8" t="s">
        <v>15</v>
      </c>
    </row>
    <row r="9" spans="3:7" x14ac:dyDescent="0.55000000000000004">
      <c r="C9" t="s">
        <v>19</v>
      </c>
      <c r="D9" s="3" t="s">
        <v>17</v>
      </c>
      <c r="E9">
        <f xml:space="preserve"> (81.25/40)*1000</f>
        <v>2031.25</v>
      </c>
      <c r="F9" t="s">
        <v>18</v>
      </c>
    </row>
    <row r="10" spans="3:7" x14ac:dyDescent="0.55000000000000004">
      <c r="C10" t="s">
        <v>20</v>
      </c>
      <c r="D10" t="s">
        <v>22</v>
      </c>
      <c r="E10">
        <f>(150/200)*1000</f>
        <v>750</v>
      </c>
      <c r="F10" t="s">
        <v>24</v>
      </c>
    </row>
    <row r="11" spans="3:7" x14ac:dyDescent="0.55000000000000004">
      <c r="C11" t="s">
        <v>21</v>
      </c>
      <c r="D11" t="s">
        <v>23</v>
      </c>
      <c r="E11">
        <v>2.8</v>
      </c>
      <c r="F11" t="s">
        <v>25</v>
      </c>
    </row>
  </sheetData>
  <hyperlinks>
    <hyperlink ref="G4" r:id="rId1" xr:uid="{00000000-0004-0000-0000-000000000000}"/>
    <hyperlink ref="G5" r:id="rId2" xr:uid="{00000000-0004-0000-0000-000001000000}"/>
    <hyperlink ref="G6" r:id="rId3" xr:uid="{00000000-0004-0000-0000-000002000000}"/>
  </hyperlinks>
  <pageMargins left="0.7" right="0.7" top="0.75" bottom="0.75" header="0.3" footer="0.3"/>
  <pageSetup paperSize="9" orientation="portrait" horizontalDpi="4294967293" verticalDpi="0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33"/>
  <sheetViews>
    <sheetView tabSelected="1" topLeftCell="N14" workbookViewId="0">
      <selection activeCell="R14" sqref="R14"/>
    </sheetView>
  </sheetViews>
  <sheetFormatPr defaultRowHeight="14.4" x14ac:dyDescent="0.55000000000000004"/>
  <cols>
    <col min="3" max="3" width="17.26171875" customWidth="1"/>
    <col min="4" max="4" width="15.83984375" customWidth="1"/>
    <col min="5" max="5" width="21.15625" customWidth="1"/>
    <col min="6" max="6" width="13.83984375" customWidth="1"/>
    <col min="11" max="11" width="19.83984375" customWidth="1"/>
    <col min="12" max="12" width="22.578125" customWidth="1"/>
    <col min="13" max="13" width="41" customWidth="1"/>
    <col min="14" max="14" width="22.68359375" customWidth="1"/>
    <col min="15" max="15" width="27.15625" customWidth="1"/>
    <col min="16" max="16" width="23.15625" customWidth="1"/>
    <col min="17" max="17" width="16.41796875" customWidth="1"/>
    <col min="18" max="18" width="32.3125" customWidth="1"/>
    <col min="19" max="19" width="10" bestFit="1" customWidth="1"/>
  </cols>
  <sheetData>
    <row r="1" spans="1:20" ht="20.399999999999999" x14ac:dyDescent="0.75">
      <c r="A1" s="10" t="s">
        <v>67</v>
      </c>
    </row>
    <row r="2" spans="1:20" x14ac:dyDescent="0.55000000000000004">
      <c r="K2" t="s">
        <v>45</v>
      </c>
      <c r="L2" t="s">
        <v>46</v>
      </c>
      <c r="M2" t="s">
        <v>40</v>
      </c>
      <c r="N2" t="s">
        <v>41</v>
      </c>
      <c r="O2" t="s">
        <v>43</v>
      </c>
      <c r="P2" t="s">
        <v>49</v>
      </c>
      <c r="Q2" t="s">
        <v>51</v>
      </c>
      <c r="R2" t="s">
        <v>59</v>
      </c>
      <c r="S2" t="s">
        <v>60</v>
      </c>
    </row>
    <row r="3" spans="1:20" x14ac:dyDescent="0.55000000000000004">
      <c r="K3">
        <f>M3*(L3 + Q3)/1000000000000</f>
        <v>2.5107170000000002E-6</v>
      </c>
      <c r="L3">
        <v>350</v>
      </c>
      <c r="M3">
        <v>5567</v>
      </c>
      <c r="N3">
        <f>M3*0.01</f>
        <v>55.67</v>
      </c>
      <c r="O3">
        <v>0.13189999999999999</v>
      </c>
      <c r="P3">
        <v>0.42899999999999999</v>
      </c>
      <c r="Q3">
        <v>101</v>
      </c>
      <c r="R3">
        <v>1000</v>
      </c>
      <c r="S3">
        <v>20</v>
      </c>
    </row>
    <row r="4" spans="1:20" ht="20.399999999999999" x14ac:dyDescent="0.75">
      <c r="C4" s="2" t="s">
        <v>69</v>
      </c>
      <c r="J4" s="10" t="s">
        <v>64</v>
      </c>
    </row>
    <row r="5" spans="1:20" ht="14.7" thickBot="1" x14ac:dyDescent="0.6">
      <c r="T5" t="s">
        <v>58</v>
      </c>
    </row>
    <row r="6" spans="1:20" ht="15" thickTop="1" thickBot="1" x14ac:dyDescent="0.6">
      <c r="C6" s="11" t="s">
        <v>68</v>
      </c>
      <c r="D6" s="12" t="s">
        <v>0</v>
      </c>
      <c r="E6" s="12" t="s">
        <v>5</v>
      </c>
      <c r="F6" s="12" t="s">
        <v>28</v>
      </c>
      <c r="G6" s="12" t="s">
        <v>29</v>
      </c>
      <c r="K6" s="4" t="s">
        <v>26</v>
      </c>
      <c r="L6" s="4" t="s">
        <v>35</v>
      </c>
      <c r="M6" s="4" t="s">
        <v>36</v>
      </c>
      <c r="N6" s="4" t="s">
        <v>48</v>
      </c>
      <c r="O6" s="4" t="s">
        <v>39</v>
      </c>
      <c r="P6" s="5" t="s">
        <v>38</v>
      </c>
      <c r="Q6" s="6" t="s">
        <v>50</v>
      </c>
      <c r="T6" t="s">
        <v>52</v>
      </c>
    </row>
    <row r="7" spans="1:20" ht="15" thickTop="1" thickBot="1" x14ac:dyDescent="0.6">
      <c r="C7" s="11" t="s">
        <v>30</v>
      </c>
      <c r="D7" s="7">
        <f>Sources!E4</f>
        <v>276</v>
      </c>
      <c r="E7" s="7"/>
      <c r="F7" s="7">
        <f>Sources!E6</f>
        <v>1700</v>
      </c>
      <c r="G7" s="7"/>
      <c r="K7" s="7" t="s">
        <v>30</v>
      </c>
      <c r="L7" s="7">
        <f>$K$3*D7</f>
        <v>6.9295789200000003E-4</v>
      </c>
      <c r="M7" s="7"/>
      <c r="N7" s="7">
        <f>$K$3*F7*O3</f>
        <v>5.6297807290999998E-4</v>
      </c>
      <c r="O7" s="7"/>
      <c r="P7" s="8">
        <f>$K$3*F7</f>
        <v>4.2682189000000006E-3</v>
      </c>
      <c r="Q7" s="7">
        <f>P7*P3</f>
        <v>1.8310659081000001E-3</v>
      </c>
      <c r="T7" t="s">
        <v>53</v>
      </c>
    </row>
    <row r="8" spans="1:20" ht="15" thickTop="1" thickBot="1" x14ac:dyDescent="0.6">
      <c r="C8" s="11" t="s">
        <v>27</v>
      </c>
      <c r="D8" s="7"/>
      <c r="E8" s="7">
        <f>Sources!E5</f>
        <v>0.3888888888888889</v>
      </c>
      <c r="F8" s="7">
        <f>Sources!E7</f>
        <v>520</v>
      </c>
      <c r="G8" s="7">
        <f>Sources!E9</f>
        <v>2031.25</v>
      </c>
      <c r="K8" s="7" t="s">
        <v>27</v>
      </c>
      <c r="L8" s="7"/>
      <c r="M8" s="7">
        <f>$K$3*E8*R3</f>
        <v>9.7638994444444456E-4</v>
      </c>
      <c r="N8" s="7">
        <f>$K$3*F8*O3*R3</f>
        <v>0.17220505759599999</v>
      </c>
      <c r="O8" s="7">
        <f>$K$3*G8*R3</f>
        <v>5.0998939062500011</v>
      </c>
      <c r="P8" s="8">
        <f>$K$3*F8*R3</f>
        <v>1.3055728400000002</v>
      </c>
      <c r="Q8" s="7">
        <f>P8*P3</f>
        <v>0.56009074836000006</v>
      </c>
      <c r="T8" t="s">
        <v>54</v>
      </c>
    </row>
    <row r="9" spans="1:20" ht="15" thickTop="1" thickBot="1" x14ac:dyDescent="0.6">
      <c r="C9" s="11" t="s">
        <v>31</v>
      </c>
      <c r="D9" s="7"/>
      <c r="E9" s="7"/>
      <c r="F9" s="7">
        <f>Sources!E8</f>
        <v>5000</v>
      </c>
      <c r="G9" s="7">
        <f>Sources!E10</f>
        <v>750</v>
      </c>
      <c r="K9" s="7" t="s">
        <v>31</v>
      </c>
      <c r="L9" s="7"/>
      <c r="M9" s="7"/>
      <c r="N9" s="7">
        <f>$K$3*F9*O3*R$3</f>
        <v>1.6558178615000001</v>
      </c>
      <c r="O9" s="7">
        <f>$K$3*G9*R3</f>
        <v>1.8830377500000002</v>
      </c>
      <c r="P9" s="8">
        <f>$K$3*F9*R3</f>
        <v>12.553585</v>
      </c>
      <c r="Q9" s="7">
        <f>P9*P3</f>
        <v>5.3854879650000003</v>
      </c>
      <c r="T9" t="s">
        <v>55</v>
      </c>
    </row>
    <row r="10" spans="1:20" ht="15" thickTop="1" thickBot="1" x14ac:dyDescent="0.6">
      <c r="C10" s="11" t="s">
        <v>32</v>
      </c>
      <c r="D10" s="7"/>
      <c r="E10" s="7"/>
      <c r="F10" s="7"/>
      <c r="G10" s="7">
        <f>Sources!E11</f>
        <v>2.8</v>
      </c>
      <c r="K10" s="7" t="s">
        <v>32</v>
      </c>
      <c r="L10" s="7"/>
      <c r="M10" s="7"/>
      <c r="N10" s="7"/>
      <c r="O10" s="7">
        <f>$R$3*G10*S3*0.358</f>
        <v>20048</v>
      </c>
      <c r="P10" s="7"/>
      <c r="Q10" s="7"/>
      <c r="T10" t="s">
        <v>56</v>
      </c>
    </row>
    <row r="11" spans="1:20" ht="15" thickTop="1" thickBot="1" x14ac:dyDescent="0.6">
      <c r="K11" s="7" t="s">
        <v>37</v>
      </c>
      <c r="L11" s="7">
        <f>SUM(L7:L10)</f>
        <v>6.9295789200000003E-4</v>
      </c>
      <c r="M11" s="7">
        <f t="shared" ref="M11:O11" si="0">SUM(M7:M10)</f>
        <v>9.7638994444444456E-4</v>
      </c>
      <c r="N11" s="7">
        <f t="shared" si="0"/>
        <v>1.8285858971689102</v>
      </c>
      <c r="O11" s="7">
        <f t="shared" si="0"/>
        <v>20054.98293165625</v>
      </c>
      <c r="P11" s="9">
        <f>SUM(P7:P9)</f>
        <v>13.8634260589</v>
      </c>
      <c r="Q11" s="9">
        <f>P11*P3</f>
        <v>5.9474097792681002</v>
      </c>
      <c r="T11" t="s">
        <v>57</v>
      </c>
    </row>
    <row r="12" spans="1:20" ht="14.7" thickTop="1" x14ac:dyDescent="0.55000000000000004"/>
    <row r="13" spans="1:20" ht="14.7" thickBot="1" x14ac:dyDescent="0.6">
      <c r="N13" t="s">
        <v>63</v>
      </c>
      <c r="O13" t="s">
        <v>62</v>
      </c>
    </row>
    <row r="14" spans="1:20" ht="15" thickTop="1" thickBot="1" x14ac:dyDescent="0.6">
      <c r="L14" s="4" t="s">
        <v>44</v>
      </c>
      <c r="M14" s="7">
        <f>SUM(L11:N11)</f>
        <v>1.8302552450053546</v>
      </c>
    </row>
    <row r="15" spans="1:20" ht="15" thickTop="1" thickBot="1" x14ac:dyDescent="0.6">
      <c r="L15" s="4" t="s">
        <v>39</v>
      </c>
      <c r="M15" s="7">
        <f>O11</f>
        <v>20054.98293165625</v>
      </c>
      <c r="N15">
        <f>M15/(86400/24)</f>
        <v>5.5708285921267358</v>
      </c>
      <c r="O15">
        <f>N15/365</f>
        <v>1.5262544088018455E-2</v>
      </c>
    </row>
    <row r="16" spans="1:20" ht="14.7" thickTop="1" x14ac:dyDescent="0.55000000000000004"/>
    <row r="17" spans="10:21" ht="20.399999999999999" x14ac:dyDescent="0.75">
      <c r="J17" s="10" t="s">
        <v>65</v>
      </c>
    </row>
    <row r="19" spans="10:21" x14ac:dyDescent="0.55000000000000004">
      <c r="K19" t="s">
        <v>45</v>
      </c>
      <c r="L19" t="s">
        <v>46</v>
      </c>
      <c r="M19" t="s">
        <v>40</v>
      </c>
      <c r="N19" t="s">
        <v>41</v>
      </c>
      <c r="O19" t="s">
        <v>43</v>
      </c>
      <c r="P19" t="s">
        <v>49</v>
      </c>
      <c r="Q19" t="s">
        <v>51</v>
      </c>
      <c r="R19" t="s">
        <v>59</v>
      </c>
      <c r="S19" t="s">
        <v>76</v>
      </c>
      <c r="T19" t="s">
        <v>75</v>
      </c>
      <c r="U19" t="s">
        <v>77</v>
      </c>
    </row>
    <row r="20" spans="10:21" x14ac:dyDescent="0.55000000000000004">
      <c r="K20">
        <f>(L20 + Q3)*S20*T20*U20/1000000000000</f>
        <v>1.384602131044</v>
      </c>
      <c r="L20">
        <v>350</v>
      </c>
      <c r="M20">
        <f>S20*T20</f>
        <v>307007124.39999998</v>
      </c>
      <c r="N20">
        <f>M20*0.01</f>
        <v>3070071.2439999999</v>
      </c>
      <c r="O20">
        <v>0.13189999999999999</v>
      </c>
      <c r="P20">
        <v>0.42899999999999999</v>
      </c>
      <c r="Q20">
        <v>101</v>
      </c>
      <c r="R20">
        <v>1000</v>
      </c>
      <c r="S20">
        <v>857561800</v>
      </c>
      <c r="T20">
        <v>0.35799999999999998</v>
      </c>
      <c r="U20">
        <v>10</v>
      </c>
    </row>
    <row r="22" spans="10:21" ht="14.7" thickBot="1" x14ac:dyDescent="0.6"/>
    <row r="23" spans="10:21" ht="15" thickTop="1" thickBot="1" x14ac:dyDescent="0.6">
      <c r="K23" s="4" t="s">
        <v>26</v>
      </c>
      <c r="L23" s="4" t="s">
        <v>35</v>
      </c>
      <c r="M23" s="4" t="s">
        <v>36</v>
      </c>
      <c r="N23" s="4" t="s">
        <v>48</v>
      </c>
      <c r="O23" s="4" t="s">
        <v>39</v>
      </c>
      <c r="P23" s="5" t="s">
        <v>38</v>
      </c>
      <c r="Q23" s="6" t="s">
        <v>50</v>
      </c>
    </row>
    <row r="24" spans="10:21" ht="15" thickTop="1" thickBot="1" x14ac:dyDescent="0.6">
      <c r="K24" s="7" t="s">
        <v>30</v>
      </c>
      <c r="L24" s="7">
        <f>$K$20*D7</f>
        <v>382.15018816814398</v>
      </c>
      <c r="M24" s="7"/>
      <c r="N24" s="7">
        <f>$K$20*F7*O20</f>
        <v>310.46933584399608</v>
      </c>
      <c r="O24" s="7"/>
      <c r="P24" s="7">
        <f>$K$20*F7</f>
        <v>2353.8236227747998</v>
      </c>
      <c r="Q24" s="7">
        <f>P24*P20</f>
        <v>1009.7903341703891</v>
      </c>
    </row>
    <row r="25" spans="10:21" ht="15" thickTop="1" thickBot="1" x14ac:dyDescent="0.6">
      <c r="K25" s="7" t="s">
        <v>27</v>
      </c>
      <c r="L25" s="7"/>
      <c r="M25" s="7">
        <f>$K$20*E8*R20</f>
        <v>538.45638429488884</v>
      </c>
      <c r="N25" s="7">
        <f>$K$20*F8*O20*R20</f>
        <v>94967.09096404587</v>
      </c>
      <c r="O25" s="7">
        <f>$K$20*G8</f>
        <v>2812.4730786831251</v>
      </c>
      <c r="P25" s="7">
        <f>$K$20*F8 * R20</f>
        <v>719993.10814288002</v>
      </c>
      <c r="Q25" s="7">
        <f>P25*P20</f>
        <v>308877.04339329555</v>
      </c>
    </row>
    <row r="26" spans="10:21" ht="15" thickTop="1" thickBot="1" x14ac:dyDescent="0.6">
      <c r="K26" s="7" t="s">
        <v>31</v>
      </c>
      <c r="L26" s="7"/>
      <c r="M26" s="7"/>
      <c r="N26" s="7">
        <f>$K$20*F9*O20*R20</f>
        <v>913145.10542351787</v>
      </c>
      <c r="O26" s="7">
        <f>$K$20*G9*R20</f>
        <v>1038451.5982830001</v>
      </c>
      <c r="P26" s="7">
        <f>$K$20*F9*R20</f>
        <v>6923010.6552199991</v>
      </c>
      <c r="Q26" s="7">
        <f>P26*P20</f>
        <v>2969971.5710893795</v>
      </c>
    </row>
    <row r="27" spans="10:21" ht="15" thickTop="1" thickBot="1" x14ac:dyDescent="0.6">
      <c r="K27" s="7" t="s">
        <v>32</v>
      </c>
      <c r="L27" s="7"/>
      <c r="M27" s="7"/>
      <c r="N27" s="7"/>
      <c r="O27" s="7">
        <f>G10*R20*S20*0.358</f>
        <v>859619948320</v>
      </c>
      <c r="P27" s="7"/>
      <c r="Q27" s="7"/>
    </row>
    <row r="28" spans="10:21" ht="15" thickTop="1" thickBot="1" x14ac:dyDescent="0.6">
      <c r="K28" s="7" t="s">
        <v>37</v>
      </c>
      <c r="L28" s="7">
        <f>SUM(L24:L27)</f>
        <v>382.15018816814398</v>
      </c>
      <c r="M28" s="7">
        <f t="shared" ref="M28:N28" si="1">SUM(M24:M27)</f>
        <v>538.45638429488884</v>
      </c>
      <c r="N28" s="7">
        <f t="shared" si="1"/>
        <v>1008422.6657234078</v>
      </c>
      <c r="O28" s="7">
        <f>SUM(O24:O27)</f>
        <v>859620989584.07141</v>
      </c>
      <c r="P28" s="9">
        <f>SUM(P24:P27)</f>
        <v>7645357.5869856542</v>
      </c>
      <c r="Q28" s="9">
        <f>SUM(Q24:Q27)</f>
        <v>3279858.4048168454</v>
      </c>
    </row>
    <row r="29" spans="10:21" ht="14.7" thickTop="1" x14ac:dyDescent="0.55000000000000004"/>
    <row r="30" spans="10:21" ht="14.7" thickBot="1" x14ac:dyDescent="0.6">
      <c r="N30" t="s">
        <v>61</v>
      </c>
      <c r="O30" t="s">
        <v>62</v>
      </c>
    </row>
    <row r="31" spans="10:21" ht="15" thickTop="1" thickBot="1" x14ac:dyDescent="0.6">
      <c r="L31" s="7" t="s">
        <v>44</v>
      </c>
      <c r="M31" s="7">
        <f>SUM(L28:N28)</f>
        <v>1009343.2722958708</v>
      </c>
    </row>
    <row r="32" spans="10:21" ht="15" thickTop="1" thickBot="1" x14ac:dyDescent="0.6">
      <c r="L32" s="7" t="s">
        <v>39</v>
      </c>
      <c r="M32" s="7">
        <f>O28</f>
        <v>859620989584.07141</v>
      </c>
      <c r="N32">
        <f>M32/(86400)</f>
        <v>9949317.0090749003</v>
      </c>
      <c r="O32">
        <f>N32/365</f>
        <v>27258.402764588769</v>
      </c>
    </row>
    <row r="33" ht="14.7" thickTop="1" x14ac:dyDescent="0.55000000000000004"/>
  </sheetData>
  <pageMargins left="0.7" right="0.7" top="0.75" bottom="0.75" header="0.3" footer="0.3"/>
  <pageSetup paperSize="9" orientation="portrait" horizontalDpi="4294967293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ABAB3-E2FC-4203-A998-475FEA922962}">
  <dimension ref="C2:V33"/>
  <sheetViews>
    <sheetView topLeftCell="N1" workbookViewId="0">
      <selection activeCell="Q32" sqref="Q32"/>
    </sheetView>
  </sheetViews>
  <sheetFormatPr defaultRowHeight="14.4" x14ac:dyDescent="0.55000000000000004"/>
  <cols>
    <col min="3" max="3" width="17.26171875" customWidth="1"/>
    <col min="4" max="4" width="15.83984375" customWidth="1"/>
    <col min="5" max="5" width="21.15625" customWidth="1"/>
    <col min="6" max="6" width="13.83984375" customWidth="1"/>
    <col min="11" max="11" width="23.578125" customWidth="1"/>
    <col min="12" max="12" width="22.578125" customWidth="1"/>
    <col min="13" max="13" width="41" customWidth="1"/>
    <col min="14" max="14" width="22.68359375" customWidth="1"/>
    <col min="15" max="15" width="27.15625" customWidth="1"/>
    <col min="16" max="16" width="23.15625" customWidth="1"/>
    <col min="17" max="17" width="29.15625" customWidth="1"/>
    <col min="18" max="18" width="28.41796875" customWidth="1"/>
    <col min="19" max="19" width="17.5234375" customWidth="1"/>
    <col min="22" max="22" width="18.3125" customWidth="1"/>
  </cols>
  <sheetData>
    <row r="2" spans="3:20" x14ac:dyDescent="0.55000000000000004">
      <c r="K2" t="s">
        <v>45</v>
      </c>
      <c r="L2" t="s">
        <v>46</v>
      </c>
      <c r="M2" t="s">
        <v>40</v>
      </c>
      <c r="N2" t="s">
        <v>41</v>
      </c>
      <c r="O2" t="s">
        <v>43</v>
      </c>
      <c r="P2" t="s">
        <v>49</v>
      </c>
      <c r="Q2" t="s">
        <v>51</v>
      </c>
      <c r="R2" t="s">
        <v>59</v>
      </c>
      <c r="S2" t="s">
        <v>73</v>
      </c>
    </row>
    <row r="3" spans="3:20" x14ac:dyDescent="0.55000000000000004">
      <c r="K3">
        <f>M3*(L3 + Q3)/1000000000000</f>
        <v>1.506972E-6</v>
      </c>
      <c r="L3">
        <v>4000</v>
      </c>
      <c r="M3">
        <v>372</v>
      </c>
      <c r="N3">
        <f>M3*0.01</f>
        <v>3.72</v>
      </c>
      <c r="O3">
        <v>0.13189999999999999</v>
      </c>
      <c r="P3">
        <v>0.42899999999999999</v>
      </c>
      <c r="Q3" s="13">
        <v>51</v>
      </c>
      <c r="R3">
        <v>1000</v>
      </c>
      <c r="S3" s="13">
        <v>94</v>
      </c>
    </row>
    <row r="4" spans="3:20" ht="20.399999999999999" x14ac:dyDescent="0.75">
      <c r="C4" s="2" t="s">
        <v>69</v>
      </c>
      <c r="I4" s="10" t="s">
        <v>70</v>
      </c>
      <c r="L4">
        <v>30830</v>
      </c>
    </row>
    <row r="5" spans="3:20" ht="14.7" thickBot="1" x14ac:dyDescent="0.6">
      <c r="T5" s="2" t="s">
        <v>58</v>
      </c>
    </row>
    <row r="6" spans="3:20" ht="15" thickTop="1" thickBot="1" x14ac:dyDescent="0.6">
      <c r="C6" s="11" t="s">
        <v>26</v>
      </c>
      <c r="D6" s="12" t="s">
        <v>0</v>
      </c>
      <c r="E6" s="12" t="s">
        <v>5</v>
      </c>
      <c r="F6" s="12" t="s">
        <v>28</v>
      </c>
      <c r="G6" s="12" t="s">
        <v>29</v>
      </c>
      <c r="K6" s="4" t="s">
        <v>26</v>
      </c>
      <c r="L6" s="4" t="s">
        <v>35</v>
      </c>
      <c r="M6" s="4" t="s">
        <v>36</v>
      </c>
      <c r="N6" s="4" t="s">
        <v>48</v>
      </c>
      <c r="O6" s="4" t="s">
        <v>39</v>
      </c>
      <c r="P6" s="5" t="s">
        <v>38</v>
      </c>
      <c r="Q6" s="6" t="s">
        <v>50</v>
      </c>
      <c r="R6" s="2"/>
      <c r="T6" t="s">
        <v>52</v>
      </c>
    </row>
    <row r="7" spans="3:20" ht="15" thickTop="1" thickBot="1" x14ac:dyDescent="0.6">
      <c r="C7" s="11" t="s">
        <v>30</v>
      </c>
      <c r="D7" s="7">
        <f>Sources!E4</f>
        <v>276</v>
      </c>
      <c r="E7" s="7"/>
      <c r="F7" s="7">
        <f>Sources!E6</f>
        <v>1700</v>
      </c>
      <c r="G7" s="7"/>
      <c r="K7" s="4" t="s">
        <v>30</v>
      </c>
      <c r="L7" s="7">
        <f>$K$3*D7</f>
        <v>4.1592427200000002E-4</v>
      </c>
      <c r="M7" s="7"/>
      <c r="N7" s="7">
        <f>$K$3*F7*O3</f>
        <v>3.3790833155999999E-4</v>
      </c>
      <c r="O7" s="7"/>
      <c r="P7" s="8">
        <f>$K$3*F7</f>
        <v>2.5618524E-3</v>
      </c>
      <c r="Q7" s="7">
        <f>P7*P3</f>
        <v>1.0990346796E-3</v>
      </c>
      <c r="T7" t="s">
        <v>53</v>
      </c>
    </row>
    <row r="8" spans="3:20" ht="15" thickTop="1" thickBot="1" x14ac:dyDescent="0.6">
      <c r="C8" s="11" t="s">
        <v>27</v>
      </c>
      <c r="D8" s="7"/>
      <c r="E8" s="7">
        <f>Sources!E5</f>
        <v>0.3888888888888889</v>
      </c>
      <c r="F8" s="7">
        <f>Sources!E7</f>
        <v>520</v>
      </c>
      <c r="G8" s="7">
        <f>Sources!E9</f>
        <v>2031.25</v>
      </c>
      <c r="K8" s="4" t="s">
        <v>27</v>
      </c>
      <c r="L8" s="7"/>
      <c r="M8" s="7">
        <f>$K$3*E8*R3</f>
        <v>5.8604466666666672E-4</v>
      </c>
      <c r="N8" s="7">
        <f>$K$3*F8*O3*R3</f>
        <v>0.10336019553599998</v>
      </c>
      <c r="O8" s="7">
        <f>$K$3*G8*R3</f>
        <v>3.0610368750000001</v>
      </c>
      <c r="P8" s="8">
        <f>$K$3*F8*R3</f>
        <v>0.78362544000000001</v>
      </c>
      <c r="Q8" s="7">
        <f>P8*P3</f>
        <v>0.33617531375999998</v>
      </c>
      <c r="T8" t="s">
        <v>54</v>
      </c>
    </row>
    <row r="9" spans="3:20" ht="15" thickTop="1" thickBot="1" x14ac:dyDescent="0.6">
      <c r="C9" s="11" t="s">
        <v>31</v>
      </c>
      <c r="D9" s="7"/>
      <c r="E9" s="7"/>
      <c r="F9" s="7">
        <f>Sources!E8</f>
        <v>5000</v>
      </c>
      <c r="G9" s="7">
        <f>Sources!E10</f>
        <v>750</v>
      </c>
      <c r="K9" s="4" t="s">
        <v>31</v>
      </c>
      <c r="L9" s="7"/>
      <c r="M9" s="7"/>
      <c r="N9" s="7">
        <f>$K$3*F9*O3*R$3</f>
        <v>0.99384803399999999</v>
      </c>
      <c r="O9" s="7">
        <f>$K$3*G9*R3</f>
        <v>1.1302289999999999</v>
      </c>
      <c r="P9" s="8">
        <f>$K$3*F9*R3</f>
        <v>7.5348600000000001</v>
      </c>
      <c r="Q9" s="7">
        <f>P9*P3</f>
        <v>3.2324549399999998</v>
      </c>
      <c r="T9" t="s">
        <v>55</v>
      </c>
    </row>
    <row r="10" spans="3:20" ht="15" thickTop="1" thickBot="1" x14ac:dyDescent="0.6">
      <c r="C10" s="11" t="s">
        <v>32</v>
      </c>
      <c r="D10" s="7"/>
      <c r="E10" s="7"/>
      <c r="F10" s="7"/>
      <c r="G10" s="7">
        <f>Sources!E11</f>
        <v>2.8</v>
      </c>
      <c r="K10" s="4" t="s">
        <v>32</v>
      </c>
      <c r="L10" s="7"/>
      <c r="M10" s="7"/>
      <c r="N10" s="7"/>
      <c r="O10" s="7">
        <f>$R$3*G10*S3*T20</f>
        <v>4737.5999999999995</v>
      </c>
      <c r="P10" s="7"/>
      <c r="Q10" s="7"/>
      <c r="T10" t="s">
        <v>72</v>
      </c>
    </row>
    <row r="11" spans="3:20" ht="15" thickTop="1" thickBot="1" x14ac:dyDescent="0.6">
      <c r="K11" s="4" t="s">
        <v>37</v>
      </c>
      <c r="L11" s="7">
        <f>SUM(L7:L10)</f>
        <v>4.1592427200000002E-4</v>
      </c>
      <c r="M11" s="7">
        <f t="shared" ref="M11:O11" si="0">SUM(M7:M10)</f>
        <v>5.8604466666666672E-4</v>
      </c>
      <c r="N11" s="4">
        <f t="shared" si="0"/>
        <v>1.0975461378675599</v>
      </c>
      <c r="O11" s="4">
        <f t="shared" si="0"/>
        <v>4741.7912658749992</v>
      </c>
      <c r="P11" s="14">
        <f>SUM(P7:P9)</f>
        <v>8.3210472923999994</v>
      </c>
      <c r="Q11" s="14">
        <f>P11*P3</f>
        <v>3.5697292884395995</v>
      </c>
    </row>
    <row r="12" spans="3:20" ht="14.7" thickTop="1" x14ac:dyDescent="0.55000000000000004"/>
    <row r="13" spans="3:20" ht="14.7" thickBot="1" x14ac:dyDescent="0.6">
      <c r="N13" t="s">
        <v>63</v>
      </c>
      <c r="O13" t="s">
        <v>62</v>
      </c>
    </row>
    <row r="14" spans="3:20" ht="15" thickTop="1" thickBot="1" x14ac:dyDescent="0.6">
      <c r="L14" s="7" t="s">
        <v>44</v>
      </c>
      <c r="M14" s="7">
        <f>SUM(L11:N11)</f>
        <v>1.0985481068062266</v>
      </c>
    </row>
    <row r="15" spans="3:20" ht="15" thickTop="1" thickBot="1" x14ac:dyDescent="0.6">
      <c r="L15" s="7" t="s">
        <v>39</v>
      </c>
      <c r="M15" s="7">
        <f>O11</f>
        <v>4741.7912658749992</v>
      </c>
      <c r="N15">
        <f>M15/(86400/24)</f>
        <v>1.317164240520833</v>
      </c>
      <c r="O15">
        <f>N15/365</f>
        <v>3.6086691521118714E-3</v>
      </c>
    </row>
    <row r="16" spans="3:20" ht="14.7" thickTop="1" x14ac:dyDescent="0.55000000000000004"/>
    <row r="19" spans="9:22" x14ac:dyDescent="0.55000000000000004">
      <c r="K19" t="s">
        <v>45</v>
      </c>
      <c r="L19" t="s">
        <v>46</v>
      </c>
      <c r="M19" t="s">
        <v>40</v>
      </c>
      <c r="N19" t="s">
        <v>41</v>
      </c>
      <c r="O19" t="s">
        <v>43</v>
      </c>
      <c r="P19" t="s">
        <v>49</v>
      </c>
      <c r="Q19" t="s">
        <v>51</v>
      </c>
      <c r="R19" t="s">
        <v>79</v>
      </c>
      <c r="S19" t="s">
        <v>80</v>
      </c>
      <c r="T19" t="s">
        <v>75</v>
      </c>
      <c r="U19" t="s">
        <v>78</v>
      </c>
      <c r="V19" t="s">
        <v>74</v>
      </c>
    </row>
    <row r="20" spans="9:22" x14ac:dyDescent="0.55000000000000004">
      <c r="K20">
        <f>(L20+Q3)*S20*T20*U20/1000000000000</f>
        <v>7.2917999999999997E-2</v>
      </c>
      <c r="L20">
        <v>4000</v>
      </c>
      <c r="M20">
        <f>S20*T20</f>
        <v>180000</v>
      </c>
      <c r="N20">
        <f>M20*0.01</f>
        <v>1800</v>
      </c>
      <c r="O20">
        <v>0.13189999999999999</v>
      </c>
      <c r="P20">
        <v>0.44829999999999998</v>
      </c>
      <c r="Q20">
        <v>101</v>
      </c>
      <c r="R20">
        <v>1000</v>
      </c>
      <c r="S20">
        <v>10000000</v>
      </c>
      <c r="T20">
        <v>1.7999999999999999E-2</v>
      </c>
      <c r="U20">
        <v>100</v>
      </c>
      <c r="V20">
        <f>S20*U20</f>
        <v>1000000000</v>
      </c>
    </row>
    <row r="21" spans="9:22" ht="20.399999999999999" x14ac:dyDescent="0.75">
      <c r="I21" s="10" t="s">
        <v>71</v>
      </c>
    </row>
    <row r="22" spans="9:22" ht="14.7" thickBot="1" x14ac:dyDescent="0.6"/>
    <row r="23" spans="9:22" ht="15" thickTop="1" thickBot="1" x14ac:dyDescent="0.6">
      <c r="K23" s="4" t="s">
        <v>26</v>
      </c>
      <c r="L23" s="4" t="s">
        <v>35</v>
      </c>
      <c r="M23" s="4" t="s">
        <v>36</v>
      </c>
      <c r="N23" s="4" t="s">
        <v>48</v>
      </c>
      <c r="O23" s="4" t="s">
        <v>39</v>
      </c>
      <c r="P23" s="5" t="s">
        <v>38</v>
      </c>
      <c r="Q23" s="6" t="s">
        <v>50</v>
      </c>
    </row>
    <row r="24" spans="9:22" ht="15" thickTop="1" thickBot="1" x14ac:dyDescent="0.6">
      <c r="K24" s="4" t="s">
        <v>30</v>
      </c>
      <c r="L24" s="7">
        <f>$K$20*D7</f>
        <v>20.125367999999998</v>
      </c>
      <c r="M24" s="7"/>
      <c r="N24" s="7">
        <f>$K$20*F7*O20</f>
        <v>16.350403139999997</v>
      </c>
      <c r="O24" s="7"/>
      <c r="P24" s="7">
        <f>$K$20*F7</f>
        <v>123.9606</v>
      </c>
      <c r="Q24" s="7">
        <f>P24*P20</f>
        <v>55.571536979999998</v>
      </c>
    </row>
    <row r="25" spans="9:22" ht="15" thickTop="1" thickBot="1" x14ac:dyDescent="0.6">
      <c r="K25" s="4" t="s">
        <v>27</v>
      </c>
      <c r="L25" s="7"/>
      <c r="M25" s="7">
        <f>$K$20*E8*R20</f>
        <v>28.356999999999999</v>
      </c>
      <c r="N25" s="7">
        <f>$K$20*F8*O20*R20</f>
        <v>5001.2997839999989</v>
      </c>
      <c r="O25" s="7">
        <f>$K$20*G8</f>
        <v>148.1146875</v>
      </c>
      <c r="P25" s="7">
        <f>$K$20*F8 * R20</f>
        <v>37917.359999999993</v>
      </c>
      <c r="Q25" s="7">
        <f>P25*P20</f>
        <v>16998.352487999997</v>
      </c>
    </row>
    <row r="26" spans="9:22" ht="15" thickTop="1" thickBot="1" x14ac:dyDescent="0.6">
      <c r="K26" s="4" t="s">
        <v>31</v>
      </c>
      <c r="L26" s="7"/>
      <c r="M26" s="7"/>
      <c r="N26" s="7">
        <f>$K$20*F9*O20*R20</f>
        <v>48089.420999999995</v>
      </c>
      <c r="O26" s="7">
        <f>$K$20*G9*R20</f>
        <v>54688.5</v>
      </c>
      <c r="P26" s="7">
        <f>$K$20*F9*R20</f>
        <v>364590</v>
      </c>
      <c r="Q26" s="7">
        <f>P26*P20</f>
        <v>163445.69699999999</v>
      </c>
    </row>
    <row r="27" spans="9:22" ht="15" thickTop="1" thickBot="1" x14ac:dyDescent="0.6">
      <c r="K27" s="4" t="s">
        <v>32</v>
      </c>
      <c r="L27" s="7"/>
      <c r="M27" s="7"/>
      <c r="N27" s="7"/>
      <c r="O27" s="7">
        <f>G10*R20*S20*T20</f>
        <v>503999999.99999994</v>
      </c>
      <c r="P27" s="7"/>
      <c r="Q27" s="7"/>
    </row>
    <row r="28" spans="9:22" ht="15" thickTop="1" thickBot="1" x14ac:dyDescent="0.6">
      <c r="K28" s="4" t="s">
        <v>37</v>
      </c>
      <c r="L28" s="7">
        <f>SUM(L24:L27)</f>
        <v>20.125367999999998</v>
      </c>
      <c r="M28" s="7">
        <f t="shared" ref="M28:N28" si="1">SUM(M24:M27)</f>
        <v>28.356999999999999</v>
      </c>
      <c r="N28" s="7">
        <f t="shared" si="1"/>
        <v>53107.071187139991</v>
      </c>
      <c r="O28" s="7">
        <f>SUM(O24:O27)</f>
        <v>504054836.61468744</v>
      </c>
      <c r="P28" s="9">
        <f>SUM(P24:P27)</f>
        <v>402631.32059999998</v>
      </c>
      <c r="Q28" s="9">
        <f>SUM(Q24:Q27)</f>
        <v>180499.62102497998</v>
      </c>
    </row>
    <row r="29" spans="9:22" ht="14.7" thickTop="1" x14ac:dyDescent="0.55000000000000004"/>
    <row r="30" spans="9:22" ht="14.7" thickBot="1" x14ac:dyDescent="0.6">
      <c r="N30" t="s">
        <v>61</v>
      </c>
      <c r="O30" t="s">
        <v>62</v>
      </c>
    </row>
    <row r="31" spans="9:22" ht="15" thickTop="1" thickBot="1" x14ac:dyDescent="0.6">
      <c r="L31" s="7" t="s">
        <v>44</v>
      </c>
      <c r="M31" s="7">
        <f>SUM(L28:N28)</f>
        <v>53155.553555139988</v>
      </c>
    </row>
    <row r="32" spans="9:22" ht="15" thickTop="1" thickBot="1" x14ac:dyDescent="0.6">
      <c r="L32" s="7" t="s">
        <v>39</v>
      </c>
      <c r="M32" s="7">
        <f>O28</f>
        <v>504054836.61468744</v>
      </c>
      <c r="N32">
        <f>M32/(86400)</f>
        <v>5833.9680163736975</v>
      </c>
      <c r="O32">
        <f>N32/365</f>
        <v>15.983474017462186</v>
      </c>
    </row>
    <row r="33" ht="14.7" thickTop="1" x14ac:dyDescent="0.55000000000000004"/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Sources</vt:lpstr>
      <vt:lpstr>App-Review</vt:lpstr>
      <vt:lpstr>Restaurant-Review</vt:lpstr>
    </vt:vector>
  </TitlesOfParts>
  <Company>Otago Business School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 Bastin Roy Savarimuthu</dc:creator>
  <cp:lastModifiedBy>Tony Savarimuthu</cp:lastModifiedBy>
  <dcterms:created xsi:type="dcterms:W3CDTF">2020-02-15T23:09:03Z</dcterms:created>
  <dcterms:modified xsi:type="dcterms:W3CDTF">2022-04-21T20:23:03Z</dcterms:modified>
</cp:coreProperties>
</file>