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7680" yWindow="0" windowWidth="24240" windowHeight="1374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K31" i="1"/>
  <c r="J31" i="1"/>
  <c r="I31" i="1"/>
  <c r="M31" i="1"/>
  <c r="K32" i="1"/>
  <c r="J32" i="1"/>
  <c r="M32" i="1"/>
  <c r="K33" i="1"/>
  <c r="J33" i="1"/>
  <c r="M33" i="1"/>
  <c r="K34" i="1"/>
  <c r="J34" i="1"/>
  <c r="M34" i="1"/>
  <c r="K35" i="1"/>
  <c r="J35" i="1"/>
  <c r="M35" i="1"/>
  <c r="K36" i="1"/>
  <c r="J36" i="1"/>
  <c r="M36" i="1"/>
  <c r="K37" i="1"/>
  <c r="J37" i="1"/>
  <c r="M37" i="1"/>
  <c r="K38" i="1"/>
  <c r="J38" i="1"/>
  <c r="M38" i="1"/>
  <c r="K39" i="1"/>
  <c r="J39" i="1"/>
  <c r="M39" i="1"/>
  <c r="K40" i="1"/>
  <c r="J40" i="1"/>
  <c r="M40" i="1"/>
  <c r="K41" i="1"/>
  <c r="J41" i="1"/>
  <c r="M41" i="1"/>
  <c r="K42" i="1"/>
  <c r="J42" i="1"/>
  <c r="M42" i="1"/>
  <c r="K43" i="1"/>
  <c r="J43" i="1"/>
  <c r="M43" i="1"/>
  <c r="K44" i="1"/>
  <c r="J44" i="1"/>
  <c r="M44" i="1"/>
  <c r="K45" i="1"/>
  <c r="J45" i="1"/>
  <c r="M45" i="1"/>
  <c r="K30" i="1"/>
  <c r="J30" i="1"/>
  <c r="M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0" i="1"/>
  <c r="F50" i="1"/>
  <c r="H30" i="1"/>
  <c r="I30" i="1"/>
  <c r="I49" i="1"/>
  <c r="E31" i="1"/>
  <c r="L49" i="1"/>
  <c r="E32" i="1"/>
  <c r="L50" i="1"/>
  <c r="E33" i="1"/>
  <c r="L51" i="1"/>
  <c r="E34" i="1"/>
  <c r="L52" i="1"/>
  <c r="E35" i="1"/>
  <c r="L53" i="1"/>
  <c r="E36" i="1"/>
  <c r="L54" i="1"/>
  <c r="E37" i="1"/>
  <c r="L55" i="1"/>
  <c r="E38" i="1"/>
  <c r="L56" i="1"/>
  <c r="E39" i="1"/>
  <c r="L57" i="1"/>
  <c r="E40" i="1"/>
  <c r="L58" i="1"/>
  <c r="E41" i="1"/>
  <c r="L59" i="1"/>
  <c r="E42" i="1"/>
  <c r="L60" i="1"/>
  <c r="E43" i="1"/>
  <c r="L61" i="1"/>
  <c r="E44" i="1"/>
  <c r="L62" i="1"/>
  <c r="E45" i="1"/>
  <c r="L63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D7" i="25"/>
  <c r="D7" i="35"/>
  <c r="C7" i="35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A7" i="36"/>
  <c r="C7" i="37"/>
  <c r="A7" i="37"/>
  <c r="C7" i="38"/>
  <c r="A7" i="38"/>
  <c r="C7" i="14"/>
  <c r="A7" i="14"/>
  <c r="C7" i="26"/>
  <c r="A7" i="26"/>
  <c r="C7" i="39"/>
  <c r="A7" i="39"/>
  <c r="C7" i="28"/>
  <c r="A7" i="28"/>
  <c r="D7" i="14"/>
  <c r="B7" i="14"/>
  <c r="D7" i="26"/>
  <c r="B7" i="26"/>
  <c r="D7" i="27"/>
  <c r="C7" i="27"/>
  <c r="B7" i="27"/>
  <c r="D7" i="39"/>
  <c r="B7" i="39"/>
  <c r="D7" i="28"/>
  <c r="B7" i="28"/>
  <c r="D7" i="29"/>
  <c r="B7" i="29"/>
  <c r="D7" i="30"/>
  <c r="B7" i="30"/>
  <c r="D7" i="31"/>
  <c r="B7" i="31"/>
  <c r="D7" i="32"/>
  <c r="B7" i="32"/>
  <c r="D7" i="33"/>
  <c r="B7" i="33"/>
  <c r="D7" i="34"/>
  <c r="B7" i="34"/>
  <c r="B7" i="35"/>
  <c r="D7" i="36"/>
  <c r="B7" i="36"/>
  <c r="D7" i="37"/>
  <c r="B7" i="37"/>
  <c r="B7" i="38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<sst xmlns="http://schemas.openxmlformats.org/spreadsheetml/2006/main" count="456" uniqueCount="110">
  <si>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</si>
  <si>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</si>
  <si>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</si>
  <si>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</si>
  <si>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</si>
  <si>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</si>
  <si>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</si>
  <si>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</si>
  <si>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</si>
  <si>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</si>
  <si>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</si>
  <si>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</si>
  <si>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</si>
  <si>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</si>
  <si>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</si>
  <si>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</si>
  <si>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</si>
  <si>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</si>
  <si>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</si>
  <si>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</si>
  <si>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</si>
  <si>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</si>
  <si>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</si>
  <si>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</si>
  <si>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</si>
  <si>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</si>
  <si>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</si>
  <si>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</si>
  <si>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</si>
  <si>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</si>
  <si>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</si>
  <si>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</si>
  <si>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</si>
  <si>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</si>
  <si>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</si>
  <si>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</si>
  <si>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</si>
  <si>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</si>
  <si>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</si>
  <si>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</si>
  <si>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</si>
  <si>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</si>
  <si>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</si>
  <si>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</si>
  <si>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</si>
  <si>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</si>
  <si>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</si>
  <si>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</si>
  <si>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</si>
  <si>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</si>
  <si>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</si>
  <si>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</si>
  <si>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</si>
  <si>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</si>
  <si>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</si>
  <si>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</si>
  <si>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</si>
  <si>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</si>
  <si>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</si>
  <si>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</si>
  <si>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</si>
  <si>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</si>
  <si>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</si>
  <si>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</si>
  <si>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</si>
  <si>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</si>
  <si>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</si>
  <si>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</si>
  <si>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</si>
  <si>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</si>
  <si>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</si>
  <si>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</si>
  <si>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</si>
  <si>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</si>
  <si>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</si>
  <si>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</si>
  <si>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</si>
  <si>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</si>
  <si>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</si>
  <si>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</si>
  <si>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</si>
  <si>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</si>
  <si>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</si>
  <si>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</si>
  <si>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</si>
  <si>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</si>
  <si>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</si>
  <si>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</si>
  <si>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</si>
  <si>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</si>
  <si>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</si>
  <si>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</si>
  <si>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</si>
  <si>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</si>
  <si>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</si>
  <si>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</si>
  <si>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 xml:space="preserve">Francesco, Adithya </t>
  </si>
  <si>
    <t>474 Timing Filter Amp - ORTEC</t>
  </si>
  <si>
    <t>GE11-X-L-CERN-0001</t>
  </si>
  <si>
    <t>Ar/CO2</t>
  </si>
  <si>
    <t>70/30</t>
  </si>
  <si>
    <t>QUAD 935</t>
  </si>
  <si>
    <t>(4,2)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</si>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</sst>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567.07738676730867</c:v>
                  </c:pt>
                  <c:pt idx="1">
                    <c:v>359.24724218053456</c:v>
                  </c:pt>
                  <c:pt idx="2">
                    <c:v>239.03343972510856</c:v>
                  </c:pt>
                  <c:pt idx="3">
                    <c:v>166.84449768027295</c:v>
                  </c:pt>
                  <c:pt idx="4">
                    <c:v>111.22991543907698</c:v>
                  </c:pt>
                  <c:pt idx="5">
                    <c:v>76.460536548279975</c:v>
                  </c:pt>
                  <c:pt idx="6">
                    <c:v>51.759575982347421</c:v>
                  </c:pt>
                  <c:pt idx="7">
                    <c:v>39.30042212374552</c:v>
                  </c:pt>
                  <c:pt idx="8">
                    <c:v>30.868058178029681</c:v>
                  </c:pt>
                  <c:pt idx="9">
                    <c:v>27.799143584506908</c:v>
                  </c:pt>
                  <c:pt idx="10">
                    <c:v>22.430834417443151</c:v>
                  </c:pt>
                  <c:pt idx="11">
                    <c:v>19.935964037975321</c:v>
                  </c:pt>
                  <c:pt idx="12">
                    <c:v>24.710438275044016</c:v>
                  </c:pt>
                  <c:pt idx="13">
                    <c:v>16.440158229696991</c:v>
                  </c:pt>
                  <c:pt idx="14">
                    <c:v>16.447112457445858</c:v>
                  </c:pt>
                  <c:pt idx="15">
                    <c:v>16.253869277101952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567.07738676730867</c:v>
                  </c:pt>
                  <c:pt idx="1">
                    <c:v>359.24724218053456</c:v>
                  </c:pt>
                  <c:pt idx="2">
                    <c:v>239.03343972510856</c:v>
                  </c:pt>
                  <c:pt idx="3">
                    <c:v>166.84449768027295</c:v>
                  </c:pt>
                  <c:pt idx="4">
                    <c:v>111.22991543907698</c:v>
                  </c:pt>
                  <c:pt idx="5">
                    <c:v>76.460536548279975</c:v>
                  </c:pt>
                  <c:pt idx="6">
                    <c:v>51.759575982347421</c:v>
                  </c:pt>
                  <c:pt idx="7">
                    <c:v>39.30042212374552</c:v>
                  </c:pt>
                  <c:pt idx="8">
                    <c:v>30.868058178029681</c:v>
                  </c:pt>
                  <c:pt idx="9">
                    <c:v>27.799143584506908</c:v>
                  </c:pt>
                  <c:pt idx="10">
                    <c:v>22.430834417443151</c:v>
                  </c:pt>
                  <c:pt idx="11">
                    <c:v>19.935964037975321</c:v>
                  </c:pt>
                  <c:pt idx="12">
                    <c:v>24.710438275044016</c:v>
                  </c:pt>
                  <c:pt idx="13">
                    <c:v>16.440158229696991</c:v>
                  </c:pt>
                  <c:pt idx="14">
                    <c:v>16.447112457445858</c:v>
                  </c:pt>
                  <c:pt idx="15">
                    <c:v>16.253869277101952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693.77688644430862</c:v>
                </c:pt>
                <c:pt idx="1">
                  <c:v>683.86578806653279</c:v>
                </c:pt>
                <c:pt idx="2">
                  <c:v>673.95468968875696</c:v>
                </c:pt>
                <c:pt idx="3">
                  <c:v>664.04359131098113</c:v>
                </c:pt>
                <c:pt idx="4">
                  <c:v>654.1324929332053</c:v>
                </c:pt>
                <c:pt idx="5">
                  <c:v>644.22139455542947</c:v>
                </c:pt>
                <c:pt idx="6">
                  <c:v>634.31029617765364</c:v>
                </c:pt>
                <c:pt idx="7">
                  <c:v>624.39919779987781</c:v>
                </c:pt>
                <c:pt idx="8">
                  <c:v>614.48809942210198</c:v>
                </c:pt>
                <c:pt idx="9">
                  <c:v>604.57700104432615</c:v>
                </c:pt>
                <c:pt idx="10">
                  <c:v>594.66590266655032</c:v>
                </c:pt>
                <c:pt idx="11">
                  <c:v>584.75480428877449</c:v>
                </c:pt>
                <c:pt idx="12">
                  <c:v>574.84370591099866</c:v>
                </c:pt>
                <c:pt idx="13">
                  <c:v>564.93260753322284</c:v>
                </c:pt>
                <c:pt idx="14">
                  <c:v>555.02150915544701</c:v>
                </c:pt>
                <c:pt idx="15">
                  <c:v>545.11041077767118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>
                  <c:v>48629.627745245431</c:v>
                </c:pt>
                <c:pt idx="1">
                  <c:v>30499.522942543816</c:v>
                </c:pt>
                <c:pt idx="2">
                  <c:v>20128.332873842657</c:v>
                </c:pt>
                <c:pt idx="3">
                  <c:v>13099.858774907691</c:v>
                </c:pt>
                <c:pt idx="4">
                  <c:v>8994.8615279172245</c:v>
                </c:pt>
                <c:pt idx="5">
                  <c:v>6238.895704920209</c:v>
                </c:pt>
                <c:pt idx="6">
                  <c:v>4160.3827013479686</c:v>
                </c:pt>
                <c:pt idx="7">
                  <c:v>2873.4501201189905</c:v>
                </c:pt>
                <c:pt idx="8">
                  <c:v>2026.6041253540629</c:v>
                </c:pt>
                <c:pt idx="9">
                  <c:v>1438.2235842574796</c:v>
                </c:pt>
                <c:pt idx="10">
                  <c:v>998.97617134430084</c:v>
                </c:pt>
                <c:pt idx="11">
                  <c:v>670.6195490819656</c:v>
                </c:pt>
                <c:pt idx="12">
                  <c:v>469.45766074454366</c:v>
                </c:pt>
                <c:pt idx="13">
                  <c:v>313.97078996168534</c:v>
                </c:pt>
                <c:pt idx="14">
                  <c:v>245.03867685440432</c:v>
                </c:pt>
                <c:pt idx="15">
                  <c:v>158.60380111466577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2416"/>
        <c:axId val="841329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7.1377906629530949</c:v>
                  </c:pt>
                  <c:pt idx="1">
                    <c:v>5.0348231784685318</c:v>
                  </c:pt>
                  <c:pt idx="2">
                    <c:v>4.4406581086119825</c:v>
                  </c:pt>
                  <c:pt idx="3">
                    <c:v>4.2783693681123713</c:v>
                  </c:pt>
                  <c:pt idx="4">
                    <c:v>4.1608292450869273</c:v>
                  </c:pt>
                  <c:pt idx="5">
                    <c:v>4.053256578469691</c:v>
                  </c:pt>
                  <c:pt idx="6">
                    <c:v>4.0223680144034804</c:v>
                  </c:pt>
                  <c:pt idx="7">
                    <c:v>3.9607799459281448</c:v>
                  </c:pt>
                  <c:pt idx="8">
                    <c:v>3.9158155104992871</c:v>
                  </c:pt>
                  <c:pt idx="9">
                    <c:v>3.8481597327223347</c:v>
                  </c:pt>
                  <c:pt idx="10">
                    <c:v>3.7714203043587524</c:v>
                  </c:pt>
                  <c:pt idx="11">
                    <c:v>3.609131936536103</c:v>
                  </c:pt>
                  <c:pt idx="12">
                    <c:v>3.3144883964197756</c:v>
                  </c:pt>
                  <c:pt idx="13">
                    <c:v>2.5632553083360201</c:v>
                  </c:pt>
                  <c:pt idx="14">
                    <c:v>2.1325519406988778</c:v>
                  </c:pt>
                  <c:pt idx="15">
                    <c:v>1.3361428733152476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7.1377906629530949</c:v>
                  </c:pt>
                  <c:pt idx="1">
                    <c:v>5.0348231784685318</c:v>
                  </c:pt>
                  <c:pt idx="2">
                    <c:v>4.4406581086119825</c:v>
                  </c:pt>
                  <c:pt idx="3">
                    <c:v>4.2783693681123713</c:v>
                  </c:pt>
                  <c:pt idx="4">
                    <c:v>4.1608292450869273</c:v>
                  </c:pt>
                  <c:pt idx="5">
                    <c:v>4.053256578469691</c:v>
                  </c:pt>
                  <c:pt idx="6">
                    <c:v>4.0223680144034804</c:v>
                  </c:pt>
                  <c:pt idx="7">
                    <c:v>3.9607799459281448</c:v>
                  </c:pt>
                  <c:pt idx="8">
                    <c:v>3.9158155104992871</c:v>
                  </c:pt>
                  <c:pt idx="9">
                    <c:v>3.8481597327223347</c:v>
                  </c:pt>
                  <c:pt idx="10">
                    <c:v>3.7714203043587524</c:v>
                  </c:pt>
                  <c:pt idx="11">
                    <c:v>3.609131936536103</c:v>
                  </c:pt>
                  <c:pt idx="12">
                    <c:v>3.3144883964197756</c:v>
                  </c:pt>
                  <c:pt idx="13">
                    <c:v>2.5632553083360201</c:v>
                  </c:pt>
                  <c:pt idx="14">
                    <c:v>2.1325519406988778</c:v>
                  </c:pt>
                  <c:pt idx="15">
                    <c:v>1.3361428733152476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693.77688644430862</c:v>
                </c:pt>
                <c:pt idx="1">
                  <c:v>683.86578806653279</c:v>
                </c:pt>
                <c:pt idx="2">
                  <c:v>673.95468968875696</c:v>
                </c:pt>
                <c:pt idx="3">
                  <c:v>664.04359131098113</c:v>
                </c:pt>
                <c:pt idx="4">
                  <c:v>654.1324929332053</c:v>
                </c:pt>
                <c:pt idx="5">
                  <c:v>644.22139455542947</c:v>
                </c:pt>
                <c:pt idx="6">
                  <c:v>634.31029617765364</c:v>
                </c:pt>
                <c:pt idx="7">
                  <c:v>624.39919779987781</c:v>
                </c:pt>
                <c:pt idx="8">
                  <c:v>614.48809942210198</c:v>
                </c:pt>
                <c:pt idx="9">
                  <c:v>604.57700104432615</c:v>
                </c:pt>
                <c:pt idx="10">
                  <c:v>594.66590266655032</c:v>
                </c:pt>
                <c:pt idx="11">
                  <c:v>584.75480428877449</c:v>
                </c:pt>
                <c:pt idx="12">
                  <c:v>574.84370591099866</c:v>
                </c:pt>
                <c:pt idx="13">
                  <c:v>564.93260753322284</c:v>
                </c:pt>
                <c:pt idx="14">
                  <c:v>555.02150915544701</c:v>
                </c:pt>
                <c:pt idx="15">
                  <c:v>545.11041077767118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3037.35</c:v>
                </c:pt>
                <c:pt idx="1">
                  <c:v>1504.9</c:v>
                </c:pt>
                <c:pt idx="2">
                  <c:v>1168.0999999999999</c:v>
                </c:pt>
                <c:pt idx="3">
                  <c:v>1084.7</c:v>
                </c:pt>
                <c:pt idx="4">
                  <c:v>1027.0166666666667</c:v>
                </c:pt>
                <c:pt idx="5">
                  <c:v>974.16666666666663</c:v>
                </c:pt>
                <c:pt idx="6">
                  <c:v>959.9666666666667</c:v>
                </c:pt>
                <c:pt idx="7">
                  <c:v>932.83333333333337</c:v>
                </c:pt>
                <c:pt idx="8">
                  <c:v>912.85</c:v>
                </c:pt>
                <c:pt idx="9">
                  <c:v>882.13333333333333</c:v>
                </c:pt>
                <c:pt idx="10">
                  <c:v>848.85</c:v>
                </c:pt>
                <c:pt idx="11">
                  <c:v>777.41666666666663</c:v>
                </c:pt>
                <c:pt idx="12">
                  <c:v>655.91666666666663</c:v>
                </c:pt>
                <c:pt idx="13">
                  <c:v>391.45</c:v>
                </c:pt>
                <c:pt idx="14">
                  <c:v>270.26666666666665</c:v>
                </c:pt>
                <c:pt idx="15">
                  <c:v>104.81666666666666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144"/>
        <c:axId val="84133568"/>
      </c:scatterChart>
      <c:valAx>
        <c:axId val="8413241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2992"/>
        <c:crosses val="autoZero"/>
        <c:crossBetween val="midCat"/>
      </c:valAx>
      <c:valAx>
        <c:axId val="841329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2416"/>
        <c:crosses val="autoZero"/>
        <c:crossBetween val="midCat"/>
      </c:valAx>
      <c:valAx>
        <c:axId val="841335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84134144"/>
        <c:crosses val="max"/>
        <c:crossBetween val="midCat"/>
      </c:valAx>
      <c:valAx>
        <c:axId val="8413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3" workbookViewId="0">
      <selection activeCell="J22" sqref="J22"/>
    </sheetView>
  </sheetViews>
  <sheetFormatPr defaultColWidth="8.85546875" defaultRowHeight="15"/>
  <cols>
    <col min="1" max="1" width="26.28515625" style="2" bestFit="1" customWidth="1"/>
    <col min="2" max="2" width="47" style="7" bestFit="1" customWidth="1"/>
    <col min="3" max="3" width="18.140625" style="2" customWidth="1"/>
    <col min="4" max="4" width="8.85546875" style="2"/>
    <col min="5" max="5" width="17.42578125" style="2" bestFit="1" customWidth="1"/>
    <col min="6" max="6" width="15" style="2" bestFit="1" customWidth="1"/>
    <col min="7" max="7" width="9.42578125" style="2" customWidth="1"/>
    <col min="8" max="8" width="12.7109375" style="2" customWidth="1"/>
    <col min="9" max="9" width="12.42578125" style="2" customWidth="1"/>
    <col min="10" max="10" width="15.42578125" style="2" bestFit="1" customWidth="1"/>
    <col min="11" max="11" width="10.140625" style="2" customWidth="1"/>
    <col min="12" max="12" width="16.425781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5.75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5.75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3901.2</v>
      </c>
      <c r="G6" s="14">
        <v>700</v>
      </c>
      <c r="H6" s="15">
        <v>0.43055555555555558</v>
      </c>
      <c r="I6" s="16">
        <v>970</v>
      </c>
      <c r="J6" s="17">
        <v>22.3</v>
      </c>
      <c r="K6" s="18">
        <v>586</v>
      </c>
      <c r="L6" s="12">
        <v>24.207436869999999</v>
      </c>
      <c r="M6" s="14">
        <v>182827</v>
      </c>
      <c r="N6" s="23">
        <v>427.5827405</v>
      </c>
      <c r="O6" s="41">
        <v>-3.5399999999999999E-12</v>
      </c>
      <c r="P6" s="41">
        <v>1.8527999999999999E-12</v>
      </c>
      <c r="Q6" s="41">
        <v>-4.0599999999999996E-9</v>
      </c>
      <c r="R6" s="41">
        <v>2.9900000000000001E-11</v>
      </c>
    </row>
    <row r="7" spans="1:18">
      <c r="A7" s="9" t="s">
        <v>3</v>
      </c>
      <c r="B7" s="11">
        <v>4</v>
      </c>
      <c r="C7"/>
      <c r="D7"/>
      <c r="E7" s="44"/>
      <c r="F7" s="13">
        <v>3846.4</v>
      </c>
      <c r="G7" s="14">
        <v>690</v>
      </c>
      <c r="H7" s="15">
        <v>0.3888888888888889</v>
      </c>
      <c r="I7" s="16">
        <v>967</v>
      </c>
      <c r="J7" s="17">
        <v>22.3</v>
      </c>
      <c r="K7" s="18">
        <v>482</v>
      </c>
      <c r="L7" s="12">
        <v>21.954498399999999</v>
      </c>
      <c r="M7" s="36">
        <v>90776</v>
      </c>
      <c r="N7" s="23">
        <v>301.29055740000001</v>
      </c>
      <c r="O7" s="41">
        <v>4.1300000000000004E-12</v>
      </c>
      <c r="P7" s="41">
        <v>1.4899999999999999E-12</v>
      </c>
      <c r="Q7" s="41">
        <v>-2.5399999999999999E-9</v>
      </c>
      <c r="R7" s="41">
        <v>1.9199999999999999E-11</v>
      </c>
    </row>
    <row r="8" spans="1:18">
      <c r="A8" s="9" t="s">
        <v>28</v>
      </c>
      <c r="B8" s="11">
        <v>500</v>
      </c>
      <c r="C8"/>
      <c r="D8"/>
      <c r="E8" s="44"/>
      <c r="F8" s="13">
        <v>3791.4</v>
      </c>
      <c r="G8" s="14">
        <v>680</v>
      </c>
      <c r="H8" s="15">
        <v>0.43055555555555558</v>
      </c>
      <c r="I8" s="16">
        <v>967</v>
      </c>
      <c r="J8" s="17">
        <v>22.3</v>
      </c>
      <c r="K8" s="18">
        <v>452</v>
      </c>
      <c r="L8" s="12">
        <v>21.260291630000001</v>
      </c>
      <c r="M8" s="36">
        <v>70538</v>
      </c>
      <c r="N8" s="23">
        <v>265.58990940000001</v>
      </c>
      <c r="O8" s="41">
        <v>-9.8699999999999993E-13</v>
      </c>
      <c r="P8" s="41">
        <v>1.2499999999999999E-12</v>
      </c>
      <c r="Q8" s="41">
        <v>-1.68E-9</v>
      </c>
      <c r="R8" s="41">
        <v>1.29E-11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3735.6</v>
      </c>
      <c r="G9" s="14">
        <v>670</v>
      </c>
      <c r="H9" s="15">
        <v>0.43055555555555558</v>
      </c>
      <c r="I9" s="16">
        <v>967</v>
      </c>
      <c r="J9" s="17">
        <v>22.3</v>
      </c>
      <c r="K9" s="18">
        <v>407</v>
      </c>
      <c r="L9" s="12">
        <v>20.174240999999999</v>
      </c>
      <c r="M9" s="14">
        <v>65489</v>
      </c>
      <c r="N9" s="23">
        <v>255.90818669999999</v>
      </c>
      <c r="O9" s="41">
        <v>2.7299999999999999E-12</v>
      </c>
      <c r="P9" s="41">
        <v>2.2900000000000001E-12</v>
      </c>
      <c r="Q9" s="41">
        <v>-1.09E-9</v>
      </c>
      <c r="R9" s="41">
        <v>9.5500000000000003E-12</v>
      </c>
    </row>
    <row r="10" spans="1:18">
      <c r="A10" s="54" t="s">
        <v>23</v>
      </c>
      <c r="B10" s="55"/>
      <c r="C10" s="4"/>
      <c r="D10" s="6"/>
      <c r="E10" s="44"/>
      <c r="F10" s="13">
        <v>3679.6</v>
      </c>
      <c r="G10" s="14">
        <v>660</v>
      </c>
      <c r="H10" s="15">
        <v>0.43055555555555558</v>
      </c>
      <c r="I10" s="16">
        <v>967</v>
      </c>
      <c r="J10" s="17">
        <v>22.3</v>
      </c>
      <c r="K10" s="18">
        <v>352</v>
      </c>
      <c r="L10" s="12">
        <v>18.761663039999998</v>
      </c>
      <c r="M10" s="14">
        <v>61973</v>
      </c>
      <c r="N10" s="23">
        <v>248.94376879999999</v>
      </c>
      <c r="O10" s="41">
        <v>3.3099999999999998E-12</v>
      </c>
      <c r="P10" s="41">
        <v>1.14E-12</v>
      </c>
      <c r="Q10" s="41">
        <v>-7.4700000000000001E-10</v>
      </c>
      <c r="R10" s="41">
        <v>6.2400000000000001E-12</v>
      </c>
    </row>
    <row r="11" spans="1:18">
      <c r="A11" s="56"/>
      <c r="B11" s="57"/>
      <c r="C11" s="4"/>
      <c r="D11" s="6"/>
      <c r="E11" s="44"/>
      <c r="F11" s="13">
        <v>3624.6</v>
      </c>
      <c r="G11" s="14">
        <v>650</v>
      </c>
      <c r="H11" s="15">
        <v>0.43055555555555558</v>
      </c>
      <c r="I11" s="16">
        <v>967</v>
      </c>
      <c r="J11" s="17">
        <v>22.3</v>
      </c>
      <c r="K11" s="18">
        <v>347</v>
      </c>
      <c r="L11" s="12">
        <v>18.627936009999999</v>
      </c>
      <c r="M11" s="14">
        <v>58797</v>
      </c>
      <c r="N11" s="23">
        <v>242.4809271</v>
      </c>
      <c r="O11" s="41">
        <v>5.4199999999999999E-12</v>
      </c>
      <c r="P11" s="41">
        <v>1.1099999999999999E-12</v>
      </c>
      <c r="Q11" s="41">
        <v>-5.1499999999999998E-10</v>
      </c>
      <c r="R11" s="41">
        <v>4.1700000000000002E-12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3568.4</v>
      </c>
      <c r="G12" s="14">
        <v>640</v>
      </c>
      <c r="H12" s="15">
        <v>0.43055555555555558</v>
      </c>
      <c r="I12" s="16">
        <v>967</v>
      </c>
      <c r="J12" s="17">
        <v>22.3</v>
      </c>
      <c r="K12" s="18">
        <v>324</v>
      </c>
      <c r="L12" s="12">
        <v>18</v>
      </c>
      <c r="M12" s="14">
        <v>57922</v>
      </c>
      <c r="N12" s="23">
        <v>240.66989839999999</v>
      </c>
      <c r="O12" s="41">
        <v>4.0399999999999997E-12</v>
      </c>
      <c r="P12" s="41">
        <v>1.2200000000000001E-12</v>
      </c>
      <c r="Q12" s="41">
        <v>-3.43E-10</v>
      </c>
      <c r="R12" s="41">
        <v>2.71E-12</v>
      </c>
    </row>
    <row r="13" spans="1:18">
      <c r="A13" s="9" t="s">
        <v>45</v>
      </c>
      <c r="B13" s="11" t="s">
        <v>102</v>
      </c>
      <c r="C13" s="4"/>
      <c r="D13" s="6"/>
      <c r="E13" s="44"/>
      <c r="F13" s="13">
        <v>3511.6</v>
      </c>
      <c r="G13" s="14">
        <v>630</v>
      </c>
      <c r="H13" s="15">
        <v>0.43055555555555558</v>
      </c>
      <c r="I13" s="16">
        <v>967</v>
      </c>
      <c r="J13" s="17">
        <v>22.3</v>
      </c>
      <c r="K13" s="18">
        <v>253</v>
      </c>
      <c r="L13" s="12">
        <v>15.90597372</v>
      </c>
      <c r="M13" s="14">
        <v>56223</v>
      </c>
      <c r="N13" s="23">
        <v>237.1138967</v>
      </c>
      <c r="O13" s="41">
        <v>4.6899999999999996E-12</v>
      </c>
      <c r="P13" s="41">
        <v>1.2200000000000001E-12</v>
      </c>
      <c r="Q13" s="41">
        <v>-2.3500000000000002E-10</v>
      </c>
      <c r="R13" s="41">
        <v>2.1400000000000002E-12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3458.8</v>
      </c>
      <c r="G14" s="14">
        <v>620</v>
      </c>
      <c r="H14" s="15">
        <v>0.43055555555555558</v>
      </c>
      <c r="I14" s="16">
        <v>966</v>
      </c>
      <c r="J14" s="17">
        <v>22.3</v>
      </c>
      <c r="K14" s="18">
        <v>215</v>
      </c>
      <c r="L14" s="12">
        <v>14.662878299999999</v>
      </c>
      <c r="M14" s="14">
        <v>54986</v>
      </c>
      <c r="N14" s="23">
        <v>234.490938</v>
      </c>
      <c r="O14" s="41">
        <v>4.0499999999999999E-12</v>
      </c>
      <c r="P14" s="41">
        <v>1.27E-12</v>
      </c>
      <c r="Q14" s="41">
        <v>-1.65E-10</v>
      </c>
      <c r="R14" s="41">
        <v>1.6400000000000001E-12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3402.8</v>
      </c>
      <c r="G15" s="14">
        <v>610</v>
      </c>
      <c r="H15" s="15">
        <v>0.43055555555555558</v>
      </c>
      <c r="I15" s="16">
        <v>967</v>
      </c>
      <c r="J15" s="17">
        <v>22.3</v>
      </c>
      <c r="K15" s="18">
        <v>191</v>
      </c>
      <c r="L15" s="12">
        <v>13.820274960000001</v>
      </c>
      <c r="M15" s="14">
        <v>53119</v>
      </c>
      <c r="N15" s="23">
        <v>230.47559519999999</v>
      </c>
      <c r="O15" s="41">
        <v>3.9700000000000002E-12</v>
      </c>
      <c r="P15" s="41">
        <v>1.19E-12</v>
      </c>
      <c r="Q15" s="41">
        <v>-1.16E-10</v>
      </c>
      <c r="R15" s="41">
        <v>1.67E-12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3345.8</v>
      </c>
      <c r="G16" s="14">
        <v>600</v>
      </c>
      <c r="H16" s="15">
        <v>0.43055555555555558</v>
      </c>
      <c r="I16" s="16">
        <v>967</v>
      </c>
      <c r="J16" s="17">
        <v>22.3</v>
      </c>
      <c r="K16" s="18">
        <v>137</v>
      </c>
      <c r="L16" s="12">
        <v>11.70469991</v>
      </c>
      <c r="M16" s="14">
        <v>51068</v>
      </c>
      <c r="N16" s="23">
        <v>225.9823002</v>
      </c>
      <c r="O16" s="41">
        <v>5.2300000000000001E-12</v>
      </c>
      <c r="P16" s="41">
        <v>1.1499999999999999E-12</v>
      </c>
      <c r="Q16" s="41">
        <v>-7.8099999999999994E-11</v>
      </c>
      <c r="R16" s="41">
        <v>1.27E-12</v>
      </c>
    </row>
    <row r="17" spans="1:20">
      <c r="A17" s="9" t="s">
        <v>62</v>
      </c>
      <c r="B17" s="11">
        <v>5.5990000000000002</v>
      </c>
      <c r="C17" s="4"/>
      <c r="D17" s="6"/>
      <c r="E17" s="44"/>
      <c r="F17" s="13">
        <v>3291.8</v>
      </c>
      <c r="G17" s="14">
        <v>590</v>
      </c>
      <c r="H17" s="15">
        <v>0.43055555555555558</v>
      </c>
      <c r="I17" s="16">
        <v>966</v>
      </c>
      <c r="J17" s="17">
        <v>22.3</v>
      </c>
      <c r="K17" s="18">
        <v>124</v>
      </c>
      <c r="L17" s="12">
        <v>11.135528730000001</v>
      </c>
      <c r="M17" s="14">
        <v>46769</v>
      </c>
      <c r="N17" s="23">
        <v>216.2614159</v>
      </c>
      <c r="O17" s="41">
        <v>2.6400000000000001E-12</v>
      </c>
      <c r="P17" s="41">
        <v>1.09E-12</v>
      </c>
      <c r="Q17" s="41">
        <v>-5.3299999999999999E-11</v>
      </c>
      <c r="R17" s="41">
        <v>1.1499999999999999E-12</v>
      </c>
    </row>
    <row r="18" spans="1:20" ht="14.1" customHeight="1">
      <c r="A18" s="9" t="s">
        <v>63</v>
      </c>
      <c r="B18" s="11">
        <v>4.5839999999999996</v>
      </c>
      <c r="C18" s="4"/>
      <c r="D18" s="6"/>
      <c r="E18" s="44"/>
      <c r="F18" s="13">
        <v>3233.6</v>
      </c>
      <c r="G18" s="14">
        <v>580</v>
      </c>
      <c r="H18" s="15">
        <v>0.43055555555555558</v>
      </c>
      <c r="I18" s="16">
        <v>966</v>
      </c>
      <c r="J18" s="17">
        <v>22.3</v>
      </c>
      <c r="K18" s="18">
        <v>97</v>
      </c>
      <c r="L18" s="12">
        <v>9.8488578019999995</v>
      </c>
      <c r="M18" s="14">
        <v>39452</v>
      </c>
      <c r="N18" s="23">
        <v>198.6252753</v>
      </c>
      <c r="O18" s="41">
        <v>2.9599999999999999E-12</v>
      </c>
      <c r="P18" s="41">
        <v>1.79E-12</v>
      </c>
      <c r="Q18" s="41">
        <v>-3.6200000000000002E-11</v>
      </c>
      <c r="R18" s="41">
        <v>9.5900000000000005E-13</v>
      </c>
    </row>
    <row r="19" spans="1:20" ht="15" customHeight="1">
      <c r="A19" s="9" t="s">
        <v>64</v>
      </c>
      <c r="B19" s="11">
        <v>1.119</v>
      </c>
      <c r="C19" s="4"/>
      <c r="D19" s="6"/>
      <c r="E19" s="44"/>
      <c r="F19" s="13">
        <v>3179.8</v>
      </c>
      <c r="G19" s="14">
        <v>570</v>
      </c>
      <c r="H19" s="15">
        <v>0.43055555555555558</v>
      </c>
      <c r="I19" s="16">
        <v>966</v>
      </c>
      <c r="J19" s="17">
        <v>22.3</v>
      </c>
      <c r="K19" s="18">
        <v>83</v>
      </c>
      <c r="L19" s="12">
        <v>9.1104335790000004</v>
      </c>
      <c r="M19" s="14">
        <v>23570</v>
      </c>
      <c r="N19" s="23">
        <v>153.52524220000001</v>
      </c>
      <c r="O19" s="41">
        <v>2.89E-12</v>
      </c>
      <c r="P19" s="41">
        <v>9.3600000000000005E-13</v>
      </c>
      <c r="Q19" s="41">
        <v>-2.33E-11</v>
      </c>
      <c r="R19" s="41">
        <v>9.7400000000000009E-13</v>
      </c>
    </row>
    <row r="20" spans="1:20">
      <c r="A20" s="9" t="s">
        <v>65</v>
      </c>
      <c r="B20" s="11">
        <v>0.56200000000000006</v>
      </c>
      <c r="C20" s="4"/>
      <c r="D20" s="6"/>
      <c r="E20" s="44"/>
      <c r="F20" s="13">
        <v>3123.8</v>
      </c>
      <c r="G20" s="14">
        <v>560</v>
      </c>
      <c r="H20" s="15">
        <v>0.43055555555555558</v>
      </c>
      <c r="I20" s="16">
        <v>966</v>
      </c>
      <c r="J20" s="17">
        <v>22.3</v>
      </c>
      <c r="K20" s="18">
        <v>78</v>
      </c>
      <c r="L20" s="12">
        <v>8.8317608659999998</v>
      </c>
      <c r="M20" s="14">
        <v>16294</v>
      </c>
      <c r="N20" s="23">
        <v>127.64795340000001</v>
      </c>
      <c r="O20" s="41">
        <v>4.3399999999999997E-12</v>
      </c>
      <c r="P20" s="41">
        <v>9.0999999999999996E-13</v>
      </c>
      <c r="Q20" s="41">
        <v>-1.6100000000000001E-11</v>
      </c>
      <c r="R20" s="41">
        <v>1.0099999999999999E-12</v>
      </c>
    </row>
    <row r="21" spans="1:20">
      <c r="A21" s="9" t="s">
        <v>66</v>
      </c>
      <c r="B21" s="11">
        <v>0.437</v>
      </c>
      <c r="C21" s="4"/>
      <c r="D21" s="6"/>
      <c r="E21" s="45"/>
      <c r="F21" s="13">
        <v>3068</v>
      </c>
      <c r="G21" s="14">
        <v>550</v>
      </c>
      <c r="H21" s="15">
        <v>0.47222222222222227</v>
      </c>
      <c r="I21" s="16">
        <v>980</v>
      </c>
      <c r="J21" s="17">
        <v>22.5</v>
      </c>
      <c r="K21" s="18">
        <v>69</v>
      </c>
      <c r="L21" s="12">
        <v>8.3066238630000004</v>
      </c>
      <c r="M21" s="14">
        <v>6358</v>
      </c>
      <c r="N21" s="23">
        <v>79.737067920000001</v>
      </c>
      <c r="O21" s="41">
        <v>4.21E-12</v>
      </c>
      <c r="P21" s="41">
        <v>9.239999999999999E-13</v>
      </c>
      <c r="Q21" s="41">
        <v>-9.0199999999999999E-12</v>
      </c>
      <c r="R21" s="41">
        <v>9.8499999999999994E-13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0.624</v>
      </c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 t="shared" ref="E30:E45" si="0">G6*(AVERAGE($J$6:$J$21)+273.15)/(AVERAGE($I$6:$I$21))*($I$48/$I$49)</f>
        <v>693.77688644430862</v>
      </c>
      <c r="F30" s="29">
        <f t="shared" ref="F30:F45" si="1">F6*(AVERAGE($J$6:$J$21)+273.15)/(AVERAGE($I$6:$I$21))*($I$48/$I$49)</f>
        <v>3866.5176991379103</v>
      </c>
      <c r="G30" s="29">
        <f>E30*'Data Summary'!$B$18*(AVERAGE($J$6:$J$21)+273.15)/(AVERAGE($I$6:$I$21))*($I$48/$I$49)</f>
        <v>3152.0001023791742</v>
      </c>
      <c r="H30" s="31">
        <f>(M6-K6)/$B$42</f>
        <v>3037.35</v>
      </c>
      <c r="I30" s="32">
        <f>(1/$B$42)*SQRT(N6^2+L6^2)</f>
        <v>7.1377906629530949</v>
      </c>
      <c r="J30" s="33">
        <f>Q6-O6</f>
        <v>-4.0564599999999995E-9</v>
      </c>
      <c r="K30" s="33">
        <f>SQRT(P6^2+R6^2)</f>
        <v>2.9957350814783341E-11</v>
      </c>
      <c r="L30" s="33">
        <f>ABS(J30)/($H$31*$F$24*$L$24)</f>
        <v>48629.627745245431</v>
      </c>
      <c r="M30" s="33">
        <f>SQRT( ( 1 / ($H$31*$F$24*$L$24 ) )^2 * (K30^2+J30^2*( ($I$31/$H$31)^2+($F$25/$F$24)^2)))</f>
        <v>567.07738676730867</v>
      </c>
    </row>
    <row r="31" spans="1:20">
      <c r="A31" s="9" t="s">
        <v>27</v>
      </c>
      <c r="B31" s="11">
        <v>400</v>
      </c>
      <c r="E31" s="29">
        <f t="shared" si="0"/>
        <v>683.86578806653279</v>
      </c>
      <c r="F31" s="29">
        <f t="shared" si="1"/>
        <v>3812.2048800276984</v>
      </c>
      <c r="G31" s="29">
        <f>E31*'Data Summary'!$B$18*(AVERAGE($J$6:$J$21)+273.15)/(AVERAGE($I$6:$I$21))*($I$48/$I$49)</f>
        <v>3106.9715294880434</v>
      </c>
      <c r="H31" s="31">
        <f>(M7-K7)/$B$42</f>
        <v>1504.9</v>
      </c>
      <c r="I31" s="32">
        <f t="shared" ref="I31:I45" si="2">(1/$B$42)*SQRT(N7^2+L7^2)</f>
        <v>5.0348231784685318</v>
      </c>
      <c r="J31" s="33">
        <f t="shared" ref="J31:J45" si="3">Q7-O7</f>
        <v>-2.54413E-9</v>
      </c>
      <c r="K31" s="33">
        <f t="shared" ref="K31:K45" si="4">SQRT(P7^2+R7^2)</f>
        <v>1.9257728318781524E-11</v>
      </c>
      <c r="L31" s="33">
        <f t="shared" ref="L31:L45" si="5">ABS(J31)/($H$31*$F$24*$L$24)</f>
        <v>30499.522942543816</v>
      </c>
      <c r="M31" s="33">
        <f t="shared" ref="M31:M45" si="6">SQRT( ( 1 / ($H$31*$F$24*$L$24 ) )^2 * (K31^2+J31^2*( ($I$31/$H$31)^2+($F$25/$F$24)^2)))</f>
        <v>359.24724218053456</v>
      </c>
    </row>
    <row r="32" spans="1:20">
      <c r="A32" s="54" t="s">
        <v>52</v>
      </c>
      <c r="B32" s="55"/>
      <c r="E32" s="29">
        <f t="shared" si="0"/>
        <v>673.95468968875696</v>
      </c>
      <c r="F32" s="29">
        <f t="shared" si="1"/>
        <v>3757.6938389499314</v>
      </c>
      <c r="G32" s="29">
        <f>E32*'Data Summary'!$B$18*(AVERAGE($J$6:$J$21)+273.15)/(AVERAGE($I$6:$I$21))*($I$48/$I$49)</f>
        <v>3061.9429565969122</v>
      </c>
      <c r="H32" s="31">
        <f t="shared" ref="H32:H45" si="7">(M8-K8)/$B$42</f>
        <v>1168.0999999999999</v>
      </c>
      <c r="I32" s="32">
        <f t="shared" si="2"/>
        <v>4.4406581086119825</v>
      </c>
      <c r="J32" s="33">
        <f t="shared" si="3"/>
        <v>-1.6790129999999999E-9</v>
      </c>
      <c r="K32" s="33">
        <f t="shared" si="4"/>
        <v>1.2960420517869011E-11</v>
      </c>
      <c r="L32" s="33">
        <f t="shared" si="5"/>
        <v>20128.332873842657</v>
      </c>
      <c r="M32" s="33">
        <f t="shared" si="6"/>
        <v>239.03343972510856</v>
      </c>
    </row>
    <row r="33" spans="1:14">
      <c r="A33" s="56"/>
      <c r="B33" s="57"/>
      <c r="E33" s="29">
        <f t="shared" si="0"/>
        <v>664.04359131098113</v>
      </c>
      <c r="F33" s="29">
        <f t="shared" si="1"/>
        <v>3702.3899100019421</v>
      </c>
      <c r="G33" s="29">
        <f>E33*'Data Summary'!$B$18*(AVERAGE($J$6:$J$21)+273.15)/(AVERAGE($I$6:$I$21))*($I$48/$I$49)</f>
        <v>3016.9143837057813</v>
      </c>
      <c r="H33" s="31">
        <f t="shared" si="7"/>
        <v>1084.7</v>
      </c>
      <c r="I33" s="32">
        <f t="shared" si="2"/>
        <v>4.2783693681123713</v>
      </c>
      <c r="J33" s="33">
        <f t="shared" si="3"/>
        <v>-1.09273E-9</v>
      </c>
      <c r="K33" s="33">
        <f t="shared" si="4"/>
        <v>9.8207229876419995E-12</v>
      </c>
      <c r="L33" s="33">
        <f t="shared" si="5"/>
        <v>13099.858774907691</v>
      </c>
      <c r="M33" s="33">
        <f t="shared" si="6"/>
        <v>166.84449768027295</v>
      </c>
    </row>
    <row r="34" spans="1:14">
      <c r="A34" s="9" t="s">
        <v>56</v>
      </c>
      <c r="B34" s="11" t="s">
        <v>103</v>
      </c>
      <c r="E34" s="29">
        <f t="shared" si="0"/>
        <v>654.1324929332053</v>
      </c>
      <c r="F34" s="29">
        <f t="shared" si="1"/>
        <v>3646.8877590863976</v>
      </c>
      <c r="G34" s="29">
        <f>E34*'Data Summary'!$B$18*(AVERAGE($J$6:$J$21)+273.15)/(AVERAGE($I$6:$I$21))*($I$48/$I$49)</f>
        <v>2971.8858108146501</v>
      </c>
      <c r="H34" s="31">
        <f t="shared" si="7"/>
        <v>1027.0166666666667</v>
      </c>
      <c r="I34" s="32">
        <f t="shared" si="2"/>
        <v>4.1608292450869273</v>
      </c>
      <c r="J34" s="33">
        <f t="shared" si="3"/>
        <v>-7.5030999999999997E-10</v>
      </c>
      <c r="K34" s="33">
        <f t="shared" si="4"/>
        <v>6.3432799086907714E-12</v>
      </c>
      <c r="L34" s="33">
        <f t="shared" si="5"/>
        <v>8994.8615279172245</v>
      </c>
      <c r="M34" s="33">
        <f t="shared" si="6"/>
        <v>111.22991543907698</v>
      </c>
    </row>
    <row r="35" spans="1:14">
      <c r="A35" s="9" t="s">
        <v>20</v>
      </c>
      <c r="B35" s="11" t="s">
        <v>104</v>
      </c>
      <c r="E35" s="29">
        <f t="shared" si="0"/>
        <v>644.22139455542947</v>
      </c>
      <c r="F35" s="29">
        <f t="shared" si="1"/>
        <v>3592.3767180086306</v>
      </c>
      <c r="G35" s="29">
        <f>E35*'Data Summary'!$B$18*(AVERAGE($J$6:$J$21)+273.15)/(AVERAGE($I$6:$I$21))*($I$48/$I$49)</f>
        <v>2926.8572379235188</v>
      </c>
      <c r="H35" s="31">
        <f t="shared" si="7"/>
        <v>974.16666666666663</v>
      </c>
      <c r="I35" s="32">
        <f t="shared" si="2"/>
        <v>4.053256578469691</v>
      </c>
      <c r="J35" s="33">
        <f t="shared" si="3"/>
        <v>-5.2041999999999995E-10</v>
      </c>
      <c r="K35" s="33">
        <f t="shared" si="4"/>
        <v>4.3152056729662376E-12</v>
      </c>
      <c r="L35" s="33">
        <f t="shared" si="5"/>
        <v>6238.895704920209</v>
      </c>
      <c r="M35" s="33">
        <f t="shared" si="6"/>
        <v>76.460536548279975</v>
      </c>
      <c r="N35" s="3"/>
    </row>
    <row r="36" spans="1:14">
      <c r="A36" s="9" t="s">
        <v>21</v>
      </c>
      <c r="B36" s="11" t="s">
        <v>105</v>
      </c>
      <c r="E36" s="29">
        <f t="shared" si="0"/>
        <v>634.31029617765364</v>
      </c>
      <c r="F36" s="29">
        <f t="shared" si="1"/>
        <v>3536.6763451255301</v>
      </c>
      <c r="G36" s="29">
        <f>E36*'Data Summary'!$B$18*(AVERAGE($J$6:$J$21)+273.15)/(AVERAGE($I$6:$I$21))*($I$48/$I$49)</f>
        <v>2881.828665032388</v>
      </c>
      <c r="H36" s="31">
        <f t="shared" si="7"/>
        <v>959.9666666666667</v>
      </c>
      <c r="I36" s="32">
        <f t="shared" si="2"/>
        <v>4.0223680144034804</v>
      </c>
      <c r="J36" s="33">
        <f t="shared" si="3"/>
        <v>-3.4704000000000002E-10</v>
      </c>
      <c r="K36" s="33">
        <f t="shared" si="4"/>
        <v>2.971952220342716E-12</v>
      </c>
      <c r="L36" s="33">
        <f t="shared" si="5"/>
        <v>4160.3827013479686</v>
      </c>
      <c r="M36" s="33">
        <f t="shared" si="6"/>
        <v>51.759575982347421</v>
      </c>
      <c r="N36" s="3"/>
    </row>
    <row r="37" spans="1:14">
      <c r="A37" s="9" t="s">
        <v>22</v>
      </c>
      <c r="B37" s="11" t="s">
        <v>106</v>
      </c>
      <c r="E37" s="29">
        <f t="shared" si="0"/>
        <v>624.39919779987781</v>
      </c>
      <c r="F37" s="29">
        <f t="shared" si="1"/>
        <v>3480.3813063397629</v>
      </c>
      <c r="G37" s="29">
        <f>E37*'Data Summary'!$B$18*(AVERAGE($J$6:$J$21)+273.15)/(AVERAGE($I$6:$I$21))*($I$48/$I$49)</f>
        <v>2836.8000921412572</v>
      </c>
      <c r="H37" s="31">
        <f t="shared" si="7"/>
        <v>932.83333333333337</v>
      </c>
      <c r="I37" s="32">
        <f t="shared" si="2"/>
        <v>3.9607799459281448</v>
      </c>
      <c r="J37" s="33">
        <f t="shared" si="3"/>
        <v>-2.3969000000000003E-10</v>
      </c>
      <c r="K37" s="33">
        <f t="shared" si="4"/>
        <v>2.4633310780323464E-12</v>
      </c>
      <c r="L37" s="33">
        <f t="shared" si="5"/>
        <v>2873.4501201189905</v>
      </c>
      <c r="M37" s="33">
        <f t="shared" si="6"/>
        <v>39.30042212374552</v>
      </c>
    </row>
    <row r="38" spans="1:14">
      <c r="A38" s="54" t="s">
        <v>11</v>
      </c>
      <c r="B38" s="55"/>
      <c r="E38" s="29">
        <f t="shared" si="0"/>
        <v>614.48809942210198</v>
      </c>
      <c r="F38" s="29">
        <f t="shared" si="1"/>
        <v>3428.0507069051064</v>
      </c>
      <c r="G38" s="29">
        <f>E38*'Data Summary'!$B$18*(AVERAGE($J$6:$J$21)+273.15)/(AVERAGE($I$6:$I$21))*($I$48/$I$49)</f>
        <v>2791.7715192501259</v>
      </c>
      <c r="H38" s="31">
        <f t="shared" si="7"/>
        <v>912.85</v>
      </c>
      <c r="I38" s="32">
        <f t="shared" si="2"/>
        <v>3.9158155104992871</v>
      </c>
      <c r="J38" s="33">
        <f t="shared" si="3"/>
        <v>-1.6905E-10</v>
      </c>
      <c r="K38" s="33">
        <f t="shared" si="4"/>
        <v>2.0742468512691541E-12</v>
      </c>
      <c r="L38" s="33">
        <f t="shared" si="5"/>
        <v>2026.6041253540629</v>
      </c>
      <c r="M38" s="33">
        <f t="shared" si="6"/>
        <v>30.868058178029681</v>
      </c>
    </row>
    <row r="39" spans="1:14">
      <c r="A39" s="65"/>
      <c r="B39" s="66"/>
      <c r="E39" s="29">
        <f t="shared" si="0"/>
        <v>604.57700104432615</v>
      </c>
      <c r="F39" s="29">
        <f t="shared" si="1"/>
        <v>3372.5485559895619</v>
      </c>
      <c r="G39" s="29">
        <f>E39*'Data Summary'!$B$18*(AVERAGE($J$6:$J$21)+273.15)/(AVERAGE($I$6:$I$21))*($I$48/$I$49)</f>
        <v>2746.7429463589951</v>
      </c>
      <c r="H39" s="31">
        <f t="shared" si="7"/>
        <v>882.13333333333333</v>
      </c>
      <c r="I39" s="32">
        <f t="shared" si="2"/>
        <v>3.8481597327223347</v>
      </c>
      <c r="J39" s="33">
        <f t="shared" si="3"/>
        <v>-1.1997E-10</v>
      </c>
      <c r="K39" s="33">
        <f t="shared" si="4"/>
        <v>2.0506096654409878E-12</v>
      </c>
      <c r="L39" s="33">
        <f t="shared" si="5"/>
        <v>1438.2235842574796</v>
      </c>
      <c r="M39" s="33">
        <f t="shared" si="6"/>
        <v>27.799143584506908</v>
      </c>
      <c r="N39" s="3"/>
    </row>
    <row r="40" spans="1:14">
      <c r="A40" s="56"/>
      <c r="B40" s="57"/>
      <c r="E40" s="29">
        <f t="shared" si="0"/>
        <v>594.66590266655032</v>
      </c>
      <c r="F40" s="29">
        <f t="shared" si="1"/>
        <v>3316.05529523624</v>
      </c>
      <c r="G40" s="29">
        <f>E40*'Data Summary'!$B$18*(AVERAGE($J$6:$J$21)+273.15)/(AVERAGE($I$6:$I$21))*($I$48/$I$49)</f>
        <v>2701.7143734678643</v>
      </c>
      <c r="H40" s="31">
        <f t="shared" si="7"/>
        <v>848.85</v>
      </c>
      <c r="I40" s="32">
        <f t="shared" si="2"/>
        <v>3.7714203043587524</v>
      </c>
      <c r="J40" s="33">
        <f t="shared" si="3"/>
        <v>-8.3329999999999998E-11</v>
      </c>
      <c r="K40" s="33">
        <f t="shared" si="4"/>
        <v>1.713300907604966E-12</v>
      </c>
      <c r="L40" s="33">
        <f t="shared" si="5"/>
        <v>998.97617134430084</v>
      </c>
      <c r="M40" s="33">
        <f t="shared" si="6"/>
        <v>22.430834417443151</v>
      </c>
      <c r="N40" s="3"/>
    </row>
    <row r="41" spans="1:14">
      <c r="A41" s="9" t="s">
        <v>56</v>
      </c>
      <c r="B41" s="11" t="s">
        <v>107</v>
      </c>
      <c r="E41" s="29">
        <f t="shared" si="0"/>
        <v>584.75480428877449</v>
      </c>
      <c r="F41" s="29">
        <f t="shared" si="1"/>
        <v>3262.5353639962505</v>
      </c>
      <c r="G41" s="29">
        <f>E41*'Data Summary'!$B$18*(AVERAGE($J$6:$J$21)+273.15)/(AVERAGE($I$6:$I$21))*($I$48/$I$49)</f>
        <v>2656.6858005767331</v>
      </c>
      <c r="H41" s="31">
        <f t="shared" si="7"/>
        <v>777.41666666666663</v>
      </c>
      <c r="I41" s="32">
        <f t="shared" si="2"/>
        <v>3.609131936536103</v>
      </c>
      <c r="J41" s="33">
        <f t="shared" si="3"/>
        <v>-5.5940000000000003E-11</v>
      </c>
      <c r="K41" s="33">
        <f t="shared" si="4"/>
        <v>1.5844872987815332E-12</v>
      </c>
      <c r="L41" s="33">
        <f t="shared" si="5"/>
        <v>670.6195490819656</v>
      </c>
      <c r="M41" s="33">
        <f t="shared" si="6"/>
        <v>19.935964037975321</v>
      </c>
      <c r="N41" s="3"/>
    </row>
    <row r="42" spans="1:14">
      <c r="A42" s="9" t="s">
        <v>24</v>
      </c>
      <c r="B42" s="11">
        <v>60</v>
      </c>
      <c r="E42" s="29">
        <f t="shared" si="0"/>
        <v>574.84370591099866</v>
      </c>
      <c r="F42" s="29">
        <f t="shared" si="1"/>
        <v>3204.852771437595</v>
      </c>
      <c r="G42" s="29">
        <f>E42*'Data Summary'!$B$18*(AVERAGE($J$6:$J$21)+273.15)/(AVERAGE($I$6:$I$21))*($I$48/$I$49)</f>
        <v>2611.6572276856018</v>
      </c>
      <c r="H42" s="31">
        <f t="shared" si="7"/>
        <v>655.91666666666663</v>
      </c>
      <c r="I42" s="32">
        <f t="shared" si="2"/>
        <v>3.3144883964197756</v>
      </c>
      <c r="J42" s="33">
        <f t="shared" si="3"/>
        <v>-3.9160000000000004E-11</v>
      </c>
      <c r="K42" s="33">
        <f t="shared" si="4"/>
        <v>2.0307094819298991E-12</v>
      </c>
      <c r="L42" s="33">
        <f t="shared" si="5"/>
        <v>469.45766074454366</v>
      </c>
      <c r="M42" s="33">
        <f t="shared" si="6"/>
        <v>24.710438275044016</v>
      </c>
      <c r="N42" s="3"/>
    </row>
    <row r="43" spans="1:14">
      <c r="A43" s="54" t="s">
        <v>12</v>
      </c>
      <c r="B43" s="55"/>
      <c r="E43" s="29">
        <f t="shared" si="0"/>
        <v>564.93260753322284</v>
      </c>
      <c r="F43" s="29">
        <f t="shared" si="1"/>
        <v>3151.5310621651611</v>
      </c>
      <c r="G43" s="29">
        <f>E43*'Data Summary'!$B$18*(AVERAGE($J$6:$J$21)+273.15)/(AVERAGE($I$6:$I$21))*($I$48/$I$49)</f>
        <v>2566.628654794471</v>
      </c>
      <c r="H43" s="31">
        <f t="shared" si="7"/>
        <v>391.45</v>
      </c>
      <c r="I43" s="32">
        <f t="shared" si="2"/>
        <v>2.5632553083360201</v>
      </c>
      <c r="J43" s="33">
        <f t="shared" si="3"/>
        <v>-2.6189999999999999E-11</v>
      </c>
      <c r="K43" s="33">
        <f t="shared" si="4"/>
        <v>1.3508412193888666E-12</v>
      </c>
      <c r="L43" s="33">
        <f t="shared" si="5"/>
        <v>313.97078996168534</v>
      </c>
      <c r="M43" s="33">
        <f t="shared" si="6"/>
        <v>16.440158229696991</v>
      </c>
      <c r="N43" s="3"/>
    </row>
    <row r="44" spans="1:14">
      <c r="A44" s="56"/>
      <c r="B44" s="57"/>
      <c r="E44" s="29">
        <f t="shared" si="0"/>
        <v>555.02150915544701</v>
      </c>
      <c r="F44" s="29">
        <f t="shared" si="1"/>
        <v>3096.0289112496162</v>
      </c>
      <c r="G44" s="29">
        <f>E44*'Data Summary'!$B$18*(AVERAGE($J$6:$J$21)+273.15)/(AVERAGE($I$6:$I$21))*($I$48/$I$49)</f>
        <v>2521.6000819033397</v>
      </c>
      <c r="H44" s="31">
        <f t="shared" si="7"/>
        <v>270.26666666666665</v>
      </c>
      <c r="I44" s="32">
        <f t="shared" si="2"/>
        <v>2.1325519406988778</v>
      </c>
      <c r="J44" s="33">
        <f t="shared" si="3"/>
        <v>-2.0440000000000003E-11</v>
      </c>
      <c r="K44" s="33">
        <f t="shared" si="4"/>
        <v>1.3594851966829209E-12</v>
      </c>
      <c r="L44" s="33">
        <f t="shared" si="5"/>
        <v>245.03867685440432</v>
      </c>
      <c r="M44" s="33">
        <f t="shared" si="6"/>
        <v>16.447112457445858</v>
      </c>
      <c r="N44" s="3"/>
    </row>
    <row r="45" spans="1:14">
      <c r="A45" s="9" t="s">
        <v>13</v>
      </c>
      <c r="B45" s="11" t="s">
        <v>108</v>
      </c>
      <c r="E45" s="29">
        <f t="shared" si="0"/>
        <v>545.11041077767118</v>
      </c>
      <c r="F45" s="29">
        <f t="shared" si="1"/>
        <v>3040.7249823016273</v>
      </c>
      <c r="G45" s="29">
        <f>E45*'Data Summary'!$B$18*(AVERAGE($J$6:$J$21)+273.15)/(AVERAGE($I$6:$I$21))*($I$48/$I$49)</f>
        <v>2476.5715090122089</v>
      </c>
      <c r="H45" s="31">
        <f t="shared" si="7"/>
        <v>104.81666666666666</v>
      </c>
      <c r="I45" s="32">
        <f t="shared" si="2"/>
        <v>1.3361428733152476</v>
      </c>
      <c r="J45" s="33">
        <f t="shared" si="3"/>
        <v>-1.3229999999999999E-11</v>
      </c>
      <c r="K45" s="33">
        <f t="shared" si="4"/>
        <v>1.3505558115087283E-12</v>
      </c>
      <c r="L45" s="33">
        <f t="shared" si="5"/>
        <v>158.60380111466577</v>
      </c>
      <c r="M45" s="33">
        <f t="shared" si="6"/>
        <v>16.253869277101952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295.46249999999998</v>
      </c>
      <c r="H48" s="34" t="s">
        <v>87</v>
      </c>
      <c r="I48" s="34">
        <v>964.4</v>
      </c>
      <c r="L48" s="35" t="str">
        <f>CONCATENATE(E30,",",L30,",",M30)</f>
        <v>693.776886444309,48629.6277452454,567.077386767309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4.8412291827592539E-2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683.865788066533,30499.5229425438,359.247242180535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967.6875</v>
      </c>
      <c r="L50" s="35" t="str">
        <f t="shared" si="8"/>
        <v>673.954689688757,20128.3328738427,239.033439725109</v>
      </c>
    </row>
    <row r="51" spans="1:14">
      <c r="A51"/>
      <c r="B51"/>
      <c r="E51" s="8" t="s">
        <v>91</v>
      </c>
      <c r="F51" s="30">
        <f>_xlfn.STDEV.P(I6:I21)</f>
        <v>3.3113205447374012</v>
      </c>
      <c r="H51"/>
      <c r="I51"/>
      <c r="L51" s="35" t="str">
        <f t="shared" si="8"/>
        <v>664.043591310981,13099.8587749077,166.844497680273</v>
      </c>
    </row>
    <row r="52" spans="1:14">
      <c r="E52" s="8" t="s">
        <v>78</v>
      </c>
      <c r="F52" s="30">
        <f>EXP(INDEX(LINEST(LN(L30:L45),E30:E45),1,2))</f>
        <v>1.651421615247708E-7</v>
      </c>
      <c r="L52" s="35" t="str">
        <f t="shared" si="8"/>
        <v>654.132492933205,8994.86152791722,111.229915439077</v>
      </c>
    </row>
    <row r="53" spans="1:14">
      <c r="E53" s="8" t="s">
        <v>79</v>
      </c>
      <c r="F53" s="30">
        <f>INDEX(LINEST(LN(L30:L45),E30:E45),1)</f>
        <v>3.7864577922894153E-2</v>
      </c>
      <c r="L53" s="35" t="str">
        <f t="shared" si="8"/>
        <v>644.221394555429,6238.89570492021,76.46053654828</v>
      </c>
      <c r="N53" s="3"/>
    </row>
    <row r="54" spans="1:14">
      <c r="L54" s="35" t="str">
        <f t="shared" si="8"/>
        <v>634.310296177654,4160.38270134797,51.7595759823474</v>
      </c>
      <c r="N54" s="3"/>
    </row>
    <row r="55" spans="1:14">
      <c r="L55" s="35" t="str">
        <f t="shared" si="8"/>
        <v>624.399197799878,2873.45012011899,39.3004221237455</v>
      </c>
      <c r="N55" s="3"/>
    </row>
    <row r="56" spans="1:14">
      <c r="L56" s="35" t="str">
        <f t="shared" si="8"/>
        <v>614.488099422102,2026.60412535406,30.8680581780297</v>
      </c>
      <c r="N56" s="3"/>
    </row>
    <row r="57" spans="1:14">
      <c r="L57" s="35" t="str">
        <f t="shared" si="8"/>
        <v>604.577001044326,1438.22358425748,27.7991435845069</v>
      </c>
      <c r="N57" s="3"/>
    </row>
    <row r="58" spans="1:14">
      <c r="L58" s="35" t="str">
        <f t="shared" si="8"/>
        <v>594.66590266655,998.976171344301,22.4308344174432</v>
      </c>
      <c r="N58" s="3"/>
    </row>
    <row r="59" spans="1:14">
      <c r="L59" s="35" t="str">
        <f t="shared" si="8"/>
        <v>584.754804288774,670.619549081966,19.9359640379753</v>
      </c>
      <c r="N59" s="3"/>
    </row>
    <row r="60" spans="1:14">
      <c r="L60" s="35" t="str">
        <f t="shared" si="8"/>
        <v>574.843705910999,469.457660744544,24.710438275044</v>
      </c>
    </row>
    <row r="61" spans="1:14">
      <c r="L61" s="35" t="str">
        <f t="shared" si="8"/>
        <v>564.932607533223,313.970789961685,16.440158229697</v>
      </c>
    </row>
    <row r="62" spans="1:14">
      <c r="L62" s="35" t="str">
        <f t="shared" si="8"/>
        <v>555.021509155447,245.038676854404,16.4471124574459</v>
      </c>
    </row>
    <row r="63" spans="1:14">
      <c r="L63" s="35" t="str">
        <f t="shared" si="8"/>
        <v>545.110410777671,158.603801114666,16.253869277102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Muhammad Imran</cp:lastModifiedBy>
  <dcterms:created xsi:type="dcterms:W3CDTF">2015-11-12T08:50:25Z</dcterms:created>
  <dcterms:modified xsi:type="dcterms:W3CDTF">2018-05-01T06:04:01Z</dcterms:modified>
</cp:coreProperties>
</file>