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ms-excel.sheet.macroEnabled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xl/vbaProject.bin" ContentType="application/vnd.ms-office.vbaProject"/>
  <Override PartName="/xl/activeX/activeX1.xml" ContentType="application/vnd.ms-office.activeX+xml"/>
  <Override PartName="/xl/activeX/activeX1.bin" ContentType="application/vnd.ms-office.activeX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15" codeName="{00000000-0000-0000-0000-000000000000}"/>
  <workbookPr codeName="ThisWorkbook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3dcd\AC\Temp\"/>
    </mc:Choice>
  </mc:AlternateContent>
  <xr:revisionPtr revIDLastSave="0" documentId="8_{B8957182-BE5D-4DF4-82FE-AE56B34FC667}" xr6:coauthVersionLast="47" xr6:coauthVersionMax="47" xr10:uidLastSave="{00000000-0000-0000-0000-000000000000}"/>
  <bookViews>
    <workbookView xWindow="-60" yWindow="-60" windowWidth="15480" windowHeight="11640" firstSheet="2" activeTab="2" xr2:uid="{00000000-000D-0000-FFFF-FFFF00000000}"/>
  </bookViews>
  <sheets>
    <sheet name="Field Name" sheetId="1" state="hidden" r:id="rId1"/>
    <sheet name="Data" sheetId="2" state="hidden" r:id="rId2"/>
    <sheet name="Stop Count and Time" sheetId="3" r:id="rId3"/>
    <sheet name="Stop Rate(Hour)" sheetId="4" r:id="rId4"/>
    <sheet name="Stop Rate(cmpx)" sheetId="5" r:id="rId5"/>
  </sheets>
  <definedNames>
    <definedName name="_xlnm._FilterDatabase" localSheetId="2" hidden="1">'Stop Count and Time'!$A$1:$BJ$67</definedName>
    <definedName name="_xlnm._FilterDatabase" localSheetId="4" hidden="1">'Stop Rate(cmpx)'!$A$4:$BE$70</definedName>
    <definedName name="_xlnm._FilterDatabase" localSheetId="3" hidden="1">'Stop Rate(Hour)'!$A$4:$BE$70</definedName>
    <definedName name="shiftdata" localSheetId="1">Data!$A$1:$BF$73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G68" i="3" l="1"/>
  <c r="BF68" i="3"/>
  <c r="BB68" i="3"/>
  <c r="BA68" i="3"/>
  <c r="AW68" i="3"/>
  <c r="AV68" i="3"/>
  <c r="AR68" i="3"/>
  <c r="AQ68" i="3"/>
  <c r="AM68" i="3"/>
  <c r="AL68" i="3"/>
  <c r="AK68" i="3"/>
  <c r="AG68" i="3"/>
  <c r="AF68" i="3"/>
  <c r="AE68" i="3"/>
  <c r="Z68" i="3"/>
  <c r="X68" i="3"/>
  <c r="Y68" i="3" s="1"/>
  <c r="X69" i="3"/>
  <c r="S68" i="3"/>
  <c r="Q68" i="3"/>
  <c r="R68" i="3"/>
  <c r="P68" i="3"/>
  <c r="O68" i="3"/>
  <c r="M68" i="3"/>
  <c r="L68" i="3"/>
  <c r="K68" i="3"/>
  <c r="I68" i="3"/>
  <c r="BJ68" i="3"/>
  <c r="H68" i="3"/>
  <c r="G68" i="3"/>
  <c r="BO68" i="3"/>
  <c r="E68" i="3"/>
  <c r="BO67" i="3"/>
  <c r="BN67" i="3"/>
  <c r="BM67" i="3"/>
  <c r="BL67" i="3"/>
  <c r="BK67" i="3"/>
  <c r="BO66" i="3"/>
  <c r="BN66" i="3"/>
  <c r="BM66" i="3"/>
  <c r="BL66" i="3"/>
  <c r="BK66" i="3"/>
  <c r="BO65" i="3"/>
  <c r="BN65" i="3"/>
  <c r="BM65" i="3"/>
  <c r="BL65" i="3"/>
  <c r="BK65" i="3"/>
  <c r="BO64" i="3"/>
  <c r="BN64" i="3"/>
  <c r="BM64" i="3"/>
  <c r="BL64" i="3"/>
  <c r="BK64" i="3"/>
  <c r="BO63" i="3"/>
  <c r="BN63" i="3"/>
  <c r="BM63" i="3"/>
  <c r="BL63" i="3"/>
  <c r="BK63" i="3"/>
  <c r="BO62" i="3"/>
  <c r="BN62" i="3"/>
  <c r="BM62" i="3"/>
  <c r="BL62" i="3"/>
  <c r="BK62" i="3"/>
  <c r="BO61" i="3"/>
  <c r="BN61" i="3"/>
  <c r="BM61" i="3"/>
  <c r="BL61" i="3"/>
  <c r="BK61" i="3"/>
  <c r="BO60" i="3"/>
  <c r="BN60" i="3"/>
  <c r="BM60" i="3"/>
  <c r="BL60" i="3"/>
  <c r="BK60" i="3"/>
  <c r="BO59" i="3"/>
  <c r="BN59" i="3"/>
  <c r="BM59" i="3"/>
  <c r="BL59" i="3"/>
  <c r="BK59" i="3"/>
  <c r="BO58" i="3"/>
  <c r="BN58" i="3"/>
  <c r="BM58" i="3"/>
  <c r="BL58" i="3"/>
  <c r="BK58" i="3"/>
  <c r="BO57" i="3"/>
  <c r="BN57" i="3"/>
  <c r="BM57" i="3"/>
  <c r="BL57" i="3"/>
  <c r="BK57" i="3"/>
  <c r="BO56" i="3"/>
  <c r="BN56" i="3"/>
  <c r="BM56" i="3"/>
  <c r="BL56" i="3"/>
  <c r="BK56" i="3"/>
  <c r="BO55" i="3"/>
  <c r="BN55" i="3"/>
  <c r="BM55" i="3"/>
  <c r="BL55" i="3"/>
  <c r="BK55" i="3"/>
  <c r="BO54" i="3"/>
  <c r="BN54" i="3"/>
  <c r="BM54" i="3"/>
  <c r="BL54" i="3"/>
  <c r="BK54" i="3"/>
  <c r="BO53" i="3"/>
  <c r="BN53" i="3"/>
  <c r="BM53" i="3"/>
  <c r="BL53" i="3"/>
  <c r="BK53" i="3"/>
  <c r="BO52" i="3"/>
  <c r="BN52" i="3"/>
  <c r="BM52" i="3"/>
  <c r="BL52" i="3"/>
  <c r="BK52" i="3"/>
  <c r="BO51" i="3"/>
  <c r="BN51" i="3"/>
  <c r="BM51" i="3"/>
  <c r="BL51" i="3"/>
  <c r="BK51" i="3"/>
  <c r="BO50" i="3"/>
  <c r="BN50" i="3"/>
  <c r="BM50" i="3"/>
  <c r="BL50" i="3"/>
  <c r="BK50" i="3"/>
  <c r="BO49" i="3"/>
  <c r="BN49" i="3"/>
  <c r="BM49" i="3"/>
  <c r="BL49" i="3"/>
  <c r="BK49" i="3"/>
  <c r="BO48" i="3"/>
  <c r="BN48" i="3"/>
  <c r="BM48" i="3"/>
  <c r="BL48" i="3"/>
  <c r="BK48" i="3"/>
  <c r="BO47" i="3"/>
  <c r="BN47" i="3"/>
  <c r="BM47" i="3"/>
  <c r="BL47" i="3"/>
  <c r="BK47" i="3"/>
  <c r="BO46" i="3"/>
  <c r="BN46" i="3"/>
  <c r="BM46" i="3"/>
  <c r="BL46" i="3"/>
  <c r="BK46" i="3"/>
  <c r="BO45" i="3"/>
  <c r="BN45" i="3"/>
  <c r="BM45" i="3"/>
  <c r="BL45" i="3"/>
  <c r="BK45" i="3"/>
  <c r="BO44" i="3"/>
  <c r="BN44" i="3"/>
  <c r="BM44" i="3"/>
  <c r="BL44" i="3"/>
  <c r="BK44" i="3"/>
  <c r="BO43" i="3"/>
  <c r="BN43" i="3"/>
  <c r="BM43" i="3"/>
  <c r="BL43" i="3"/>
  <c r="BK43" i="3"/>
  <c r="BO42" i="3"/>
  <c r="BN42" i="3"/>
  <c r="BM42" i="3"/>
  <c r="BL42" i="3"/>
  <c r="BK42" i="3"/>
  <c r="BO41" i="3"/>
  <c r="BN41" i="3"/>
  <c r="BM41" i="3"/>
  <c r="BL41" i="3"/>
  <c r="BK41" i="3"/>
  <c r="BO40" i="3"/>
  <c r="BN40" i="3"/>
  <c r="BM40" i="3"/>
  <c r="BL40" i="3"/>
  <c r="BK40" i="3"/>
  <c r="BO39" i="3"/>
  <c r="BN39" i="3"/>
  <c r="BM39" i="3"/>
  <c r="BL39" i="3"/>
  <c r="BK39" i="3"/>
  <c r="BO38" i="3"/>
  <c r="BN38" i="3"/>
  <c r="BM38" i="3"/>
  <c r="BL38" i="3"/>
  <c r="BK38" i="3"/>
  <c r="BO37" i="3"/>
  <c r="BN37" i="3"/>
  <c r="BM37" i="3"/>
  <c r="BL37" i="3"/>
  <c r="BK37" i="3"/>
  <c r="BO36" i="3"/>
  <c r="BN36" i="3"/>
  <c r="BM36" i="3"/>
  <c r="BL36" i="3"/>
  <c r="BK36" i="3"/>
  <c r="BO35" i="3"/>
  <c r="BN35" i="3"/>
  <c r="BM35" i="3"/>
  <c r="BL35" i="3"/>
  <c r="BK35" i="3"/>
  <c r="BO34" i="3"/>
  <c r="BN34" i="3"/>
  <c r="BM34" i="3"/>
  <c r="BL34" i="3"/>
  <c r="BK34" i="3"/>
  <c r="BO33" i="3"/>
  <c r="BN33" i="3"/>
  <c r="BM33" i="3"/>
  <c r="BL33" i="3"/>
  <c r="BK33" i="3"/>
  <c r="BO32" i="3"/>
  <c r="BN32" i="3"/>
  <c r="BM32" i="3"/>
  <c r="BL32" i="3"/>
  <c r="BK32" i="3"/>
  <c r="BO31" i="3"/>
  <c r="BN31" i="3"/>
  <c r="BM31" i="3"/>
  <c r="BL31" i="3"/>
  <c r="BK31" i="3"/>
  <c r="BO30" i="3"/>
  <c r="BN30" i="3"/>
  <c r="BM30" i="3"/>
  <c r="BL30" i="3"/>
  <c r="BK30" i="3"/>
  <c r="BO29" i="3"/>
  <c r="BN29" i="3"/>
  <c r="BM29" i="3"/>
  <c r="BL29" i="3"/>
  <c r="BK29" i="3"/>
  <c r="BO28" i="3"/>
  <c r="BN28" i="3"/>
  <c r="BM28" i="3"/>
  <c r="BL28" i="3"/>
  <c r="BK28" i="3"/>
  <c r="BO27" i="3"/>
  <c r="BN27" i="3"/>
  <c r="BM27" i="3"/>
  <c r="BL27" i="3"/>
  <c r="BK27" i="3"/>
  <c r="BO26" i="3"/>
  <c r="BN26" i="3"/>
  <c r="BM26" i="3"/>
  <c r="BL26" i="3"/>
  <c r="BK26" i="3"/>
  <c r="BO25" i="3"/>
  <c r="BN25" i="3"/>
  <c r="BM25" i="3"/>
  <c r="BL25" i="3"/>
  <c r="BK25" i="3"/>
  <c r="BO24" i="3"/>
  <c r="BN24" i="3"/>
  <c r="BM24" i="3"/>
  <c r="BL24" i="3"/>
  <c r="BK24" i="3"/>
  <c r="BO23" i="3"/>
  <c r="BN23" i="3"/>
  <c r="BM23" i="3"/>
  <c r="BL23" i="3"/>
  <c r="BK23" i="3"/>
  <c r="BO22" i="3"/>
  <c r="BN22" i="3"/>
  <c r="BM22" i="3"/>
  <c r="BL22" i="3"/>
  <c r="BK22" i="3"/>
  <c r="BO21" i="3"/>
  <c r="BN21" i="3"/>
  <c r="BM21" i="3"/>
  <c r="BL21" i="3"/>
  <c r="BK21" i="3"/>
  <c r="BO20" i="3"/>
  <c r="BN20" i="3"/>
  <c r="BM20" i="3"/>
  <c r="BL20" i="3"/>
  <c r="BK20" i="3"/>
  <c r="BO19" i="3"/>
  <c r="BN19" i="3"/>
  <c r="BM19" i="3"/>
  <c r="BL19" i="3"/>
  <c r="BK19" i="3"/>
  <c r="BO18" i="3"/>
  <c r="BN18" i="3"/>
  <c r="BM18" i="3"/>
  <c r="BL18" i="3"/>
  <c r="BK18" i="3"/>
  <c r="BO17" i="3"/>
  <c r="BN17" i="3"/>
  <c r="BM17" i="3"/>
  <c r="BL17" i="3"/>
  <c r="BK17" i="3"/>
  <c r="BO16" i="3"/>
  <c r="BN16" i="3"/>
  <c r="BM16" i="3"/>
  <c r="BL16" i="3"/>
  <c r="BK16" i="3"/>
  <c r="BO15" i="3"/>
  <c r="BN15" i="3"/>
  <c r="BM15" i="3"/>
  <c r="BL15" i="3"/>
  <c r="BK15" i="3"/>
  <c r="BO14" i="3"/>
  <c r="BN14" i="3"/>
  <c r="BM14" i="3"/>
  <c r="BL14" i="3"/>
  <c r="BK14" i="3"/>
  <c r="BO13" i="3"/>
  <c r="BN13" i="3"/>
  <c r="BM13" i="3"/>
  <c r="BL13" i="3"/>
  <c r="BK13" i="3"/>
  <c r="BO12" i="3"/>
  <c r="BN12" i="3"/>
  <c r="BM12" i="3"/>
  <c r="BL12" i="3"/>
  <c r="BK12" i="3"/>
  <c r="BO11" i="3"/>
  <c r="BN11" i="3"/>
  <c r="BM11" i="3"/>
  <c r="BL11" i="3"/>
  <c r="BK11" i="3"/>
  <c r="BO10" i="3"/>
  <c r="BN10" i="3"/>
  <c r="BM10" i="3"/>
  <c r="BL10" i="3"/>
  <c r="BK10" i="3"/>
  <c r="BO9" i="3"/>
  <c r="BN9" i="3"/>
  <c r="BM9" i="3"/>
  <c r="BL9" i="3"/>
  <c r="BK9" i="3"/>
  <c r="BO8" i="3"/>
  <c r="BN8" i="3"/>
  <c r="BM8" i="3"/>
  <c r="BL8" i="3"/>
  <c r="BK8" i="3"/>
  <c r="BO7" i="3"/>
  <c r="BN7" i="3"/>
  <c r="BM7" i="3"/>
  <c r="BL7" i="3"/>
  <c r="BK7" i="3"/>
  <c r="BO6" i="3"/>
  <c r="BN6" i="3"/>
  <c r="BM6" i="3"/>
  <c r="BL6" i="3"/>
  <c r="BK6" i="3"/>
  <c r="BO5" i="3"/>
  <c r="BN5" i="3"/>
  <c r="BM5" i="3"/>
  <c r="BL5" i="3"/>
  <c r="BK5" i="3"/>
  <c r="BO4" i="3"/>
  <c r="BN4" i="3"/>
  <c r="BM4" i="3"/>
  <c r="BL4" i="3"/>
  <c r="BK4" i="3"/>
  <c r="BO3" i="3"/>
  <c r="BN3" i="3"/>
  <c r="BM3" i="3"/>
  <c r="BL3" i="3"/>
  <c r="BK3" i="3"/>
  <c r="BO2" i="3"/>
  <c r="BN2" i="3"/>
  <c r="BM2" i="3"/>
  <c r="BL2" i="3"/>
  <c r="BK2" i="3"/>
  <c r="Y67" i="3"/>
  <c r="Y66" i="3"/>
  <c r="Y65" i="3"/>
  <c r="Y64" i="3"/>
  <c r="Y63" i="3"/>
  <c r="Y62" i="3"/>
  <c r="Y61" i="3"/>
  <c r="Y60" i="3"/>
  <c r="Y59" i="3"/>
  <c r="Y58" i="3"/>
  <c r="Y57" i="3"/>
  <c r="Y56" i="3"/>
  <c r="Y55" i="3"/>
  <c r="Y54" i="3"/>
  <c r="Y53" i="3"/>
  <c r="Y52" i="3"/>
  <c r="Y51" i="3"/>
  <c r="Y50" i="3"/>
  <c r="Y49" i="3"/>
  <c r="Y48" i="3"/>
  <c r="Y47" i="3"/>
  <c r="Y46" i="3"/>
  <c r="Y45" i="3"/>
  <c r="Y44" i="3"/>
  <c r="Y43" i="3"/>
  <c r="Y42" i="3"/>
  <c r="Y41" i="3"/>
  <c r="Y40" i="3"/>
  <c r="Y39" i="3"/>
  <c r="Y38" i="3"/>
  <c r="Y37" i="3"/>
  <c r="Y36" i="3"/>
  <c r="Y35" i="3"/>
  <c r="Y34" i="3"/>
  <c r="Y33" i="3"/>
  <c r="Y32" i="3"/>
  <c r="Y31" i="3"/>
  <c r="Y30" i="3"/>
  <c r="Y29" i="3"/>
  <c r="Y28" i="3"/>
  <c r="Y27" i="3"/>
  <c r="Y26" i="3"/>
  <c r="Y25" i="3"/>
  <c r="Y24" i="3"/>
  <c r="Y23" i="3"/>
  <c r="Y22" i="3"/>
  <c r="Y21" i="3"/>
  <c r="Y20" i="3"/>
  <c r="Y19" i="3"/>
  <c r="Y18" i="3"/>
  <c r="Y17" i="3"/>
  <c r="Y16" i="3"/>
  <c r="Y15" i="3"/>
  <c r="Y14" i="3"/>
  <c r="Y13" i="3"/>
  <c r="Y12" i="3"/>
  <c r="Y11" i="3"/>
  <c r="Y10" i="3"/>
  <c r="Y9" i="3"/>
  <c r="Y8" i="3"/>
  <c r="Y7" i="3"/>
  <c r="Y6" i="3"/>
  <c r="Y5" i="3"/>
  <c r="Y4" i="3"/>
  <c r="Y3" i="3"/>
  <c r="Y2" i="3"/>
  <c r="W67" i="3"/>
  <c r="W66" i="3"/>
  <c r="W65" i="3"/>
  <c r="W64" i="3"/>
  <c r="W63" i="3"/>
  <c r="W62" i="3"/>
  <c r="W61" i="3"/>
  <c r="W60" i="3"/>
  <c r="W59" i="3"/>
  <c r="W58" i="3"/>
  <c r="W57" i="3"/>
  <c r="W56" i="3"/>
  <c r="W55" i="3"/>
  <c r="W54" i="3"/>
  <c r="W53" i="3"/>
  <c r="W52" i="3"/>
  <c r="W51" i="3"/>
  <c r="W50" i="3"/>
  <c r="W49" i="3"/>
  <c r="W48" i="3"/>
  <c r="W47" i="3"/>
  <c r="W46" i="3"/>
  <c r="W45" i="3"/>
  <c r="W44" i="3"/>
  <c r="W43" i="3"/>
  <c r="W42" i="3"/>
  <c r="W41" i="3"/>
  <c r="W40" i="3"/>
  <c r="W39" i="3"/>
  <c r="W38" i="3"/>
  <c r="W37" i="3"/>
  <c r="W36" i="3"/>
  <c r="W35" i="3"/>
  <c r="W34" i="3"/>
  <c r="W33" i="3"/>
  <c r="W32" i="3"/>
  <c r="W31" i="3"/>
  <c r="W30" i="3"/>
  <c r="W29" i="3"/>
  <c r="W28" i="3"/>
  <c r="W27" i="3"/>
  <c r="W26" i="3"/>
  <c r="W25" i="3"/>
  <c r="W24" i="3"/>
  <c r="W23" i="3"/>
  <c r="W22" i="3"/>
  <c r="W21" i="3"/>
  <c r="W20" i="3"/>
  <c r="W19" i="3"/>
  <c r="W18" i="3"/>
  <c r="W17" i="3"/>
  <c r="W16" i="3"/>
  <c r="W15" i="3"/>
  <c r="W14" i="3"/>
  <c r="W13" i="3"/>
  <c r="W12" i="3"/>
  <c r="W11" i="3"/>
  <c r="W10" i="3"/>
  <c r="W9" i="3"/>
  <c r="W8" i="3"/>
  <c r="W7" i="3"/>
  <c r="W6" i="3"/>
  <c r="W5" i="3"/>
  <c r="W4" i="3"/>
  <c r="W3" i="3"/>
  <c r="W2" i="3"/>
  <c r="W68" i="3" s="1"/>
  <c r="R67" i="3"/>
  <c r="R66" i="3"/>
  <c r="R65" i="3"/>
  <c r="R64" i="3"/>
  <c r="R63" i="3"/>
  <c r="R62" i="3"/>
  <c r="R61" i="3"/>
  <c r="R60" i="3"/>
  <c r="R59" i="3"/>
  <c r="R58" i="3"/>
  <c r="R57" i="3"/>
  <c r="R56" i="3"/>
  <c r="R55" i="3"/>
  <c r="R54" i="3"/>
  <c r="R53" i="3"/>
  <c r="R52" i="3"/>
  <c r="R51" i="3"/>
  <c r="R50" i="3"/>
  <c r="R49" i="3"/>
  <c r="R48" i="3"/>
  <c r="R47" i="3"/>
  <c r="R46" i="3"/>
  <c r="R45" i="3"/>
  <c r="R44" i="3"/>
  <c r="R43" i="3"/>
  <c r="R42" i="3"/>
  <c r="R41" i="3"/>
  <c r="R40" i="3"/>
  <c r="R39" i="3"/>
  <c r="R38" i="3"/>
  <c r="R37" i="3"/>
  <c r="R36" i="3"/>
  <c r="R35" i="3"/>
  <c r="R34" i="3"/>
  <c r="R33" i="3"/>
  <c r="R32" i="3"/>
  <c r="R31" i="3"/>
  <c r="R30" i="3"/>
  <c r="R29" i="3"/>
  <c r="R28" i="3"/>
  <c r="R27" i="3"/>
  <c r="R26" i="3"/>
  <c r="R25" i="3"/>
  <c r="R24" i="3"/>
  <c r="R23" i="3"/>
  <c r="R22" i="3"/>
  <c r="R21" i="3"/>
  <c r="R20" i="3"/>
  <c r="R19" i="3"/>
  <c r="R18" i="3"/>
  <c r="R17" i="3"/>
  <c r="R16" i="3"/>
  <c r="R15" i="3"/>
  <c r="R14" i="3"/>
  <c r="R13" i="3"/>
  <c r="R12" i="3"/>
  <c r="R11" i="3"/>
  <c r="R10" i="3"/>
  <c r="R9" i="3"/>
  <c r="R8" i="3"/>
  <c r="R7" i="3"/>
  <c r="R6" i="3"/>
  <c r="R5" i="3"/>
  <c r="R4" i="3"/>
  <c r="R3" i="3"/>
  <c r="R2" i="3"/>
  <c r="J67" i="3"/>
  <c r="J66" i="3"/>
  <c r="J65" i="3"/>
  <c r="J64" i="3"/>
  <c r="J63" i="3"/>
  <c r="J62" i="3"/>
  <c r="J61" i="3"/>
  <c r="J60" i="3"/>
  <c r="J59" i="3"/>
  <c r="J58" i="3"/>
  <c r="J57" i="3"/>
  <c r="J56" i="3"/>
  <c r="J55" i="3"/>
  <c r="J54" i="3"/>
  <c r="J53" i="3"/>
  <c r="J52" i="3"/>
  <c r="J51" i="3"/>
  <c r="J50" i="3"/>
  <c r="J49" i="3"/>
  <c r="J48" i="3"/>
  <c r="J47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J4" i="3"/>
  <c r="J3" i="3"/>
  <c r="J2" i="3"/>
  <c r="J68" i="3" s="1"/>
  <c r="BB71" i="5"/>
  <c r="BA71" i="5"/>
  <c r="AW71" i="5"/>
  <c r="AV71" i="5"/>
  <c r="AR71" i="5"/>
  <c r="AQ71" i="5"/>
  <c r="AM71" i="5"/>
  <c r="AL71" i="5"/>
  <c r="AH71" i="5"/>
  <c r="AG71" i="5"/>
  <c r="AF71" i="5"/>
  <c r="AB71" i="5"/>
  <c r="AA71" i="5"/>
  <c r="Z71" i="5"/>
  <c r="V71" i="5"/>
  <c r="U71" i="5"/>
  <c r="Q71" i="5"/>
  <c r="P71" i="5"/>
  <c r="O71" i="5"/>
  <c r="N71" i="5"/>
  <c r="L71" i="5"/>
  <c r="K71" i="5"/>
  <c r="M71" i="5"/>
  <c r="J71" i="5"/>
  <c r="I71" i="5"/>
  <c r="AZ71" i="5"/>
  <c r="H71" i="5"/>
  <c r="G71" i="5"/>
  <c r="BD71" i="5"/>
  <c r="E71" i="5"/>
  <c r="BE70" i="5"/>
  <c r="BD70" i="5"/>
  <c r="BC70" i="5"/>
  <c r="AZ70" i="5"/>
  <c r="AY70" i="5"/>
  <c r="AX70" i="5"/>
  <c r="AU70" i="5"/>
  <c r="AT70" i="5"/>
  <c r="AS70" i="5"/>
  <c r="AP70" i="5"/>
  <c r="AO70" i="5"/>
  <c r="AN70" i="5"/>
  <c r="AK70" i="5"/>
  <c r="AJ70" i="5"/>
  <c r="AI70" i="5"/>
  <c r="AE70" i="5"/>
  <c r="AD70" i="5"/>
  <c r="AC70" i="5"/>
  <c r="Y70" i="5"/>
  <c r="X70" i="5"/>
  <c r="W70" i="5"/>
  <c r="T70" i="5"/>
  <c r="S70" i="5"/>
  <c r="R70" i="5"/>
  <c r="M70" i="5"/>
  <c r="F70" i="5"/>
  <c r="E70" i="5"/>
  <c r="D70" i="5"/>
  <c r="C70" i="5"/>
  <c r="B70" i="5"/>
  <c r="BE69" i="5"/>
  <c r="BD69" i="5"/>
  <c r="BC69" i="5"/>
  <c r="AZ69" i="5"/>
  <c r="AY69" i="5"/>
  <c r="AX69" i="5"/>
  <c r="AU69" i="5"/>
  <c r="AT69" i="5"/>
  <c r="AS69" i="5"/>
  <c r="AP69" i="5"/>
  <c r="AO69" i="5"/>
  <c r="AN69" i="5"/>
  <c r="AK69" i="5"/>
  <c r="AJ69" i="5"/>
  <c r="AI69" i="5"/>
  <c r="AE69" i="5"/>
  <c r="AD69" i="5"/>
  <c r="AC69" i="5"/>
  <c r="Y69" i="5"/>
  <c r="X69" i="5"/>
  <c r="W69" i="5"/>
  <c r="T69" i="5"/>
  <c r="S69" i="5"/>
  <c r="R69" i="5"/>
  <c r="M69" i="5"/>
  <c r="F69" i="5"/>
  <c r="E69" i="5"/>
  <c r="D69" i="5"/>
  <c r="C69" i="5"/>
  <c r="B69" i="5"/>
  <c r="BE68" i="5"/>
  <c r="BD68" i="5"/>
  <c r="BC68" i="5"/>
  <c r="AZ68" i="5"/>
  <c r="AY68" i="5"/>
  <c r="AX68" i="5"/>
  <c r="AU68" i="5"/>
  <c r="AT68" i="5"/>
  <c r="AS68" i="5"/>
  <c r="AP68" i="5"/>
  <c r="AO68" i="5"/>
  <c r="AN68" i="5"/>
  <c r="AK68" i="5"/>
  <c r="AJ68" i="5"/>
  <c r="AI68" i="5"/>
  <c r="AE68" i="5"/>
  <c r="AD68" i="5"/>
  <c r="AC68" i="5"/>
  <c r="Y68" i="5"/>
  <c r="X68" i="5"/>
  <c r="W68" i="5"/>
  <c r="T68" i="5"/>
  <c r="S68" i="5"/>
  <c r="R68" i="5"/>
  <c r="M68" i="5"/>
  <c r="F68" i="5"/>
  <c r="E68" i="5"/>
  <c r="D68" i="5"/>
  <c r="C68" i="5"/>
  <c r="B68" i="5"/>
  <c r="BE67" i="5"/>
  <c r="BD67" i="5"/>
  <c r="BC67" i="5"/>
  <c r="AZ67" i="5"/>
  <c r="AY67" i="5"/>
  <c r="AX67" i="5"/>
  <c r="AU67" i="5"/>
  <c r="AT67" i="5"/>
  <c r="AS67" i="5"/>
  <c r="AP67" i="5"/>
  <c r="AO67" i="5"/>
  <c r="AN67" i="5"/>
  <c r="AK67" i="5"/>
  <c r="AJ67" i="5"/>
  <c r="AI67" i="5"/>
  <c r="AE67" i="5"/>
  <c r="AD67" i="5"/>
  <c r="AC67" i="5"/>
  <c r="Y67" i="5"/>
  <c r="X67" i="5"/>
  <c r="W67" i="5"/>
  <c r="T67" i="5"/>
  <c r="S67" i="5"/>
  <c r="R67" i="5"/>
  <c r="M67" i="5"/>
  <c r="F67" i="5"/>
  <c r="E67" i="5"/>
  <c r="D67" i="5"/>
  <c r="C67" i="5"/>
  <c r="B67" i="5"/>
  <c r="BE66" i="5"/>
  <c r="BD66" i="5"/>
  <c r="BC66" i="5"/>
  <c r="AZ66" i="5"/>
  <c r="AY66" i="5"/>
  <c r="AX66" i="5"/>
  <c r="AU66" i="5"/>
  <c r="AT66" i="5"/>
  <c r="AS66" i="5"/>
  <c r="AP66" i="5"/>
  <c r="AO66" i="5"/>
  <c r="AN66" i="5"/>
  <c r="AK66" i="5"/>
  <c r="AJ66" i="5"/>
  <c r="AI66" i="5"/>
  <c r="AE66" i="5"/>
  <c r="AD66" i="5"/>
  <c r="AC66" i="5"/>
  <c r="Y66" i="5"/>
  <c r="X66" i="5"/>
  <c r="W66" i="5"/>
  <c r="T66" i="5"/>
  <c r="S66" i="5"/>
  <c r="R66" i="5"/>
  <c r="M66" i="5"/>
  <c r="F66" i="5"/>
  <c r="E66" i="5"/>
  <c r="D66" i="5"/>
  <c r="C66" i="5"/>
  <c r="B66" i="5"/>
  <c r="BE65" i="5"/>
  <c r="BD65" i="5"/>
  <c r="BC65" i="5"/>
  <c r="AZ65" i="5"/>
  <c r="AY65" i="5"/>
  <c r="AX65" i="5"/>
  <c r="AU65" i="5"/>
  <c r="AT65" i="5"/>
  <c r="AS65" i="5"/>
  <c r="AP65" i="5"/>
  <c r="AO65" i="5"/>
  <c r="AN65" i="5"/>
  <c r="AK65" i="5"/>
  <c r="AJ65" i="5"/>
  <c r="AI65" i="5"/>
  <c r="AE65" i="5"/>
  <c r="AD65" i="5"/>
  <c r="AC65" i="5"/>
  <c r="Y65" i="5"/>
  <c r="X65" i="5"/>
  <c r="W65" i="5"/>
  <c r="T65" i="5"/>
  <c r="S65" i="5"/>
  <c r="R65" i="5"/>
  <c r="M65" i="5"/>
  <c r="F65" i="5"/>
  <c r="E65" i="5"/>
  <c r="D65" i="5"/>
  <c r="C65" i="5"/>
  <c r="B65" i="5"/>
  <c r="BE64" i="5"/>
  <c r="BD64" i="5"/>
  <c r="BC64" i="5"/>
  <c r="AZ64" i="5"/>
  <c r="AY64" i="5"/>
  <c r="AX64" i="5"/>
  <c r="AU64" i="5"/>
  <c r="AT64" i="5"/>
  <c r="AS64" i="5"/>
  <c r="AP64" i="5"/>
  <c r="AO64" i="5"/>
  <c r="AN64" i="5"/>
  <c r="AK64" i="5"/>
  <c r="AJ64" i="5"/>
  <c r="AI64" i="5"/>
  <c r="AE64" i="5"/>
  <c r="AD64" i="5"/>
  <c r="AC64" i="5"/>
  <c r="Y64" i="5"/>
  <c r="X64" i="5"/>
  <c r="W64" i="5"/>
  <c r="T64" i="5"/>
  <c r="S64" i="5"/>
  <c r="R64" i="5"/>
  <c r="M64" i="5"/>
  <c r="F64" i="5"/>
  <c r="E64" i="5"/>
  <c r="D64" i="5"/>
  <c r="C64" i="5"/>
  <c r="B64" i="5"/>
  <c r="BE63" i="5"/>
  <c r="BD63" i="5"/>
  <c r="BC63" i="5"/>
  <c r="AZ63" i="5"/>
  <c r="AY63" i="5"/>
  <c r="AX63" i="5"/>
  <c r="AU63" i="5"/>
  <c r="AT63" i="5"/>
  <c r="AS63" i="5"/>
  <c r="AP63" i="5"/>
  <c r="AO63" i="5"/>
  <c r="AN63" i="5"/>
  <c r="AK63" i="5"/>
  <c r="AJ63" i="5"/>
  <c r="AI63" i="5"/>
  <c r="AE63" i="5"/>
  <c r="AD63" i="5"/>
  <c r="AC63" i="5"/>
  <c r="Y63" i="5"/>
  <c r="X63" i="5"/>
  <c r="W63" i="5"/>
  <c r="T63" i="5"/>
  <c r="S63" i="5"/>
  <c r="R63" i="5"/>
  <c r="M63" i="5"/>
  <c r="F63" i="5"/>
  <c r="E63" i="5"/>
  <c r="D63" i="5"/>
  <c r="C63" i="5"/>
  <c r="B63" i="5"/>
  <c r="BE62" i="5"/>
  <c r="BD62" i="5"/>
  <c r="BC62" i="5"/>
  <c r="AZ62" i="5"/>
  <c r="AY62" i="5"/>
  <c r="AX62" i="5"/>
  <c r="AU62" i="5"/>
  <c r="AT62" i="5"/>
  <c r="AS62" i="5"/>
  <c r="AP62" i="5"/>
  <c r="AO62" i="5"/>
  <c r="AN62" i="5"/>
  <c r="AK62" i="5"/>
  <c r="AJ62" i="5"/>
  <c r="AI62" i="5"/>
  <c r="AE62" i="5"/>
  <c r="AD62" i="5"/>
  <c r="AC62" i="5"/>
  <c r="Y62" i="5"/>
  <c r="X62" i="5"/>
  <c r="W62" i="5"/>
  <c r="T62" i="5"/>
  <c r="S62" i="5"/>
  <c r="R62" i="5"/>
  <c r="M62" i="5"/>
  <c r="F62" i="5"/>
  <c r="E62" i="5"/>
  <c r="D62" i="5"/>
  <c r="C62" i="5"/>
  <c r="B62" i="5"/>
  <c r="BE61" i="5"/>
  <c r="BD61" i="5"/>
  <c r="BC61" i="5"/>
  <c r="AZ61" i="5"/>
  <c r="AY61" i="5"/>
  <c r="AX61" i="5"/>
  <c r="AU61" i="5"/>
  <c r="AT61" i="5"/>
  <c r="AS61" i="5"/>
  <c r="AP61" i="5"/>
  <c r="AO61" i="5"/>
  <c r="AN61" i="5"/>
  <c r="AK61" i="5"/>
  <c r="AJ61" i="5"/>
  <c r="AI61" i="5"/>
  <c r="AE61" i="5"/>
  <c r="AD61" i="5"/>
  <c r="AC61" i="5"/>
  <c r="Y61" i="5"/>
  <c r="X61" i="5"/>
  <c r="W61" i="5"/>
  <c r="T61" i="5"/>
  <c r="S61" i="5"/>
  <c r="R61" i="5"/>
  <c r="M61" i="5"/>
  <c r="F61" i="5"/>
  <c r="E61" i="5"/>
  <c r="D61" i="5"/>
  <c r="C61" i="5"/>
  <c r="B61" i="5"/>
  <c r="BE60" i="5"/>
  <c r="BD60" i="5"/>
  <c r="BC60" i="5"/>
  <c r="AZ60" i="5"/>
  <c r="AY60" i="5"/>
  <c r="AX60" i="5"/>
  <c r="AU60" i="5"/>
  <c r="AT60" i="5"/>
  <c r="AS60" i="5"/>
  <c r="AP60" i="5"/>
  <c r="AO60" i="5"/>
  <c r="AN60" i="5"/>
  <c r="AK60" i="5"/>
  <c r="AJ60" i="5"/>
  <c r="AI60" i="5"/>
  <c r="AE60" i="5"/>
  <c r="AD60" i="5"/>
  <c r="AC60" i="5"/>
  <c r="Y60" i="5"/>
  <c r="X60" i="5"/>
  <c r="W60" i="5"/>
  <c r="T60" i="5"/>
  <c r="S60" i="5"/>
  <c r="R60" i="5"/>
  <c r="M60" i="5"/>
  <c r="F60" i="5"/>
  <c r="E60" i="5"/>
  <c r="D60" i="5"/>
  <c r="C60" i="5"/>
  <c r="B60" i="5"/>
  <c r="BE59" i="5"/>
  <c r="BD59" i="5"/>
  <c r="BC59" i="5"/>
  <c r="AZ59" i="5"/>
  <c r="AY59" i="5"/>
  <c r="AX59" i="5"/>
  <c r="AU59" i="5"/>
  <c r="AT59" i="5"/>
  <c r="AS59" i="5"/>
  <c r="AP59" i="5"/>
  <c r="AO59" i="5"/>
  <c r="AN59" i="5"/>
  <c r="AK59" i="5"/>
  <c r="AJ59" i="5"/>
  <c r="AI59" i="5"/>
  <c r="AE59" i="5"/>
  <c r="AD59" i="5"/>
  <c r="AC59" i="5"/>
  <c r="Y59" i="5"/>
  <c r="X59" i="5"/>
  <c r="W59" i="5"/>
  <c r="T59" i="5"/>
  <c r="S59" i="5"/>
  <c r="R59" i="5"/>
  <c r="M59" i="5"/>
  <c r="F59" i="5"/>
  <c r="E59" i="5"/>
  <c r="D59" i="5"/>
  <c r="C59" i="5"/>
  <c r="B59" i="5"/>
  <c r="BE58" i="5"/>
  <c r="BD58" i="5"/>
  <c r="BC58" i="5"/>
  <c r="AZ58" i="5"/>
  <c r="AY58" i="5"/>
  <c r="AX58" i="5"/>
  <c r="AU58" i="5"/>
  <c r="AT58" i="5"/>
  <c r="AS58" i="5"/>
  <c r="AP58" i="5"/>
  <c r="AO58" i="5"/>
  <c r="AN58" i="5"/>
  <c r="AK58" i="5"/>
  <c r="AJ58" i="5"/>
  <c r="AI58" i="5"/>
  <c r="AE58" i="5"/>
  <c r="AD58" i="5"/>
  <c r="AC58" i="5"/>
  <c r="Y58" i="5"/>
  <c r="X58" i="5"/>
  <c r="W58" i="5"/>
  <c r="T58" i="5"/>
  <c r="S58" i="5"/>
  <c r="R58" i="5"/>
  <c r="M58" i="5"/>
  <c r="F58" i="5"/>
  <c r="E58" i="5"/>
  <c r="D58" i="5"/>
  <c r="C58" i="5"/>
  <c r="B58" i="5"/>
  <c r="BE57" i="5"/>
  <c r="BD57" i="5"/>
  <c r="BC57" i="5"/>
  <c r="AZ57" i="5"/>
  <c r="AY57" i="5"/>
  <c r="AX57" i="5"/>
  <c r="AU57" i="5"/>
  <c r="AT57" i="5"/>
  <c r="AS57" i="5"/>
  <c r="AP57" i="5"/>
  <c r="AO57" i="5"/>
  <c r="AN57" i="5"/>
  <c r="AK57" i="5"/>
  <c r="AJ57" i="5"/>
  <c r="AI57" i="5"/>
  <c r="AE57" i="5"/>
  <c r="AD57" i="5"/>
  <c r="AC57" i="5"/>
  <c r="Y57" i="5"/>
  <c r="X57" i="5"/>
  <c r="W57" i="5"/>
  <c r="T57" i="5"/>
  <c r="S57" i="5"/>
  <c r="R57" i="5"/>
  <c r="M57" i="5"/>
  <c r="F57" i="5"/>
  <c r="E57" i="5"/>
  <c r="D57" i="5"/>
  <c r="C57" i="5"/>
  <c r="B57" i="5"/>
  <c r="BE56" i="5"/>
  <c r="BD56" i="5"/>
  <c r="BC56" i="5"/>
  <c r="AZ56" i="5"/>
  <c r="AY56" i="5"/>
  <c r="AX56" i="5"/>
  <c r="AU56" i="5"/>
  <c r="AT56" i="5"/>
  <c r="AS56" i="5"/>
  <c r="AP56" i="5"/>
  <c r="AO56" i="5"/>
  <c r="AN56" i="5"/>
  <c r="AK56" i="5"/>
  <c r="AJ56" i="5"/>
  <c r="AI56" i="5"/>
  <c r="AE56" i="5"/>
  <c r="AD56" i="5"/>
  <c r="AC56" i="5"/>
  <c r="Y56" i="5"/>
  <c r="X56" i="5"/>
  <c r="W56" i="5"/>
  <c r="T56" i="5"/>
  <c r="S56" i="5"/>
  <c r="R56" i="5"/>
  <c r="M56" i="5"/>
  <c r="F56" i="5"/>
  <c r="E56" i="5"/>
  <c r="D56" i="5"/>
  <c r="C56" i="5"/>
  <c r="B56" i="5"/>
  <c r="BE55" i="5"/>
  <c r="BD55" i="5"/>
  <c r="BC55" i="5"/>
  <c r="AZ55" i="5"/>
  <c r="AY55" i="5"/>
  <c r="AX55" i="5"/>
  <c r="AU55" i="5"/>
  <c r="AT55" i="5"/>
  <c r="AS55" i="5"/>
  <c r="AP55" i="5"/>
  <c r="AO55" i="5"/>
  <c r="AN55" i="5"/>
  <c r="AK55" i="5"/>
  <c r="AJ55" i="5"/>
  <c r="AI55" i="5"/>
  <c r="AE55" i="5"/>
  <c r="AD55" i="5"/>
  <c r="AC55" i="5"/>
  <c r="Y55" i="5"/>
  <c r="X55" i="5"/>
  <c r="W55" i="5"/>
  <c r="T55" i="5"/>
  <c r="S55" i="5"/>
  <c r="R55" i="5"/>
  <c r="M55" i="5"/>
  <c r="F55" i="5"/>
  <c r="E55" i="5"/>
  <c r="D55" i="5"/>
  <c r="C55" i="5"/>
  <c r="B55" i="5"/>
  <c r="BE54" i="5"/>
  <c r="BD54" i="5"/>
  <c r="BC54" i="5"/>
  <c r="AZ54" i="5"/>
  <c r="AY54" i="5"/>
  <c r="AX54" i="5"/>
  <c r="AU54" i="5"/>
  <c r="AT54" i="5"/>
  <c r="AS54" i="5"/>
  <c r="AP54" i="5"/>
  <c r="AO54" i="5"/>
  <c r="AN54" i="5"/>
  <c r="AK54" i="5"/>
  <c r="AJ54" i="5"/>
  <c r="AI54" i="5"/>
  <c r="AE54" i="5"/>
  <c r="AD54" i="5"/>
  <c r="AC54" i="5"/>
  <c r="Y54" i="5"/>
  <c r="X54" i="5"/>
  <c r="W54" i="5"/>
  <c r="T54" i="5"/>
  <c r="S54" i="5"/>
  <c r="R54" i="5"/>
  <c r="M54" i="5"/>
  <c r="F54" i="5"/>
  <c r="E54" i="5"/>
  <c r="D54" i="5"/>
  <c r="C54" i="5"/>
  <c r="B54" i="5"/>
  <c r="BE53" i="5"/>
  <c r="BD53" i="5"/>
  <c r="BC53" i="5"/>
  <c r="AZ53" i="5"/>
  <c r="AY53" i="5"/>
  <c r="AX53" i="5"/>
  <c r="AU53" i="5"/>
  <c r="AT53" i="5"/>
  <c r="AS53" i="5"/>
  <c r="AP53" i="5"/>
  <c r="AO53" i="5"/>
  <c r="AN53" i="5"/>
  <c r="AK53" i="5"/>
  <c r="AJ53" i="5"/>
  <c r="AI53" i="5"/>
  <c r="AE53" i="5"/>
  <c r="AD53" i="5"/>
  <c r="AC53" i="5"/>
  <c r="Y53" i="5"/>
  <c r="X53" i="5"/>
  <c r="W53" i="5"/>
  <c r="T53" i="5"/>
  <c r="S53" i="5"/>
  <c r="R53" i="5"/>
  <c r="M53" i="5"/>
  <c r="F53" i="5"/>
  <c r="E53" i="5"/>
  <c r="D53" i="5"/>
  <c r="C53" i="5"/>
  <c r="B53" i="5"/>
  <c r="BE52" i="5"/>
  <c r="BD52" i="5"/>
  <c r="BC52" i="5"/>
  <c r="AZ52" i="5"/>
  <c r="AY52" i="5"/>
  <c r="AX52" i="5"/>
  <c r="AU52" i="5"/>
  <c r="AT52" i="5"/>
  <c r="AS52" i="5"/>
  <c r="AP52" i="5"/>
  <c r="AO52" i="5"/>
  <c r="AN52" i="5"/>
  <c r="AK52" i="5"/>
  <c r="AJ52" i="5"/>
  <c r="AI52" i="5"/>
  <c r="AE52" i="5"/>
  <c r="AD52" i="5"/>
  <c r="AC52" i="5"/>
  <c r="Y52" i="5"/>
  <c r="X52" i="5"/>
  <c r="W52" i="5"/>
  <c r="T52" i="5"/>
  <c r="S52" i="5"/>
  <c r="R52" i="5"/>
  <c r="M52" i="5"/>
  <c r="F52" i="5"/>
  <c r="E52" i="5"/>
  <c r="D52" i="5"/>
  <c r="C52" i="5"/>
  <c r="B52" i="5"/>
  <c r="BE51" i="5"/>
  <c r="BD51" i="5"/>
  <c r="BC51" i="5"/>
  <c r="AZ51" i="5"/>
  <c r="AY51" i="5"/>
  <c r="AX51" i="5"/>
  <c r="AU51" i="5"/>
  <c r="AT51" i="5"/>
  <c r="AS51" i="5"/>
  <c r="AP51" i="5"/>
  <c r="AO51" i="5"/>
  <c r="AN51" i="5"/>
  <c r="AK51" i="5"/>
  <c r="AJ51" i="5"/>
  <c r="AI51" i="5"/>
  <c r="AE51" i="5"/>
  <c r="AD51" i="5"/>
  <c r="AC51" i="5"/>
  <c r="Y51" i="5"/>
  <c r="X51" i="5"/>
  <c r="W51" i="5"/>
  <c r="T51" i="5"/>
  <c r="S51" i="5"/>
  <c r="R51" i="5"/>
  <c r="M51" i="5"/>
  <c r="F51" i="5"/>
  <c r="E51" i="5"/>
  <c r="D51" i="5"/>
  <c r="C51" i="5"/>
  <c r="B51" i="5"/>
  <c r="BE50" i="5"/>
  <c r="BD50" i="5"/>
  <c r="BC50" i="5"/>
  <c r="AZ50" i="5"/>
  <c r="AY50" i="5"/>
  <c r="AX50" i="5"/>
  <c r="AU50" i="5"/>
  <c r="AT50" i="5"/>
  <c r="AS50" i="5"/>
  <c r="AP50" i="5"/>
  <c r="AO50" i="5"/>
  <c r="AN50" i="5"/>
  <c r="AK50" i="5"/>
  <c r="AJ50" i="5"/>
  <c r="AI50" i="5"/>
  <c r="AE50" i="5"/>
  <c r="AD50" i="5"/>
  <c r="AC50" i="5"/>
  <c r="Y50" i="5"/>
  <c r="X50" i="5"/>
  <c r="W50" i="5"/>
  <c r="T50" i="5"/>
  <c r="S50" i="5"/>
  <c r="R50" i="5"/>
  <c r="M50" i="5"/>
  <c r="F50" i="5"/>
  <c r="E50" i="5"/>
  <c r="D50" i="5"/>
  <c r="C50" i="5"/>
  <c r="B50" i="5"/>
  <c r="BE49" i="5"/>
  <c r="BD49" i="5"/>
  <c r="BC49" i="5"/>
  <c r="AZ49" i="5"/>
  <c r="AY49" i="5"/>
  <c r="AX49" i="5"/>
  <c r="AU49" i="5"/>
  <c r="AT49" i="5"/>
  <c r="AS49" i="5"/>
  <c r="AP49" i="5"/>
  <c r="AO49" i="5"/>
  <c r="AN49" i="5"/>
  <c r="AK49" i="5"/>
  <c r="AJ49" i="5"/>
  <c r="AI49" i="5"/>
  <c r="AE49" i="5"/>
  <c r="AD49" i="5"/>
  <c r="AC49" i="5"/>
  <c r="Y49" i="5"/>
  <c r="X49" i="5"/>
  <c r="W49" i="5"/>
  <c r="T49" i="5"/>
  <c r="S49" i="5"/>
  <c r="R49" i="5"/>
  <c r="M49" i="5"/>
  <c r="F49" i="5"/>
  <c r="E49" i="5"/>
  <c r="D49" i="5"/>
  <c r="C49" i="5"/>
  <c r="B49" i="5"/>
  <c r="BE48" i="5"/>
  <c r="BD48" i="5"/>
  <c r="BC48" i="5"/>
  <c r="AZ48" i="5"/>
  <c r="AY48" i="5"/>
  <c r="AX48" i="5"/>
  <c r="AU48" i="5"/>
  <c r="AT48" i="5"/>
  <c r="AS48" i="5"/>
  <c r="AP48" i="5"/>
  <c r="AO48" i="5"/>
  <c r="AN48" i="5"/>
  <c r="AK48" i="5"/>
  <c r="AJ48" i="5"/>
  <c r="AI48" i="5"/>
  <c r="AE48" i="5"/>
  <c r="AD48" i="5"/>
  <c r="AC48" i="5"/>
  <c r="Y48" i="5"/>
  <c r="X48" i="5"/>
  <c r="W48" i="5"/>
  <c r="T48" i="5"/>
  <c r="S48" i="5"/>
  <c r="R48" i="5"/>
  <c r="M48" i="5"/>
  <c r="F48" i="5"/>
  <c r="E48" i="5"/>
  <c r="D48" i="5"/>
  <c r="C48" i="5"/>
  <c r="B48" i="5"/>
  <c r="BE47" i="5"/>
  <c r="BD47" i="5"/>
  <c r="BC47" i="5"/>
  <c r="AZ47" i="5"/>
  <c r="AY47" i="5"/>
  <c r="AX47" i="5"/>
  <c r="AU47" i="5"/>
  <c r="AT47" i="5"/>
  <c r="AS47" i="5"/>
  <c r="AP47" i="5"/>
  <c r="AO47" i="5"/>
  <c r="AN47" i="5"/>
  <c r="AK47" i="5"/>
  <c r="AJ47" i="5"/>
  <c r="AI47" i="5"/>
  <c r="AE47" i="5"/>
  <c r="AD47" i="5"/>
  <c r="AC47" i="5"/>
  <c r="Y47" i="5"/>
  <c r="X47" i="5"/>
  <c r="W47" i="5"/>
  <c r="T47" i="5"/>
  <c r="S47" i="5"/>
  <c r="R47" i="5"/>
  <c r="M47" i="5"/>
  <c r="F47" i="5"/>
  <c r="E47" i="5"/>
  <c r="D47" i="5"/>
  <c r="C47" i="5"/>
  <c r="B47" i="5"/>
  <c r="BE46" i="5"/>
  <c r="BD46" i="5"/>
  <c r="BC46" i="5"/>
  <c r="AZ46" i="5"/>
  <c r="AY46" i="5"/>
  <c r="AX46" i="5"/>
  <c r="AU46" i="5"/>
  <c r="AT46" i="5"/>
  <c r="AS46" i="5"/>
  <c r="AP46" i="5"/>
  <c r="AO46" i="5"/>
  <c r="AN46" i="5"/>
  <c r="AK46" i="5"/>
  <c r="AJ46" i="5"/>
  <c r="AI46" i="5"/>
  <c r="AE46" i="5"/>
  <c r="AD46" i="5"/>
  <c r="AC46" i="5"/>
  <c r="Y46" i="5"/>
  <c r="X46" i="5"/>
  <c r="W46" i="5"/>
  <c r="T46" i="5"/>
  <c r="S46" i="5"/>
  <c r="R46" i="5"/>
  <c r="M46" i="5"/>
  <c r="F46" i="5"/>
  <c r="E46" i="5"/>
  <c r="D46" i="5"/>
  <c r="C46" i="5"/>
  <c r="B46" i="5"/>
  <c r="BE45" i="5"/>
  <c r="BD45" i="5"/>
  <c r="BC45" i="5"/>
  <c r="AZ45" i="5"/>
  <c r="AY45" i="5"/>
  <c r="AX45" i="5"/>
  <c r="AU45" i="5"/>
  <c r="AT45" i="5"/>
  <c r="AS45" i="5"/>
  <c r="AP45" i="5"/>
  <c r="AO45" i="5"/>
  <c r="AN45" i="5"/>
  <c r="AK45" i="5"/>
  <c r="AJ45" i="5"/>
  <c r="AI45" i="5"/>
  <c r="AE45" i="5"/>
  <c r="AD45" i="5"/>
  <c r="AC45" i="5"/>
  <c r="Y45" i="5"/>
  <c r="X45" i="5"/>
  <c r="W45" i="5"/>
  <c r="T45" i="5"/>
  <c r="S45" i="5"/>
  <c r="R45" i="5"/>
  <c r="M45" i="5"/>
  <c r="F45" i="5"/>
  <c r="E45" i="5"/>
  <c r="D45" i="5"/>
  <c r="C45" i="5"/>
  <c r="B45" i="5"/>
  <c r="BE44" i="5"/>
  <c r="BD44" i="5"/>
  <c r="BC44" i="5"/>
  <c r="AZ44" i="5"/>
  <c r="AY44" i="5"/>
  <c r="AX44" i="5"/>
  <c r="AU44" i="5"/>
  <c r="AT44" i="5"/>
  <c r="AS44" i="5"/>
  <c r="AP44" i="5"/>
  <c r="AO44" i="5"/>
  <c r="AN44" i="5"/>
  <c r="AK44" i="5"/>
  <c r="AJ44" i="5"/>
  <c r="AI44" i="5"/>
  <c r="AE44" i="5"/>
  <c r="AD44" i="5"/>
  <c r="AC44" i="5"/>
  <c r="Y44" i="5"/>
  <c r="X44" i="5"/>
  <c r="W44" i="5"/>
  <c r="T44" i="5"/>
  <c r="S44" i="5"/>
  <c r="R44" i="5"/>
  <c r="M44" i="5"/>
  <c r="F44" i="5"/>
  <c r="E44" i="5"/>
  <c r="D44" i="5"/>
  <c r="C44" i="5"/>
  <c r="B44" i="5"/>
  <c r="BE43" i="5"/>
  <c r="BD43" i="5"/>
  <c r="BC43" i="5"/>
  <c r="AZ43" i="5"/>
  <c r="AY43" i="5"/>
  <c r="AX43" i="5"/>
  <c r="AU43" i="5"/>
  <c r="AT43" i="5"/>
  <c r="AS43" i="5"/>
  <c r="AP43" i="5"/>
  <c r="AO43" i="5"/>
  <c r="AN43" i="5"/>
  <c r="AK43" i="5"/>
  <c r="AJ43" i="5"/>
  <c r="AI43" i="5"/>
  <c r="AE43" i="5"/>
  <c r="AD43" i="5"/>
  <c r="AC43" i="5"/>
  <c r="Y43" i="5"/>
  <c r="X43" i="5"/>
  <c r="W43" i="5"/>
  <c r="T43" i="5"/>
  <c r="S43" i="5"/>
  <c r="R43" i="5"/>
  <c r="M43" i="5"/>
  <c r="F43" i="5"/>
  <c r="E43" i="5"/>
  <c r="D43" i="5"/>
  <c r="C43" i="5"/>
  <c r="B43" i="5"/>
  <c r="BE42" i="5"/>
  <c r="BD42" i="5"/>
  <c r="BC42" i="5"/>
  <c r="AZ42" i="5"/>
  <c r="AY42" i="5"/>
  <c r="AX42" i="5"/>
  <c r="AU42" i="5"/>
  <c r="AT42" i="5"/>
  <c r="AS42" i="5"/>
  <c r="AP42" i="5"/>
  <c r="AO42" i="5"/>
  <c r="AN42" i="5"/>
  <c r="AK42" i="5"/>
  <c r="AJ42" i="5"/>
  <c r="AI42" i="5"/>
  <c r="AE42" i="5"/>
  <c r="AD42" i="5"/>
  <c r="AC42" i="5"/>
  <c r="Y42" i="5"/>
  <c r="X42" i="5"/>
  <c r="W42" i="5"/>
  <c r="T42" i="5"/>
  <c r="S42" i="5"/>
  <c r="R42" i="5"/>
  <c r="M42" i="5"/>
  <c r="F42" i="5"/>
  <c r="E42" i="5"/>
  <c r="D42" i="5"/>
  <c r="C42" i="5"/>
  <c r="B42" i="5"/>
  <c r="BE41" i="5"/>
  <c r="BD41" i="5"/>
  <c r="BC41" i="5"/>
  <c r="AZ41" i="5"/>
  <c r="AY41" i="5"/>
  <c r="AX41" i="5"/>
  <c r="AU41" i="5"/>
  <c r="AT41" i="5"/>
  <c r="AS41" i="5"/>
  <c r="AP41" i="5"/>
  <c r="AO41" i="5"/>
  <c r="AN41" i="5"/>
  <c r="AK41" i="5"/>
  <c r="AJ41" i="5"/>
  <c r="AI41" i="5"/>
  <c r="AE41" i="5"/>
  <c r="AD41" i="5"/>
  <c r="AC41" i="5"/>
  <c r="Y41" i="5"/>
  <c r="X41" i="5"/>
  <c r="W41" i="5"/>
  <c r="T41" i="5"/>
  <c r="S41" i="5"/>
  <c r="R41" i="5"/>
  <c r="M41" i="5"/>
  <c r="F41" i="5"/>
  <c r="E41" i="5"/>
  <c r="D41" i="5"/>
  <c r="C41" i="5"/>
  <c r="B41" i="5"/>
  <c r="BE40" i="5"/>
  <c r="BD40" i="5"/>
  <c r="BC40" i="5"/>
  <c r="AZ40" i="5"/>
  <c r="AY40" i="5"/>
  <c r="AX40" i="5"/>
  <c r="AU40" i="5"/>
  <c r="AT40" i="5"/>
  <c r="AS40" i="5"/>
  <c r="AP40" i="5"/>
  <c r="AO40" i="5"/>
  <c r="AN40" i="5"/>
  <c r="AK40" i="5"/>
  <c r="AJ40" i="5"/>
  <c r="AI40" i="5"/>
  <c r="AE40" i="5"/>
  <c r="AD40" i="5"/>
  <c r="AC40" i="5"/>
  <c r="Y40" i="5"/>
  <c r="X40" i="5"/>
  <c r="W40" i="5"/>
  <c r="T40" i="5"/>
  <c r="S40" i="5"/>
  <c r="R40" i="5"/>
  <c r="M40" i="5"/>
  <c r="F40" i="5"/>
  <c r="E40" i="5"/>
  <c r="D40" i="5"/>
  <c r="C40" i="5"/>
  <c r="B40" i="5"/>
  <c r="BE39" i="5"/>
  <c r="BD39" i="5"/>
  <c r="BC39" i="5"/>
  <c r="AZ39" i="5"/>
  <c r="AY39" i="5"/>
  <c r="AX39" i="5"/>
  <c r="AU39" i="5"/>
  <c r="AT39" i="5"/>
  <c r="AS39" i="5"/>
  <c r="AP39" i="5"/>
  <c r="AO39" i="5"/>
  <c r="AN39" i="5"/>
  <c r="AK39" i="5"/>
  <c r="AJ39" i="5"/>
  <c r="AI39" i="5"/>
  <c r="AE39" i="5"/>
  <c r="AD39" i="5"/>
  <c r="AC39" i="5"/>
  <c r="Y39" i="5"/>
  <c r="X39" i="5"/>
  <c r="W39" i="5"/>
  <c r="T39" i="5"/>
  <c r="S39" i="5"/>
  <c r="R39" i="5"/>
  <c r="M39" i="5"/>
  <c r="F39" i="5"/>
  <c r="E39" i="5"/>
  <c r="D39" i="5"/>
  <c r="C39" i="5"/>
  <c r="B39" i="5"/>
  <c r="BE38" i="5"/>
  <c r="BD38" i="5"/>
  <c r="BC38" i="5"/>
  <c r="AZ38" i="5"/>
  <c r="AY38" i="5"/>
  <c r="AX38" i="5"/>
  <c r="AU38" i="5"/>
  <c r="AT38" i="5"/>
  <c r="AS38" i="5"/>
  <c r="AP38" i="5"/>
  <c r="AO38" i="5"/>
  <c r="AN38" i="5"/>
  <c r="AK38" i="5"/>
  <c r="AJ38" i="5"/>
  <c r="AI38" i="5"/>
  <c r="AE38" i="5"/>
  <c r="AD38" i="5"/>
  <c r="AC38" i="5"/>
  <c r="Y38" i="5"/>
  <c r="X38" i="5"/>
  <c r="W38" i="5"/>
  <c r="T38" i="5"/>
  <c r="S38" i="5"/>
  <c r="R38" i="5"/>
  <c r="M38" i="5"/>
  <c r="F38" i="5"/>
  <c r="E38" i="5"/>
  <c r="D38" i="5"/>
  <c r="C38" i="5"/>
  <c r="B38" i="5"/>
  <c r="BE37" i="5"/>
  <c r="BD37" i="5"/>
  <c r="BC37" i="5"/>
  <c r="AZ37" i="5"/>
  <c r="AY37" i="5"/>
  <c r="AX37" i="5"/>
  <c r="AU37" i="5"/>
  <c r="AT37" i="5"/>
  <c r="AS37" i="5"/>
  <c r="AP37" i="5"/>
  <c r="AO37" i="5"/>
  <c r="AN37" i="5"/>
  <c r="AK37" i="5"/>
  <c r="AJ37" i="5"/>
  <c r="AI37" i="5"/>
  <c r="AE37" i="5"/>
  <c r="AD37" i="5"/>
  <c r="AC37" i="5"/>
  <c r="Y37" i="5"/>
  <c r="X37" i="5"/>
  <c r="W37" i="5"/>
  <c r="T37" i="5"/>
  <c r="S37" i="5"/>
  <c r="R37" i="5"/>
  <c r="M37" i="5"/>
  <c r="F37" i="5"/>
  <c r="E37" i="5"/>
  <c r="D37" i="5"/>
  <c r="C37" i="5"/>
  <c r="B37" i="5"/>
  <c r="BE36" i="5"/>
  <c r="BD36" i="5"/>
  <c r="BC36" i="5"/>
  <c r="AZ36" i="5"/>
  <c r="AY36" i="5"/>
  <c r="AX36" i="5"/>
  <c r="AU36" i="5"/>
  <c r="AT36" i="5"/>
  <c r="AS36" i="5"/>
  <c r="AP36" i="5"/>
  <c r="AO36" i="5"/>
  <c r="AN36" i="5"/>
  <c r="AK36" i="5"/>
  <c r="AJ36" i="5"/>
  <c r="AI36" i="5"/>
  <c r="AE36" i="5"/>
  <c r="AD36" i="5"/>
  <c r="AC36" i="5"/>
  <c r="Y36" i="5"/>
  <c r="X36" i="5"/>
  <c r="W36" i="5"/>
  <c r="T36" i="5"/>
  <c r="S36" i="5"/>
  <c r="R36" i="5"/>
  <c r="M36" i="5"/>
  <c r="F36" i="5"/>
  <c r="E36" i="5"/>
  <c r="D36" i="5"/>
  <c r="C36" i="5"/>
  <c r="B36" i="5"/>
  <c r="BE35" i="5"/>
  <c r="BD35" i="5"/>
  <c r="BC35" i="5"/>
  <c r="AZ35" i="5"/>
  <c r="AY35" i="5"/>
  <c r="AX35" i="5"/>
  <c r="AU35" i="5"/>
  <c r="AT35" i="5"/>
  <c r="AS35" i="5"/>
  <c r="AP35" i="5"/>
  <c r="AO35" i="5"/>
  <c r="AN35" i="5"/>
  <c r="AK35" i="5"/>
  <c r="AJ35" i="5"/>
  <c r="AI35" i="5"/>
  <c r="AE35" i="5"/>
  <c r="AD35" i="5"/>
  <c r="AC35" i="5"/>
  <c r="Y35" i="5"/>
  <c r="X35" i="5"/>
  <c r="W35" i="5"/>
  <c r="T35" i="5"/>
  <c r="S35" i="5"/>
  <c r="R35" i="5"/>
  <c r="M35" i="5"/>
  <c r="F35" i="5"/>
  <c r="E35" i="5"/>
  <c r="D35" i="5"/>
  <c r="C35" i="5"/>
  <c r="B35" i="5"/>
  <c r="BE34" i="5"/>
  <c r="BD34" i="5"/>
  <c r="BC34" i="5"/>
  <c r="AZ34" i="5"/>
  <c r="AY34" i="5"/>
  <c r="AX34" i="5"/>
  <c r="AU34" i="5"/>
  <c r="AT34" i="5"/>
  <c r="AS34" i="5"/>
  <c r="AP34" i="5"/>
  <c r="AO34" i="5"/>
  <c r="AN34" i="5"/>
  <c r="AK34" i="5"/>
  <c r="AJ34" i="5"/>
  <c r="AI34" i="5"/>
  <c r="AE34" i="5"/>
  <c r="AD34" i="5"/>
  <c r="AC34" i="5"/>
  <c r="Y34" i="5"/>
  <c r="X34" i="5"/>
  <c r="W34" i="5"/>
  <c r="T34" i="5"/>
  <c r="S34" i="5"/>
  <c r="R34" i="5"/>
  <c r="M34" i="5"/>
  <c r="F34" i="5"/>
  <c r="E34" i="5"/>
  <c r="D34" i="5"/>
  <c r="C34" i="5"/>
  <c r="B34" i="5"/>
  <c r="BE33" i="5"/>
  <c r="BD33" i="5"/>
  <c r="BC33" i="5"/>
  <c r="AZ33" i="5"/>
  <c r="AY33" i="5"/>
  <c r="AX33" i="5"/>
  <c r="AU33" i="5"/>
  <c r="AT33" i="5"/>
  <c r="AS33" i="5"/>
  <c r="AP33" i="5"/>
  <c r="AO33" i="5"/>
  <c r="AN33" i="5"/>
  <c r="AK33" i="5"/>
  <c r="AJ33" i="5"/>
  <c r="AI33" i="5"/>
  <c r="AE33" i="5"/>
  <c r="AD33" i="5"/>
  <c r="AC33" i="5"/>
  <c r="Y33" i="5"/>
  <c r="X33" i="5"/>
  <c r="W33" i="5"/>
  <c r="T33" i="5"/>
  <c r="S33" i="5"/>
  <c r="R33" i="5"/>
  <c r="M33" i="5"/>
  <c r="F33" i="5"/>
  <c r="E33" i="5"/>
  <c r="D33" i="5"/>
  <c r="C33" i="5"/>
  <c r="B33" i="5"/>
  <c r="BE32" i="5"/>
  <c r="BD32" i="5"/>
  <c r="BC32" i="5"/>
  <c r="AZ32" i="5"/>
  <c r="AY32" i="5"/>
  <c r="AX32" i="5"/>
  <c r="AU32" i="5"/>
  <c r="AT32" i="5"/>
  <c r="AS32" i="5"/>
  <c r="AP32" i="5"/>
  <c r="AO32" i="5"/>
  <c r="AN32" i="5"/>
  <c r="AK32" i="5"/>
  <c r="AJ32" i="5"/>
  <c r="AI32" i="5"/>
  <c r="AE32" i="5"/>
  <c r="AD32" i="5"/>
  <c r="AC32" i="5"/>
  <c r="Y32" i="5"/>
  <c r="X32" i="5"/>
  <c r="W32" i="5"/>
  <c r="T32" i="5"/>
  <c r="S32" i="5"/>
  <c r="R32" i="5"/>
  <c r="M32" i="5"/>
  <c r="F32" i="5"/>
  <c r="E32" i="5"/>
  <c r="D32" i="5"/>
  <c r="C32" i="5"/>
  <c r="B32" i="5"/>
  <c r="BE31" i="5"/>
  <c r="BD31" i="5"/>
  <c r="BC31" i="5"/>
  <c r="AZ31" i="5"/>
  <c r="AY31" i="5"/>
  <c r="AX31" i="5"/>
  <c r="AU31" i="5"/>
  <c r="AT31" i="5"/>
  <c r="AS31" i="5"/>
  <c r="AP31" i="5"/>
  <c r="AO31" i="5"/>
  <c r="AN31" i="5"/>
  <c r="AK31" i="5"/>
  <c r="AJ31" i="5"/>
  <c r="AI31" i="5"/>
  <c r="AE31" i="5"/>
  <c r="AD31" i="5"/>
  <c r="AC31" i="5"/>
  <c r="Y31" i="5"/>
  <c r="X31" i="5"/>
  <c r="W31" i="5"/>
  <c r="T31" i="5"/>
  <c r="S31" i="5"/>
  <c r="R31" i="5"/>
  <c r="M31" i="5"/>
  <c r="F31" i="5"/>
  <c r="E31" i="5"/>
  <c r="D31" i="5"/>
  <c r="C31" i="5"/>
  <c r="B31" i="5"/>
  <c r="BE30" i="5"/>
  <c r="BD30" i="5"/>
  <c r="BC30" i="5"/>
  <c r="AZ30" i="5"/>
  <c r="AY30" i="5"/>
  <c r="AX30" i="5"/>
  <c r="AU30" i="5"/>
  <c r="AT30" i="5"/>
  <c r="AS30" i="5"/>
  <c r="AP30" i="5"/>
  <c r="AO30" i="5"/>
  <c r="AN30" i="5"/>
  <c r="AK30" i="5"/>
  <c r="AJ30" i="5"/>
  <c r="AI30" i="5"/>
  <c r="AE30" i="5"/>
  <c r="AD30" i="5"/>
  <c r="AC30" i="5"/>
  <c r="Y30" i="5"/>
  <c r="X30" i="5"/>
  <c r="W30" i="5"/>
  <c r="T30" i="5"/>
  <c r="S30" i="5"/>
  <c r="R30" i="5"/>
  <c r="M30" i="5"/>
  <c r="F30" i="5"/>
  <c r="E30" i="5"/>
  <c r="D30" i="5"/>
  <c r="C30" i="5"/>
  <c r="B30" i="5"/>
  <c r="BE29" i="5"/>
  <c r="BD29" i="5"/>
  <c r="BC29" i="5"/>
  <c r="AZ29" i="5"/>
  <c r="AY29" i="5"/>
  <c r="AX29" i="5"/>
  <c r="AU29" i="5"/>
  <c r="AT29" i="5"/>
  <c r="AS29" i="5"/>
  <c r="AP29" i="5"/>
  <c r="AO29" i="5"/>
  <c r="AN29" i="5"/>
  <c r="AK29" i="5"/>
  <c r="AJ29" i="5"/>
  <c r="AI29" i="5"/>
  <c r="AE29" i="5"/>
  <c r="AD29" i="5"/>
  <c r="AC29" i="5"/>
  <c r="Y29" i="5"/>
  <c r="X29" i="5"/>
  <c r="W29" i="5"/>
  <c r="T29" i="5"/>
  <c r="S29" i="5"/>
  <c r="R29" i="5"/>
  <c r="M29" i="5"/>
  <c r="F29" i="5"/>
  <c r="E29" i="5"/>
  <c r="D29" i="5"/>
  <c r="C29" i="5"/>
  <c r="B29" i="5"/>
  <c r="BE28" i="5"/>
  <c r="BD28" i="5"/>
  <c r="BC28" i="5"/>
  <c r="AZ28" i="5"/>
  <c r="AY28" i="5"/>
  <c r="AX28" i="5"/>
  <c r="AU28" i="5"/>
  <c r="AT28" i="5"/>
  <c r="AS28" i="5"/>
  <c r="AP28" i="5"/>
  <c r="AO28" i="5"/>
  <c r="AN28" i="5"/>
  <c r="AK28" i="5"/>
  <c r="AJ28" i="5"/>
  <c r="AI28" i="5"/>
  <c r="AE28" i="5"/>
  <c r="AD28" i="5"/>
  <c r="AC28" i="5"/>
  <c r="Y28" i="5"/>
  <c r="X28" i="5"/>
  <c r="W28" i="5"/>
  <c r="T28" i="5"/>
  <c r="S28" i="5"/>
  <c r="R28" i="5"/>
  <c r="M28" i="5"/>
  <c r="F28" i="5"/>
  <c r="E28" i="5"/>
  <c r="D28" i="5"/>
  <c r="C28" i="5"/>
  <c r="B28" i="5"/>
  <c r="BE27" i="5"/>
  <c r="BD27" i="5"/>
  <c r="BC27" i="5"/>
  <c r="AZ27" i="5"/>
  <c r="AY27" i="5"/>
  <c r="AX27" i="5"/>
  <c r="AU27" i="5"/>
  <c r="AT27" i="5"/>
  <c r="AS27" i="5"/>
  <c r="AP27" i="5"/>
  <c r="AO27" i="5"/>
  <c r="AN27" i="5"/>
  <c r="AK27" i="5"/>
  <c r="AJ27" i="5"/>
  <c r="AI27" i="5"/>
  <c r="AE27" i="5"/>
  <c r="AD27" i="5"/>
  <c r="AC27" i="5"/>
  <c r="Y27" i="5"/>
  <c r="X27" i="5"/>
  <c r="W27" i="5"/>
  <c r="T27" i="5"/>
  <c r="S27" i="5"/>
  <c r="R27" i="5"/>
  <c r="M27" i="5"/>
  <c r="F27" i="5"/>
  <c r="E27" i="5"/>
  <c r="D27" i="5"/>
  <c r="C27" i="5"/>
  <c r="B27" i="5"/>
  <c r="BE26" i="5"/>
  <c r="BD26" i="5"/>
  <c r="BC26" i="5"/>
  <c r="AZ26" i="5"/>
  <c r="AY26" i="5"/>
  <c r="AX26" i="5"/>
  <c r="AU26" i="5"/>
  <c r="AT26" i="5"/>
  <c r="AS26" i="5"/>
  <c r="AP26" i="5"/>
  <c r="AO26" i="5"/>
  <c r="AN26" i="5"/>
  <c r="AK26" i="5"/>
  <c r="AJ26" i="5"/>
  <c r="AI26" i="5"/>
  <c r="AE26" i="5"/>
  <c r="AD26" i="5"/>
  <c r="AC26" i="5"/>
  <c r="Y26" i="5"/>
  <c r="X26" i="5"/>
  <c r="W26" i="5"/>
  <c r="T26" i="5"/>
  <c r="S26" i="5"/>
  <c r="R26" i="5"/>
  <c r="M26" i="5"/>
  <c r="F26" i="5"/>
  <c r="E26" i="5"/>
  <c r="D26" i="5"/>
  <c r="C26" i="5"/>
  <c r="B26" i="5"/>
  <c r="BE25" i="5"/>
  <c r="BD25" i="5"/>
  <c r="BC25" i="5"/>
  <c r="AZ25" i="5"/>
  <c r="AY25" i="5"/>
  <c r="AX25" i="5"/>
  <c r="AU25" i="5"/>
  <c r="AT25" i="5"/>
  <c r="AS25" i="5"/>
  <c r="AP25" i="5"/>
  <c r="AO25" i="5"/>
  <c r="AN25" i="5"/>
  <c r="AK25" i="5"/>
  <c r="AJ25" i="5"/>
  <c r="AI25" i="5"/>
  <c r="AE25" i="5"/>
  <c r="AD25" i="5"/>
  <c r="AC25" i="5"/>
  <c r="Y25" i="5"/>
  <c r="X25" i="5"/>
  <c r="W25" i="5"/>
  <c r="T25" i="5"/>
  <c r="S25" i="5"/>
  <c r="R25" i="5"/>
  <c r="M25" i="5"/>
  <c r="F25" i="5"/>
  <c r="E25" i="5"/>
  <c r="D25" i="5"/>
  <c r="C25" i="5"/>
  <c r="B25" i="5"/>
  <c r="BE24" i="5"/>
  <c r="BD24" i="5"/>
  <c r="BC24" i="5"/>
  <c r="AZ24" i="5"/>
  <c r="AY24" i="5"/>
  <c r="AX24" i="5"/>
  <c r="AU24" i="5"/>
  <c r="AT24" i="5"/>
  <c r="AS24" i="5"/>
  <c r="AP24" i="5"/>
  <c r="AO24" i="5"/>
  <c r="AN24" i="5"/>
  <c r="AK24" i="5"/>
  <c r="AJ24" i="5"/>
  <c r="AI24" i="5"/>
  <c r="AE24" i="5"/>
  <c r="AD24" i="5"/>
  <c r="AC24" i="5"/>
  <c r="Y24" i="5"/>
  <c r="X24" i="5"/>
  <c r="W24" i="5"/>
  <c r="T24" i="5"/>
  <c r="S24" i="5"/>
  <c r="R24" i="5"/>
  <c r="M24" i="5"/>
  <c r="F24" i="5"/>
  <c r="E24" i="5"/>
  <c r="D24" i="5"/>
  <c r="C24" i="5"/>
  <c r="B24" i="5"/>
  <c r="BE23" i="5"/>
  <c r="BD23" i="5"/>
  <c r="BC23" i="5"/>
  <c r="AZ23" i="5"/>
  <c r="AY23" i="5"/>
  <c r="AX23" i="5"/>
  <c r="AU23" i="5"/>
  <c r="AT23" i="5"/>
  <c r="AS23" i="5"/>
  <c r="AP23" i="5"/>
  <c r="AO23" i="5"/>
  <c r="AN23" i="5"/>
  <c r="AK23" i="5"/>
  <c r="AJ23" i="5"/>
  <c r="AI23" i="5"/>
  <c r="AE23" i="5"/>
  <c r="AD23" i="5"/>
  <c r="AC23" i="5"/>
  <c r="Y23" i="5"/>
  <c r="X23" i="5"/>
  <c r="W23" i="5"/>
  <c r="T23" i="5"/>
  <c r="S23" i="5"/>
  <c r="R23" i="5"/>
  <c r="M23" i="5"/>
  <c r="F23" i="5"/>
  <c r="E23" i="5"/>
  <c r="D23" i="5"/>
  <c r="C23" i="5"/>
  <c r="B23" i="5"/>
  <c r="BE22" i="5"/>
  <c r="BD22" i="5"/>
  <c r="BC22" i="5"/>
  <c r="AZ22" i="5"/>
  <c r="AY22" i="5"/>
  <c r="AX22" i="5"/>
  <c r="AU22" i="5"/>
  <c r="AT22" i="5"/>
  <c r="AS22" i="5"/>
  <c r="AP22" i="5"/>
  <c r="AO22" i="5"/>
  <c r="AN22" i="5"/>
  <c r="AK22" i="5"/>
  <c r="AJ22" i="5"/>
  <c r="AI22" i="5"/>
  <c r="AE22" i="5"/>
  <c r="AD22" i="5"/>
  <c r="AC22" i="5"/>
  <c r="Y22" i="5"/>
  <c r="X22" i="5"/>
  <c r="W22" i="5"/>
  <c r="T22" i="5"/>
  <c r="S22" i="5"/>
  <c r="R22" i="5"/>
  <c r="M22" i="5"/>
  <c r="F22" i="5"/>
  <c r="E22" i="5"/>
  <c r="D22" i="5"/>
  <c r="C22" i="5"/>
  <c r="B22" i="5"/>
  <c r="BE21" i="5"/>
  <c r="BD21" i="5"/>
  <c r="BC21" i="5"/>
  <c r="AZ21" i="5"/>
  <c r="AY21" i="5"/>
  <c r="AX21" i="5"/>
  <c r="AU21" i="5"/>
  <c r="AT21" i="5"/>
  <c r="AS21" i="5"/>
  <c r="AP21" i="5"/>
  <c r="AO21" i="5"/>
  <c r="AN21" i="5"/>
  <c r="AK21" i="5"/>
  <c r="AJ21" i="5"/>
  <c r="AI21" i="5"/>
  <c r="AE21" i="5"/>
  <c r="AD21" i="5"/>
  <c r="AC21" i="5"/>
  <c r="Y21" i="5"/>
  <c r="X21" i="5"/>
  <c r="W21" i="5"/>
  <c r="T21" i="5"/>
  <c r="S21" i="5"/>
  <c r="R21" i="5"/>
  <c r="M21" i="5"/>
  <c r="F21" i="5"/>
  <c r="E21" i="5"/>
  <c r="D21" i="5"/>
  <c r="C21" i="5"/>
  <c r="B21" i="5"/>
  <c r="BE20" i="5"/>
  <c r="BD20" i="5"/>
  <c r="BC20" i="5"/>
  <c r="AZ20" i="5"/>
  <c r="AY20" i="5"/>
  <c r="AX20" i="5"/>
  <c r="AU20" i="5"/>
  <c r="AT20" i="5"/>
  <c r="AS20" i="5"/>
  <c r="AP20" i="5"/>
  <c r="AO20" i="5"/>
  <c r="AN20" i="5"/>
  <c r="AK20" i="5"/>
  <c r="AJ20" i="5"/>
  <c r="AI20" i="5"/>
  <c r="AE20" i="5"/>
  <c r="AD20" i="5"/>
  <c r="AC20" i="5"/>
  <c r="Y20" i="5"/>
  <c r="X20" i="5"/>
  <c r="W20" i="5"/>
  <c r="T20" i="5"/>
  <c r="S20" i="5"/>
  <c r="R20" i="5"/>
  <c r="M20" i="5"/>
  <c r="F20" i="5"/>
  <c r="E20" i="5"/>
  <c r="D20" i="5"/>
  <c r="C20" i="5"/>
  <c r="B20" i="5"/>
  <c r="BE19" i="5"/>
  <c r="BD19" i="5"/>
  <c r="BC19" i="5"/>
  <c r="AZ19" i="5"/>
  <c r="AY19" i="5"/>
  <c r="AX19" i="5"/>
  <c r="AU19" i="5"/>
  <c r="AT19" i="5"/>
  <c r="AS19" i="5"/>
  <c r="AP19" i="5"/>
  <c r="AO19" i="5"/>
  <c r="AN19" i="5"/>
  <c r="AK19" i="5"/>
  <c r="AJ19" i="5"/>
  <c r="AI19" i="5"/>
  <c r="AE19" i="5"/>
  <c r="AD19" i="5"/>
  <c r="AC19" i="5"/>
  <c r="Y19" i="5"/>
  <c r="X19" i="5"/>
  <c r="W19" i="5"/>
  <c r="T19" i="5"/>
  <c r="S19" i="5"/>
  <c r="R19" i="5"/>
  <c r="M19" i="5"/>
  <c r="F19" i="5"/>
  <c r="E19" i="5"/>
  <c r="D19" i="5"/>
  <c r="C19" i="5"/>
  <c r="B19" i="5"/>
  <c r="BE18" i="5"/>
  <c r="BD18" i="5"/>
  <c r="BC18" i="5"/>
  <c r="AZ18" i="5"/>
  <c r="AY18" i="5"/>
  <c r="AX18" i="5"/>
  <c r="AU18" i="5"/>
  <c r="AT18" i="5"/>
  <c r="AS18" i="5"/>
  <c r="AP18" i="5"/>
  <c r="AO18" i="5"/>
  <c r="AN18" i="5"/>
  <c r="AK18" i="5"/>
  <c r="AJ18" i="5"/>
  <c r="AI18" i="5"/>
  <c r="AE18" i="5"/>
  <c r="AD18" i="5"/>
  <c r="AC18" i="5"/>
  <c r="Y18" i="5"/>
  <c r="X18" i="5"/>
  <c r="W18" i="5"/>
  <c r="T18" i="5"/>
  <c r="S18" i="5"/>
  <c r="R18" i="5"/>
  <c r="M18" i="5"/>
  <c r="F18" i="5"/>
  <c r="E18" i="5"/>
  <c r="D18" i="5"/>
  <c r="C18" i="5"/>
  <c r="B18" i="5"/>
  <c r="BE17" i="5"/>
  <c r="BD17" i="5"/>
  <c r="BC17" i="5"/>
  <c r="AZ17" i="5"/>
  <c r="AY17" i="5"/>
  <c r="AX17" i="5"/>
  <c r="AU17" i="5"/>
  <c r="AT17" i="5"/>
  <c r="AS17" i="5"/>
  <c r="AP17" i="5"/>
  <c r="AO17" i="5"/>
  <c r="AN17" i="5"/>
  <c r="AK17" i="5"/>
  <c r="AJ17" i="5"/>
  <c r="AI17" i="5"/>
  <c r="AE17" i="5"/>
  <c r="AD17" i="5"/>
  <c r="AC17" i="5"/>
  <c r="Y17" i="5"/>
  <c r="X17" i="5"/>
  <c r="W17" i="5"/>
  <c r="T17" i="5"/>
  <c r="S17" i="5"/>
  <c r="R17" i="5"/>
  <c r="M17" i="5"/>
  <c r="F17" i="5"/>
  <c r="E17" i="5"/>
  <c r="D17" i="5"/>
  <c r="C17" i="5"/>
  <c r="B17" i="5"/>
  <c r="BE16" i="5"/>
  <c r="BD16" i="5"/>
  <c r="BC16" i="5"/>
  <c r="AZ16" i="5"/>
  <c r="AY16" i="5"/>
  <c r="AX16" i="5"/>
  <c r="AU16" i="5"/>
  <c r="AT16" i="5"/>
  <c r="AS16" i="5"/>
  <c r="AP16" i="5"/>
  <c r="AO16" i="5"/>
  <c r="AN16" i="5"/>
  <c r="AK16" i="5"/>
  <c r="AJ16" i="5"/>
  <c r="AI16" i="5"/>
  <c r="AE16" i="5"/>
  <c r="AD16" i="5"/>
  <c r="AC16" i="5"/>
  <c r="Y16" i="5"/>
  <c r="X16" i="5"/>
  <c r="W16" i="5"/>
  <c r="T16" i="5"/>
  <c r="S16" i="5"/>
  <c r="R16" i="5"/>
  <c r="M16" i="5"/>
  <c r="F16" i="5"/>
  <c r="E16" i="5"/>
  <c r="D16" i="5"/>
  <c r="C16" i="5"/>
  <c r="B16" i="5"/>
  <c r="BE15" i="5"/>
  <c r="BD15" i="5"/>
  <c r="BC15" i="5"/>
  <c r="AZ15" i="5"/>
  <c r="AY15" i="5"/>
  <c r="AX15" i="5"/>
  <c r="AU15" i="5"/>
  <c r="AT15" i="5"/>
  <c r="AS15" i="5"/>
  <c r="AP15" i="5"/>
  <c r="AO15" i="5"/>
  <c r="AN15" i="5"/>
  <c r="AK15" i="5"/>
  <c r="AJ15" i="5"/>
  <c r="AI15" i="5"/>
  <c r="AE15" i="5"/>
  <c r="AD15" i="5"/>
  <c r="AC15" i="5"/>
  <c r="Y15" i="5"/>
  <c r="X15" i="5"/>
  <c r="W15" i="5"/>
  <c r="T15" i="5"/>
  <c r="S15" i="5"/>
  <c r="R15" i="5"/>
  <c r="M15" i="5"/>
  <c r="F15" i="5"/>
  <c r="E15" i="5"/>
  <c r="D15" i="5"/>
  <c r="C15" i="5"/>
  <c r="B15" i="5"/>
  <c r="BE14" i="5"/>
  <c r="BD14" i="5"/>
  <c r="BC14" i="5"/>
  <c r="AZ14" i="5"/>
  <c r="AY14" i="5"/>
  <c r="AX14" i="5"/>
  <c r="AU14" i="5"/>
  <c r="AT14" i="5"/>
  <c r="AS14" i="5"/>
  <c r="AP14" i="5"/>
  <c r="AO14" i="5"/>
  <c r="AN14" i="5"/>
  <c r="AK14" i="5"/>
  <c r="AJ14" i="5"/>
  <c r="AI14" i="5"/>
  <c r="AE14" i="5"/>
  <c r="AD14" i="5"/>
  <c r="AC14" i="5"/>
  <c r="Y14" i="5"/>
  <c r="X14" i="5"/>
  <c r="W14" i="5"/>
  <c r="T14" i="5"/>
  <c r="S14" i="5"/>
  <c r="R14" i="5"/>
  <c r="M14" i="5"/>
  <c r="F14" i="5"/>
  <c r="E14" i="5"/>
  <c r="D14" i="5"/>
  <c r="C14" i="5"/>
  <c r="B14" i="5"/>
  <c r="BE13" i="5"/>
  <c r="BD13" i="5"/>
  <c r="BC13" i="5"/>
  <c r="AZ13" i="5"/>
  <c r="AY13" i="5"/>
  <c r="AX13" i="5"/>
  <c r="AU13" i="5"/>
  <c r="AT13" i="5"/>
  <c r="AS13" i="5"/>
  <c r="AP13" i="5"/>
  <c r="AO13" i="5"/>
  <c r="AN13" i="5"/>
  <c r="AK13" i="5"/>
  <c r="AJ13" i="5"/>
  <c r="AI13" i="5"/>
  <c r="AE13" i="5"/>
  <c r="AD13" i="5"/>
  <c r="AC13" i="5"/>
  <c r="Y13" i="5"/>
  <c r="X13" i="5"/>
  <c r="W13" i="5"/>
  <c r="T13" i="5"/>
  <c r="S13" i="5"/>
  <c r="R13" i="5"/>
  <c r="M13" i="5"/>
  <c r="F13" i="5"/>
  <c r="E13" i="5"/>
  <c r="D13" i="5"/>
  <c r="C13" i="5"/>
  <c r="B13" i="5"/>
  <c r="BE12" i="5"/>
  <c r="BD12" i="5"/>
  <c r="BC12" i="5"/>
  <c r="AZ12" i="5"/>
  <c r="AY12" i="5"/>
  <c r="AX12" i="5"/>
  <c r="AU12" i="5"/>
  <c r="AT12" i="5"/>
  <c r="AS12" i="5"/>
  <c r="AP12" i="5"/>
  <c r="AO12" i="5"/>
  <c r="AN12" i="5"/>
  <c r="AK12" i="5"/>
  <c r="AJ12" i="5"/>
  <c r="AI12" i="5"/>
  <c r="AE12" i="5"/>
  <c r="AD12" i="5"/>
  <c r="AC12" i="5"/>
  <c r="Y12" i="5"/>
  <c r="X12" i="5"/>
  <c r="W12" i="5"/>
  <c r="T12" i="5"/>
  <c r="S12" i="5"/>
  <c r="R12" i="5"/>
  <c r="M12" i="5"/>
  <c r="F12" i="5"/>
  <c r="E12" i="5"/>
  <c r="D12" i="5"/>
  <c r="C12" i="5"/>
  <c r="B12" i="5"/>
  <c r="BE11" i="5"/>
  <c r="BD11" i="5"/>
  <c r="BC11" i="5"/>
  <c r="AZ11" i="5"/>
  <c r="AY11" i="5"/>
  <c r="AX11" i="5"/>
  <c r="AU11" i="5"/>
  <c r="AT11" i="5"/>
  <c r="AS11" i="5"/>
  <c r="AP11" i="5"/>
  <c r="AO11" i="5"/>
  <c r="AN11" i="5"/>
  <c r="AK11" i="5"/>
  <c r="AJ11" i="5"/>
  <c r="AI11" i="5"/>
  <c r="AE11" i="5"/>
  <c r="AD11" i="5"/>
  <c r="AC11" i="5"/>
  <c r="Y11" i="5"/>
  <c r="X11" i="5"/>
  <c r="W11" i="5"/>
  <c r="T11" i="5"/>
  <c r="S11" i="5"/>
  <c r="R11" i="5"/>
  <c r="M11" i="5"/>
  <c r="F11" i="5"/>
  <c r="E11" i="5"/>
  <c r="D11" i="5"/>
  <c r="C11" i="5"/>
  <c r="B11" i="5"/>
  <c r="BE10" i="5"/>
  <c r="BD10" i="5"/>
  <c r="BC10" i="5"/>
  <c r="AZ10" i="5"/>
  <c r="AY10" i="5"/>
  <c r="AX10" i="5"/>
  <c r="AU10" i="5"/>
  <c r="AT10" i="5"/>
  <c r="AS10" i="5"/>
  <c r="AP10" i="5"/>
  <c r="AO10" i="5"/>
  <c r="AN10" i="5"/>
  <c r="AK10" i="5"/>
  <c r="AJ10" i="5"/>
  <c r="AI10" i="5"/>
  <c r="AE10" i="5"/>
  <c r="AD10" i="5"/>
  <c r="AC10" i="5"/>
  <c r="Y10" i="5"/>
  <c r="X10" i="5"/>
  <c r="W10" i="5"/>
  <c r="T10" i="5"/>
  <c r="S10" i="5"/>
  <c r="R10" i="5"/>
  <c r="M10" i="5"/>
  <c r="F10" i="5"/>
  <c r="E10" i="5"/>
  <c r="D10" i="5"/>
  <c r="C10" i="5"/>
  <c r="B10" i="5"/>
  <c r="BE9" i="5"/>
  <c r="BD9" i="5"/>
  <c r="BC9" i="5"/>
  <c r="AZ9" i="5"/>
  <c r="AY9" i="5"/>
  <c r="AX9" i="5"/>
  <c r="AU9" i="5"/>
  <c r="AT9" i="5"/>
  <c r="AS9" i="5"/>
  <c r="AP9" i="5"/>
  <c r="AO9" i="5"/>
  <c r="AN9" i="5"/>
  <c r="AK9" i="5"/>
  <c r="AJ9" i="5"/>
  <c r="AI9" i="5"/>
  <c r="AE9" i="5"/>
  <c r="AD9" i="5"/>
  <c r="AC9" i="5"/>
  <c r="Y9" i="5"/>
  <c r="X9" i="5"/>
  <c r="W9" i="5"/>
  <c r="T9" i="5"/>
  <c r="S9" i="5"/>
  <c r="R9" i="5"/>
  <c r="M9" i="5"/>
  <c r="F9" i="5"/>
  <c r="E9" i="5"/>
  <c r="D9" i="5"/>
  <c r="C9" i="5"/>
  <c r="B9" i="5"/>
  <c r="BE8" i="5"/>
  <c r="BD8" i="5"/>
  <c r="BC8" i="5"/>
  <c r="AZ8" i="5"/>
  <c r="AY8" i="5"/>
  <c r="AX8" i="5"/>
  <c r="AU8" i="5"/>
  <c r="AT8" i="5"/>
  <c r="AS8" i="5"/>
  <c r="AP8" i="5"/>
  <c r="AO8" i="5"/>
  <c r="AN8" i="5"/>
  <c r="AK8" i="5"/>
  <c r="AJ8" i="5"/>
  <c r="AI8" i="5"/>
  <c r="AE8" i="5"/>
  <c r="AD8" i="5"/>
  <c r="AC8" i="5"/>
  <c r="Y8" i="5"/>
  <c r="X8" i="5"/>
  <c r="W8" i="5"/>
  <c r="T8" i="5"/>
  <c r="S8" i="5"/>
  <c r="R8" i="5"/>
  <c r="M8" i="5"/>
  <c r="F8" i="5"/>
  <c r="E8" i="5"/>
  <c r="D8" i="5"/>
  <c r="C8" i="5"/>
  <c r="B8" i="5"/>
  <c r="BE7" i="5"/>
  <c r="BD7" i="5"/>
  <c r="BC7" i="5"/>
  <c r="AZ7" i="5"/>
  <c r="AY7" i="5"/>
  <c r="AX7" i="5"/>
  <c r="AU7" i="5"/>
  <c r="AT7" i="5"/>
  <c r="AS7" i="5"/>
  <c r="AP7" i="5"/>
  <c r="AO7" i="5"/>
  <c r="AN7" i="5"/>
  <c r="AK7" i="5"/>
  <c r="AJ7" i="5"/>
  <c r="AI7" i="5"/>
  <c r="AE7" i="5"/>
  <c r="AD7" i="5"/>
  <c r="AC7" i="5"/>
  <c r="Y7" i="5"/>
  <c r="X7" i="5"/>
  <c r="W7" i="5"/>
  <c r="T7" i="5"/>
  <c r="S7" i="5"/>
  <c r="R7" i="5"/>
  <c r="M7" i="5"/>
  <c r="F7" i="5"/>
  <c r="E7" i="5"/>
  <c r="D7" i="5"/>
  <c r="C7" i="5"/>
  <c r="B7" i="5"/>
  <c r="BE6" i="5"/>
  <c r="BD6" i="5"/>
  <c r="BC6" i="5"/>
  <c r="AZ6" i="5"/>
  <c r="AY6" i="5"/>
  <c r="AX6" i="5"/>
  <c r="AU6" i="5"/>
  <c r="AT6" i="5"/>
  <c r="AS6" i="5"/>
  <c r="AP6" i="5"/>
  <c r="AO6" i="5"/>
  <c r="AN6" i="5"/>
  <c r="AK6" i="5"/>
  <c r="AJ6" i="5"/>
  <c r="AI6" i="5"/>
  <c r="AE6" i="5"/>
  <c r="AD6" i="5"/>
  <c r="AC6" i="5"/>
  <c r="Y6" i="5"/>
  <c r="X6" i="5"/>
  <c r="W6" i="5"/>
  <c r="T6" i="5"/>
  <c r="S6" i="5"/>
  <c r="R6" i="5"/>
  <c r="M6" i="5"/>
  <c r="F6" i="5"/>
  <c r="E6" i="5"/>
  <c r="D6" i="5"/>
  <c r="C6" i="5"/>
  <c r="B6" i="5"/>
  <c r="BE5" i="5"/>
  <c r="BD5" i="5"/>
  <c r="BC5" i="5"/>
  <c r="AZ5" i="5"/>
  <c r="AY5" i="5"/>
  <c r="AX5" i="5"/>
  <c r="AU5" i="5"/>
  <c r="AT5" i="5"/>
  <c r="AS5" i="5"/>
  <c r="AP5" i="5"/>
  <c r="AO5" i="5"/>
  <c r="AN5" i="5"/>
  <c r="AK5" i="5"/>
  <c r="AJ5" i="5"/>
  <c r="AI5" i="5"/>
  <c r="AE5" i="5"/>
  <c r="AD5" i="5"/>
  <c r="AC5" i="5"/>
  <c r="Y5" i="5"/>
  <c r="X5" i="5"/>
  <c r="W5" i="5"/>
  <c r="T5" i="5"/>
  <c r="S5" i="5"/>
  <c r="R5" i="5"/>
  <c r="M5" i="5"/>
  <c r="F5" i="5"/>
  <c r="E5" i="5"/>
  <c r="D5" i="5"/>
  <c r="C5" i="5"/>
  <c r="B5" i="5"/>
  <c r="BB71" i="4"/>
  <c r="BA71" i="4"/>
  <c r="AW71" i="4"/>
  <c r="AV71" i="4"/>
  <c r="AR71" i="4"/>
  <c r="AQ71" i="4"/>
  <c r="AM71" i="4"/>
  <c r="AL71" i="4"/>
  <c r="AH71" i="4"/>
  <c r="AG71" i="4"/>
  <c r="AF71" i="4"/>
  <c r="AB71" i="4"/>
  <c r="AA71" i="4"/>
  <c r="Z71" i="4"/>
  <c r="V71" i="4"/>
  <c r="U71" i="4"/>
  <c r="Q71" i="4"/>
  <c r="P71" i="4"/>
  <c r="O71" i="4"/>
  <c r="N71" i="4"/>
  <c r="L71" i="4"/>
  <c r="K71" i="4"/>
  <c r="M71" i="4"/>
  <c r="J71" i="4"/>
  <c r="I71" i="4"/>
  <c r="AZ71" i="4"/>
  <c r="H71" i="4"/>
  <c r="G71" i="4"/>
  <c r="BD71" i="4"/>
  <c r="E71" i="4"/>
  <c r="BE70" i="4"/>
  <c r="BD70" i="4"/>
  <c r="BC70" i="4"/>
  <c r="AZ70" i="4"/>
  <c r="AY70" i="4"/>
  <c r="AX70" i="4"/>
  <c r="AU70" i="4"/>
  <c r="AT70" i="4"/>
  <c r="AS70" i="4"/>
  <c r="AP70" i="4"/>
  <c r="AO70" i="4"/>
  <c r="AN70" i="4"/>
  <c r="AK70" i="4"/>
  <c r="AJ70" i="4"/>
  <c r="AI70" i="4"/>
  <c r="AE70" i="4"/>
  <c r="AD70" i="4"/>
  <c r="AC70" i="4"/>
  <c r="Y70" i="4"/>
  <c r="X70" i="4"/>
  <c r="W70" i="4"/>
  <c r="T70" i="4"/>
  <c r="S70" i="4"/>
  <c r="R70" i="4"/>
  <c r="M70" i="4"/>
  <c r="F70" i="4"/>
  <c r="E70" i="4"/>
  <c r="D70" i="4"/>
  <c r="C70" i="4"/>
  <c r="B70" i="4"/>
  <c r="BE69" i="4"/>
  <c r="BD69" i="4"/>
  <c r="BC69" i="4"/>
  <c r="AZ69" i="4"/>
  <c r="AY69" i="4"/>
  <c r="AX69" i="4"/>
  <c r="AU69" i="4"/>
  <c r="AT69" i="4"/>
  <c r="AS69" i="4"/>
  <c r="AP69" i="4"/>
  <c r="AO69" i="4"/>
  <c r="AN69" i="4"/>
  <c r="AK69" i="4"/>
  <c r="AJ69" i="4"/>
  <c r="AI69" i="4"/>
  <c r="AE69" i="4"/>
  <c r="AD69" i="4"/>
  <c r="AC69" i="4"/>
  <c r="Y69" i="4"/>
  <c r="X69" i="4"/>
  <c r="W69" i="4"/>
  <c r="T69" i="4"/>
  <c r="S69" i="4"/>
  <c r="R69" i="4"/>
  <c r="M69" i="4"/>
  <c r="F69" i="4"/>
  <c r="E69" i="4"/>
  <c r="D69" i="4"/>
  <c r="C69" i="4"/>
  <c r="B69" i="4"/>
  <c r="BE68" i="4"/>
  <c r="BD68" i="4"/>
  <c r="BC68" i="4"/>
  <c r="AZ68" i="4"/>
  <c r="AY68" i="4"/>
  <c r="AX68" i="4"/>
  <c r="AU68" i="4"/>
  <c r="AT68" i="4"/>
  <c r="AS68" i="4"/>
  <c r="AP68" i="4"/>
  <c r="AO68" i="4"/>
  <c r="AN68" i="4"/>
  <c r="AK68" i="4"/>
  <c r="AJ68" i="4"/>
  <c r="AI68" i="4"/>
  <c r="AE68" i="4"/>
  <c r="AD68" i="4"/>
  <c r="AC68" i="4"/>
  <c r="Y68" i="4"/>
  <c r="X68" i="4"/>
  <c r="W68" i="4"/>
  <c r="T68" i="4"/>
  <c r="S68" i="4"/>
  <c r="R68" i="4"/>
  <c r="M68" i="4"/>
  <c r="F68" i="4"/>
  <c r="E68" i="4"/>
  <c r="D68" i="4"/>
  <c r="C68" i="4"/>
  <c r="B68" i="4"/>
  <c r="BE67" i="4"/>
  <c r="BD67" i="4"/>
  <c r="BC67" i="4"/>
  <c r="AZ67" i="4"/>
  <c r="AY67" i="4"/>
  <c r="AX67" i="4"/>
  <c r="AU67" i="4"/>
  <c r="AT67" i="4"/>
  <c r="AS67" i="4"/>
  <c r="AP67" i="4"/>
  <c r="AO67" i="4"/>
  <c r="AN67" i="4"/>
  <c r="AK67" i="4"/>
  <c r="AJ67" i="4"/>
  <c r="AI67" i="4"/>
  <c r="AE67" i="4"/>
  <c r="AD67" i="4"/>
  <c r="AC67" i="4"/>
  <c r="Y67" i="4"/>
  <c r="X67" i="4"/>
  <c r="W67" i="4"/>
  <c r="T67" i="4"/>
  <c r="S67" i="4"/>
  <c r="R67" i="4"/>
  <c r="M67" i="4"/>
  <c r="F67" i="4"/>
  <c r="E67" i="4"/>
  <c r="D67" i="4"/>
  <c r="C67" i="4"/>
  <c r="B67" i="4"/>
  <c r="BE66" i="4"/>
  <c r="BD66" i="4"/>
  <c r="BC66" i="4"/>
  <c r="AZ66" i="4"/>
  <c r="AY66" i="4"/>
  <c r="AX66" i="4"/>
  <c r="AU66" i="4"/>
  <c r="AT66" i="4"/>
  <c r="AS66" i="4"/>
  <c r="AP66" i="4"/>
  <c r="AO66" i="4"/>
  <c r="AN66" i="4"/>
  <c r="AK66" i="4"/>
  <c r="AJ66" i="4"/>
  <c r="AI66" i="4"/>
  <c r="AE66" i="4"/>
  <c r="AD66" i="4"/>
  <c r="AC66" i="4"/>
  <c r="Y66" i="4"/>
  <c r="X66" i="4"/>
  <c r="W66" i="4"/>
  <c r="T66" i="4"/>
  <c r="S66" i="4"/>
  <c r="R66" i="4"/>
  <c r="M66" i="4"/>
  <c r="F66" i="4"/>
  <c r="E66" i="4"/>
  <c r="D66" i="4"/>
  <c r="C66" i="4"/>
  <c r="B66" i="4"/>
  <c r="BE65" i="4"/>
  <c r="BD65" i="4"/>
  <c r="BC65" i="4"/>
  <c r="AZ65" i="4"/>
  <c r="AY65" i="4"/>
  <c r="AX65" i="4"/>
  <c r="AU65" i="4"/>
  <c r="AT65" i="4"/>
  <c r="AS65" i="4"/>
  <c r="AP65" i="4"/>
  <c r="AO65" i="4"/>
  <c r="AN65" i="4"/>
  <c r="AK65" i="4"/>
  <c r="AJ65" i="4"/>
  <c r="AI65" i="4"/>
  <c r="AE65" i="4"/>
  <c r="AD65" i="4"/>
  <c r="AC65" i="4"/>
  <c r="Y65" i="4"/>
  <c r="X65" i="4"/>
  <c r="W65" i="4"/>
  <c r="T65" i="4"/>
  <c r="S65" i="4"/>
  <c r="R65" i="4"/>
  <c r="M65" i="4"/>
  <c r="F65" i="4"/>
  <c r="E65" i="4"/>
  <c r="D65" i="4"/>
  <c r="C65" i="4"/>
  <c r="B65" i="4"/>
  <c r="BE64" i="4"/>
  <c r="BD64" i="4"/>
  <c r="BC64" i="4"/>
  <c r="AZ64" i="4"/>
  <c r="AY64" i="4"/>
  <c r="AX64" i="4"/>
  <c r="AU64" i="4"/>
  <c r="AT64" i="4"/>
  <c r="AS64" i="4"/>
  <c r="AP64" i="4"/>
  <c r="AO64" i="4"/>
  <c r="AN64" i="4"/>
  <c r="AK64" i="4"/>
  <c r="AJ64" i="4"/>
  <c r="AI64" i="4"/>
  <c r="AE64" i="4"/>
  <c r="AD64" i="4"/>
  <c r="AC64" i="4"/>
  <c r="Y64" i="4"/>
  <c r="X64" i="4"/>
  <c r="W64" i="4"/>
  <c r="T64" i="4"/>
  <c r="S64" i="4"/>
  <c r="R64" i="4"/>
  <c r="M64" i="4"/>
  <c r="F64" i="4"/>
  <c r="E64" i="4"/>
  <c r="D64" i="4"/>
  <c r="C64" i="4"/>
  <c r="B64" i="4"/>
  <c r="BE63" i="4"/>
  <c r="BD63" i="4"/>
  <c r="BC63" i="4"/>
  <c r="AZ63" i="4"/>
  <c r="AY63" i="4"/>
  <c r="AX63" i="4"/>
  <c r="AU63" i="4"/>
  <c r="AT63" i="4"/>
  <c r="AS63" i="4"/>
  <c r="AP63" i="4"/>
  <c r="AO63" i="4"/>
  <c r="AN63" i="4"/>
  <c r="AK63" i="4"/>
  <c r="AJ63" i="4"/>
  <c r="AI63" i="4"/>
  <c r="AE63" i="4"/>
  <c r="AD63" i="4"/>
  <c r="AC63" i="4"/>
  <c r="Y63" i="4"/>
  <c r="X63" i="4"/>
  <c r="W63" i="4"/>
  <c r="T63" i="4"/>
  <c r="S63" i="4"/>
  <c r="R63" i="4"/>
  <c r="M63" i="4"/>
  <c r="F63" i="4"/>
  <c r="E63" i="4"/>
  <c r="D63" i="4"/>
  <c r="C63" i="4"/>
  <c r="B63" i="4"/>
  <c r="BE62" i="4"/>
  <c r="BD62" i="4"/>
  <c r="BC62" i="4"/>
  <c r="AZ62" i="4"/>
  <c r="AY62" i="4"/>
  <c r="AX62" i="4"/>
  <c r="AU62" i="4"/>
  <c r="AT62" i="4"/>
  <c r="AS62" i="4"/>
  <c r="AP62" i="4"/>
  <c r="AO62" i="4"/>
  <c r="AN62" i="4"/>
  <c r="AK62" i="4"/>
  <c r="AJ62" i="4"/>
  <c r="AI62" i="4"/>
  <c r="AE62" i="4"/>
  <c r="AD62" i="4"/>
  <c r="AC62" i="4"/>
  <c r="Y62" i="4"/>
  <c r="X62" i="4"/>
  <c r="W62" i="4"/>
  <c r="T62" i="4"/>
  <c r="S62" i="4"/>
  <c r="R62" i="4"/>
  <c r="M62" i="4"/>
  <c r="F62" i="4"/>
  <c r="E62" i="4"/>
  <c r="D62" i="4"/>
  <c r="C62" i="4"/>
  <c r="B62" i="4"/>
  <c r="BE61" i="4"/>
  <c r="BD61" i="4"/>
  <c r="BC61" i="4"/>
  <c r="AZ61" i="4"/>
  <c r="AY61" i="4"/>
  <c r="AX61" i="4"/>
  <c r="AU61" i="4"/>
  <c r="AT61" i="4"/>
  <c r="AS61" i="4"/>
  <c r="AP61" i="4"/>
  <c r="AO61" i="4"/>
  <c r="AN61" i="4"/>
  <c r="AK61" i="4"/>
  <c r="AJ61" i="4"/>
  <c r="AI61" i="4"/>
  <c r="AE61" i="4"/>
  <c r="AD61" i="4"/>
  <c r="AC61" i="4"/>
  <c r="Y61" i="4"/>
  <c r="X61" i="4"/>
  <c r="W61" i="4"/>
  <c r="T61" i="4"/>
  <c r="S61" i="4"/>
  <c r="R61" i="4"/>
  <c r="M61" i="4"/>
  <c r="F61" i="4"/>
  <c r="E61" i="4"/>
  <c r="D61" i="4"/>
  <c r="C61" i="4"/>
  <c r="B61" i="4"/>
  <c r="BE60" i="4"/>
  <c r="BD60" i="4"/>
  <c r="BC60" i="4"/>
  <c r="AZ60" i="4"/>
  <c r="AY60" i="4"/>
  <c r="AX60" i="4"/>
  <c r="AU60" i="4"/>
  <c r="AT60" i="4"/>
  <c r="AS60" i="4"/>
  <c r="AP60" i="4"/>
  <c r="AO60" i="4"/>
  <c r="AN60" i="4"/>
  <c r="AK60" i="4"/>
  <c r="AJ60" i="4"/>
  <c r="AI60" i="4"/>
  <c r="AE60" i="4"/>
  <c r="AD60" i="4"/>
  <c r="AC60" i="4"/>
  <c r="Y60" i="4"/>
  <c r="X60" i="4"/>
  <c r="W60" i="4"/>
  <c r="T60" i="4"/>
  <c r="S60" i="4"/>
  <c r="R60" i="4"/>
  <c r="M60" i="4"/>
  <c r="F60" i="4"/>
  <c r="E60" i="4"/>
  <c r="D60" i="4"/>
  <c r="C60" i="4"/>
  <c r="B60" i="4"/>
  <c r="BE59" i="4"/>
  <c r="BD59" i="4"/>
  <c r="BC59" i="4"/>
  <c r="AZ59" i="4"/>
  <c r="AY59" i="4"/>
  <c r="AX59" i="4"/>
  <c r="AU59" i="4"/>
  <c r="AT59" i="4"/>
  <c r="AS59" i="4"/>
  <c r="AP59" i="4"/>
  <c r="AO59" i="4"/>
  <c r="AN59" i="4"/>
  <c r="AK59" i="4"/>
  <c r="AJ59" i="4"/>
  <c r="AI59" i="4"/>
  <c r="AE59" i="4"/>
  <c r="AD59" i="4"/>
  <c r="AC59" i="4"/>
  <c r="Y59" i="4"/>
  <c r="X59" i="4"/>
  <c r="W59" i="4"/>
  <c r="T59" i="4"/>
  <c r="S59" i="4"/>
  <c r="R59" i="4"/>
  <c r="M59" i="4"/>
  <c r="F59" i="4"/>
  <c r="E59" i="4"/>
  <c r="D59" i="4"/>
  <c r="C59" i="4"/>
  <c r="B59" i="4"/>
  <c r="BE58" i="4"/>
  <c r="BD58" i="4"/>
  <c r="BC58" i="4"/>
  <c r="AZ58" i="4"/>
  <c r="AY58" i="4"/>
  <c r="AX58" i="4"/>
  <c r="AU58" i="4"/>
  <c r="AT58" i="4"/>
  <c r="AS58" i="4"/>
  <c r="AP58" i="4"/>
  <c r="AO58" i="4"/>
  <c r="AN58" i="4"/>
  <c r="AK58" i="4"/>
  <c r="AJ58" i="4"/>
  <c r="AI58" i="4"/>
  <c r="AE58" i="4"/>
  <c r="AD58" i="4"/>
  <c r="AC58" i="4"/>
  <c r="Y58" i="4"/>
  <c r="X58" i="4"/>
  <c r="W58" i="4"/>
  <c r="T58" i="4"/>
  <c r="S58" i="4"/>
  <c r="R58" i="4"/>
  <c r="M58" i="4"/>
  <c r="F58" i="4"/>
  <c r="E58" i="4"/>
  <c r="D58" i="4"/>
  <c r="C58" i="4"/>
  <c r="B58" i="4"/>
  <c r="BE57" i="4"/>
  <c r="BD57" i="4"/>
  <c r="BC57" i="4"/>
  <c r="AZ57" i="4"/>
  <c r="AY57" i="4"/>
  <c r="AX57" i="4"/>
  <c r="AU57" i="4"/>
  <c r="AT57" i="4"/>
  <c r="AS57" i="4"/>
  <c r="AP57" i="4"/>
  <c r="AO57" i="4"/>
  <c r="AN57" i="4"/>
  <c r="AK57" i="4"/>
  <c r="AJ57" i="4"/>
  <c r="AI57" i="4"/>
  <c r="AE57" i="4"/>
  <c r="AD57" i="4"/>
  <c r="AC57" i="4"/>
  <c r="Y57" i="4"/>
  <c r="X57" i="4"/>
  <c r="W57" i="4"/>
  <c r="T57" i="4"/>
  <c r="S57" i="4"/>
  <c r="R57" i="4"/>
  <c r="M57" i="4"/>
  <c r="F57" i="4"/>
  <c r="E57" i="4"/>
  <c r="D57" i="4"/>
  <c r="C57" i="4"/>
  <c r="B57" i="4"/>
  <c r="BE56" i="4"/>
  <c r="BD56" i="4"/>
  <c r="BC56" i="4"/>
  <c r="AZ56" i="4"/>
  <c r="AY56" i="4"/>
  <c r="AX56" i="4"/>
  <c r="AU56" i="4"/>
  <c r="AT56" i="4"/>
  <c r="AS56" i="4"/>
  <c r="AP56" i="4"/>
  <c r="AO56" i="4"/>
  <c r="AN56" i="4"/>
  <c r="AK56" i="4"/>
  <c r="AJ56" i="4"/>
  <c r="AI56" i="4"/>
  <c r="AE56" i="4"/>
  <c r="AD56" i="4"/>
  <c r="AC56" i="4"/>
  <c r="Y56" i="4"/>
  <c r="X56" i="4"/>
  <c r="W56" i="4"/>
  <c r="T56" i="4"/>
  <c r="S56" i="4"/>
  <c r="R56" i="4"/>
  <c r="M56" i="4"/>
  <c r="F56" i="4"/>
  <c r="E56" i="4"/>
  <c r="D56" i="4"/>
  <c r="C56" i="4"/>
  <c r="B56" i="4"/>
  <c r="BE55" i="4"/>
  <c r="BD55" i="4"/>
  <c r="BC55" i="4"/>
  <c r="AZ55" i="4"/>
  <c r="AY55" i="4"/>
  <c r="AX55" i="4"/>
  <c r="AU55" i="4"/>
  <c r="AT55" i="4"/>
  <c r="AS55" i="4"/>
  <c r="AP55" i="4"/>
  <c r="AO55" i="4"/>
  <c r="AN55" i="4"/>
  <c r="AK55" i="4"/>
  <c r="AJ55" i="4"/>
  <c r="AI55" i="4"/>
  <c r="AE55" i="4"/>
  <c r="AD55" i="4"/>
  <c r="AC55" i="4"/>
  <c r="Y55" i="4"/>
  <c r="X55" i="4"/>
  <c r="W55" i="4"/>
  <c r="T55" i="4"/>
  <c r="S55" i="4"/>
  <c r="R55" i="4"/>
  <c r="M55" i="4"/>
  <c r="F55" i="4"/>
  <c r="E55" i="4"/>
  <c r="D55" i="4"/>
  <c r="C55" i="4"/>
  <c r="B55" i="4"/>
  <c r="BE54" i="4"/>
  <c r="BD54" i="4"/>
  <c r="BC54" i="4"/>
  <c r="AZ54" i="4"/>
  <c r="AY54" i="4"/>
  <c r="AX54" i="4"/>
  <c r="AU54" i="4"/>
  <c r="AT54" i="4"/>
  <c r="AS54" i="4"/>
  <c r="AP54" i="4"/>
  <c r="AO54" i="4"/>
  <c r="AN54" i="4"/>
  <c r="AK54" i="4"/>
  <c r="AJ54" i="4"/>
  <c r="AI54" i="4"/>
  <c r="AE54" i="4"/>
  <c r="AD54" i="4"/>
  <c r="AC54" i="4"/>
  <c r="Y54" i="4"/>
  <c r="X54" i="4"/>
  <c r="W54" i="4"/>
  <c r="T54" i="4"/>
  <c r="S54" i="4"/>
  <c r="R54" i="4"/>
  <c r="M54" i="4"/>
  <c r="F54" i="4"/>
  <c r="E54" i="4"/>
  <c r="D54" i="4"/>
  <c r="C54" i="4"/>
  <c r="B54" i="4"/>
  <c r="BE53" i="4"/>
  <c r="BD53" i="4"/>
  <c r="BC53" i="4"/>
  <c r="AZ53" i="4"/>
  <c r="AY53" i="4"/>
  <c r="AX53" i="4"/>
  <c r="AU53" i="4"/>
  <c r="AT53" i="4"/>
  <c r="AS53" i="4"/>
  <c r="AP53" i="4"/>
  <c r="AO53" i="4"/>
  <c r="AN53" i="4"/>
  <c r="AK53" i="4"/>
  <c r="AJ53" i="4"/>
  <c r="AI53" i="4"/>
  <c r="AE53" i="4"/>
  <c r="AD53" i="4"/>
  <c r="AC53" i="4"/>
  <c r="Y53" i="4"/>
  <c r="X53" i="4"/>
  <c r="W53" i="4"/>
  <c r="T53" i="4"/>
  <c r="S53" i="4"/>
  <c r="R53" i="4"/>
  <c r="M53" i="4"/>
  <c r="F53" i="4"/>
  <c r="E53" i="4"/>
  <c r="D53" i="4"/>
  <c r="C53" i="4"/>
  <c r="B53" i="4"/>
  <c r="BE52" i="4"/>
  <c r="BD52" i="4"/>
  <c r="BC52" i="4"/>
  <c r="AZ52" i="4"/>
  <c r="AY52" i="4"/>
  <c r="AX52" i="4"/>
  <c r="AU52" i="4"/>
  <c r="AT52" i="4"/>
  <c r="AS52" i="4"/>
  <c r="AP52" i="4"/>
  <c r="AO52" i="4"/>
  <c r="AN52" i="4"/>
  <c r="AK52" i="4"/>
  <c r="AJ52" i="4"/>
  <c r="AI52" i="4"/>
  <c r="AE52" i="4"/>
  <c r="AD52" i="4"/>
  <c r="AC52" i="4"/>
  <c r="Y52" i="4"/>
  <c r="X52" i="4"/>
  <c r="W52" i="4"/>
  <c r="T52" i="4"/>
  <c r="S52" i="4"/>
  <c r="R52" i="4"/>
  <c r="M52" i="4"/>
  <c r="F52" i="4"/>
  <c r="E52" i="4"/>
  <c r="D52" i="4"/>
  <c r="C52" i="4"/>
  <c r="B52" i="4"/>
  <c r="BE51" i="4"/>
  <c r="BD51" i="4"/>
  <c r="BC51" i="4"/>
  <c r="AZ51" i="4"/>
  <c r="AY51" i="4"/>
  <c r="AX51" i="4"/>
  <c r="AU51" i="4"/>
  <c r="AT51" i="4"/>
  <c r="AS51" i="4"/>
  <c r="AP51" i="4"/>
  <c r="AO51" i="4"/>
  <c r="AN51" i="4"/>
  <c r="AK51" i="4"/>
  <c r="AJ51" i="4"/>
  <c r="AI51" i="4"/>
  <c r="AE51" i="4"/>
  <c r="AD51" i="4"/>
  <c r="AC51" i="4"/>
  <c r="Y51" i="4"/>
  <c r="X51" i="4"/>
  <c r="W51" i="4"/>
  <c r="T51" i="4"/>
  <c r="S51" i="4"/>
  <c r="R51" i="4"/>
  <c r="M51" i="4"/>
  <c r="F51" i="4"/>
  <c r="E51" i="4"/>
  <c r="D51" i="4"/>
  <c r="C51" i="4"/>
  <c r="B51" i="4"/>
  <c r="BE50" i="4"/>
  <c r="BD50" i="4"/>
  <c r="BC50" i="4"/>
  <c r="AZ50" i="4"/>
  <c r="AY50" i="4"/>
  <c r="AX50" i="4"/>
  <c r="AU50" i="4"/>
  <c r="AT50" i="4"/>
  <c r="AS50" i="4"/>
  <c r="AP50" i="4"/>
  <c r="AO50" i="4"/>
  <c r="AN50" i="4"/>
  <c r="AK50" i="4"/>
  <c r="AJ50" i="4"/>
  <c r="AI50" i="4"/>
  <c r="AE50" i="4"/>
  <c r="AD50" i="4"/>
  <c r="AC50" i="4"/>
  <c r="Y50" i="4"/>
  <c r="X50" i="4"/>
  <c r="W50" i="4"/>
  <c r="T50" i="4"/>
  <c r="S50" i="4"/>
  <c r="R50" i="4"/>
  <c r="M50" i="4"/>
  <c r="F50" i="4"/>
  <c r="E50" i="4"/>
  <c r="D50" i="4"/>
  <c r="C50" i="4"/>
  <c r="B50" i="4"/>
  <c r="BE49" i="4"/>
  <c r="BD49" i="4"/>
  <c r="BC49" i="4"/>
  <c r="AZ49" i="4"/>
  <c r="AY49" i="4"/>
  <c r="AX49" i="4"/>
  <c r="AU49" i="4"/>
  <c r="AT49" i="4"/>
  <c r="AS49" i="4"/>
  <c r="AP49" i="4"/>
  <c r="AO49" i="4"/>
  <c r="AN49" i="4"/>
  <c r="AK49" i="4"/>
  <c r="AJ49" i="4"/>
  <c r="AI49" i="4"/>
  <c r="AE49" i="4"/>
  <c r="AD49" i="4"/>
  <c r="AC49" i="4"/>
  <c r="Y49" i="4"/>
  <c r="X49" i="4"/>
  <c r="W49" i="4"/>
  <c r="T49" i="4"/>
  <c r="S49" i="4"/>
  <c r="R49" i="4"/>
  <c r="M49" i="4"/>
  <c r="F49" i="4"/>
  <c r="E49" i="4"/>
  <c r="D49" i="4"/>
  <c r="C49" i="4"/>
  <c r="B49" i="4"/>
  <c r="BE48" i="4"/>
  <c r="BD48" i="4"/>
  <c r="BC48" i="4"/>
  <c r="AZ48" i="4"/>
  <c r="AY48" i="4"/>
  <c r="AX48" i="4"/>
  <c r="AU48" i="4"/>
  <c r="AT48" i="4"/>
  <c r="AS48" i="4"/>
  <c r="AP48" i="4"/>
  <c r="AO48" i="4"/>
  <c r="AN48" i="4"/>
  <c r="AK48" i="4"/>
  <c r="AJ48" i="4"/>
  <c r="AI48" i="4"/>
  <c r="AE48" i="4"/>
  <c r="AD48" i="4"/>
  <c r="AC48" i="4"/>
  <c r="Y48" i="4"/>
  <c r="X48" i="4"/>
  <c r="W48" i="4"/>
  <c r="T48" i="4"/>
  <c r="S48" i="4"/>
  <c r="R48" i="4"/>
  <c r="M48" i="4"/>
  <c r="F48" i="4"/>
  <c r="E48" i="4"/>
  <c r="D48" i="4"/>
  <c r="C48" i="4"/>
  <c r="B48" i="4"/>
  <c r="BE47" i="4"/>
  <c r="BD47" i="4"/>
  <c r="BC47" i="4"/>
  <c r="AZ47" i="4"/>
  <c r="AY47" i="4"/>
  <c r="AX47" i="4"/>
  <c r="AU47" i="4"/>
  <c r="AT47" i="4"/>
  <c r="AS47" i="4"/>
  <c r="AP47" i="4"/>
  <c r="AO47" i="4"/>
  <c r="AN47" i="4"/>
  <c r="AK47" i="4"/>
  <c r="AJ47" i="4"/>
  <c r="AI47" i="4"/>
  <c r="AE47" i="4"/>
  <c r="AD47" i="4"/>
  <c r="AC47" i="4"/>
  <c r="Y47" i="4"/>
  <c r="X47" i="4"/>
  <c r="W47" i="4"/>
  <c r="T47" i="4"/>
  <c r="S47" i="4"/>
  <c r="R47" i="4"/>
  <c r="M47" i="4"/>
  <c r="F47" i="4"/>
  <c r="E47" i="4"/>
  <c r="D47" i="4"/>
  <c r="C47" i="4"/>
  <c r="B47" i="4"/>
  <c r="BE46" i="4"/>
  <c r="BD46" i="4"/>
  <c r="BC46" i="4"/>
  <c r="AZ46" i="4"/>
  <c r="AY46" i="4"/>
  <c r="AX46" i="4"/>
  <c r="AU46" i="4"/>
  <c r="AT46" i="4"/>
  <c r="AS46" i="4"/>
  <c r="AP46" i="4"/>
  <c r="AO46" i="4"/>
  <c r="AN46" i="4"/>
  <c r="AK46" i="4"/>
  <c r="AJ46" i="4"/>
  <c r="AI46" i="4"/>
  <c r="AE46" i="4"/>
  <c r="AD46" i="4"/>
  <c r="AC46" i="4"/>
  <c r="Y46" i="4"/>
  <c r="X46" i="4"/>
  <c r="W46" i="4"/>
  <c r="T46" i="4"/>
  <c r="S46" i="4"/>
  <c r="R46" i="4"/>
  <c r="M46" i="4"/>
  <c r="F46" i="4"/>
  <c r="E46" i="4"/>
  <c r="D46" i="4"/>
  <c r="C46" i="4"/>
  <c r="B46" i="4"/>
  <c r="BE45" i="4"/>
  <c r="BD45" i="4"/>
  <c r="BC45" i="4"/>
  <c r="AZ45" i="4"/>
  <c r="AY45" i="4"/>
  <c r="AX45" i="4"/>
  <c r="AU45" i="4"/>
  <c r="AT45" i="4"/>
  <c r="AS45" i="4"/>
  <c r="AP45" i="4"/>
  <c r="AO45" i="4"/>
  <c r="AN45" i="4"/>
  <c r="AK45" i="4"/>
  <c r="AJ45" i="4"/>
  <c r="AI45" i="4"/>
  <c r="AE45" i="4"/>
  <c r="AD45" i="4"/>
  <c r="AC45" i="4"/>
  <c r="Y45" i="4"/>
  <c r="X45" i="4"/>
  <c r="W45" i="4"/>
  <c r="T45" i="4"/>
  <c r="S45" i="4"/>
  <c r="R45" i="4"/>
  <c r="M45" i="4"/>
  <c r="F45" i="4"/>
  <c r="E45" i="4"/>
  <c r="D45" i="4"/>
  <c r="C45" i="4"/>
  <c r="B45" i="4"/>
  <c r="BE44" i="4"/>
  <c r="BD44" i="4"/>
  <c r="BC44" i="4"/>
  <c r="AZ44" i="4"/>
  <c r="AY44" i="4"/>
  <c r="AX44" i="4"/>
  <c r="AU44" i="4"/>
  <c r="AT44" i="4"/>
  <c r="AS44" i="4"/>
  <c r="AP44" i="4"/>
  <c r="AO44" i="4"/>
  <c r="AN44" i="4"/>
  <c r="AK44" i="4"/>
  <c r="AJ44" i="4"/>
  <c r="AI44" i="4"/>
  <c r="AE44" i="4"/>
  <c r="AD44" i="4"/>
  <c r="AC44" i="4"/>
  <c r="Y44" i="4"/>
  <c r="X44" i="4"/>
  <c r="W44" i="4"/>
  <c r="T44" i="4"/>
  <c r="S44" i="4"/>
  <c r="R44" i="4"/>
  <c r="M44" i="4"/>
  <c r="F44" i="4"/>
  <c r="E44" i="4"/>
  <c r="D44" i="4"/>
  <c r="C44" i="4"/>
  <c r="B44" i="4"/>
  <c r="BE43" i="4"/>
  <c r="BD43" i="4"/>
  <c r="BC43" i="4"/>
  <c r="AZ43" i="4"/>
  <c r="AY43" i="4"/>
  <c r="AX43" i="4"/>
  <c r="AU43" i="4"/>
  <c r="AT43" i="4"/>
  <c r="AS43" i="4"/>
  <c r="AP43" i="4"/>
  <c r="AO43" i="4"/>
  <c r="AN43" i="4"/>
  <c r="AK43" i="4"/>
  <c r="AJ43" i="4"/>
  <c r="AI43" i="4"/>
  <c r="AE43" i="4"/>
  <c r="AD43" i="4"/>
  <c r="AC43" i="4"/>
  <c r="Y43" i="4"/>
  <c r="X43" i="4"/>
  <c r="W43" i="4"/>
  <c r="T43" i="4"/>
  <c r="S43" i="4"/>
  <c r="R43" i="4"/>
  <c r="M43" i="4"/>
  <c r="F43" i="4"/>
  <c r="E43" i="4"/>
  <c r="D43" i="4"/>
  <c r="C43" i="4"/>
  <c r="B43" i="4"/>
  <c r="BE42" i="4"/>
  <c r="BD42" i="4"/>
  <c r="BC42" i="4"/>
  <c r="AZ42" i="4"/>
  <c r="AY42" i="4"/>
  <c r="AX42" i="4"/>
  <c r="AU42" i="4"/>
  <c r="AT42" i="4"/>
  <c r="AS42" i="4"/>
  <c r="AP42" i="4"/>
  <c r="AO42" i="4"/>
  <c r="AN42" i="4"/>
  <c r="AK42" i="4"/>
  <c r="AJ42" i="4"/>
  <c r="AI42" i="4"/>
  <c r="AE42" i="4"/>
  <c r="AD42" i="4"/>
  <c r="AC42" i="4"/>
  <c r="Y42" i="4"/>
  <c r="X42" i="4"/>
  <c r="W42" i="4"/>
  <c r="T42" i="4"/>
  <c r="S42" i="4"/>
  <c r="R42" i="4"/>
  <c r="M42" i="4"/>
  <c r="F42" i="4"/>
  <c r="E42" i="4"/>
  <c r="D42" i="4"/>
  <c r="C42" i="4"/>
  <c r="B42" i="4"/>
  <c r="BE41" i="4"/>
  <c r="BD41" i="4"/>
  <c r="BC41" i="4"/>
  <c r="AZ41" i="4"/>
  <c r="AY41" i="4"/>
  <c r="AX41" i="4"/>
  <c r="AU41" i="4"/>
  <c r="AT41" i="4"/>
  <c r="AS41" i="4"/>
  <c r="AP41" i="4"/>
  <c r="AO41" i="4"/>
  <c r="AN41" i="4"/>
  <c r="AK41" i="4"/>
  <c r="AJ41" i="4"/>
  <c r="AI41" i="4"/>
  <c r="AE41" i="4"/>
  <c r="AD41" i="4"/>
  <c r="AC41" i="4"/>
  <c r="Y41" i="4"/>
  <c r="X41" i="4"/>
  <c r="W41" i="4"/>
  <c r="T41" i="4"/>
  <c r="S41" i="4"/>
  <c r="R41" i="4"/>
  <c r="M41" i="4"/>
  <c r="F41" i="4"/>
  <c r="E41" i="4"/>
  <c r="D41" i="4"/>
  <c r="C41" i="4"/>
  <c r="B41" i="4"/>
  <c r="BE40" i="4"/>
  <c r="BD40" i="4"/>
  <c r="BC40" i="4"/>
  <c r="AZ40" i="4"/>
  <c r="AY40" i="4"/>
  <c r="AX40" i="4"/>
  <c r="AU40" i="4"/>
  <c r="AT40" i="4"/>
  <c r="AS40" i="4"/>
  <c r="AP40" i="4"/>
  <c r="AO40" i="4"/>
  <c r="AN40" i="4"/>
  <c r="AK40" i="4"/>
  <c r="AJ40" i="4"/>
  <c r="AI40" i="4"/>
  <c r="AE40" i="4"/>
  <c r="AD40" i="4"/>
  <c r="AC40" i="4"/>
  <c r="Y40" i="4"/>
  <c r="X40" i="4"/>
  <c r="W40" i="4"/>
  <c r="T40" i="4"/>
  <c r="S40" i="4"/>
  <c r="R40" i="4"/>
  <c r="M40" i="4"/>
  <c r="F40" i="4"/>
  <c r="E40" i="4"/>
  <c r="D40" i="4"/>
  <c r="C40" i="4"/>
  <c r="B40" i="4"/>
  <c r="BE39" i="4"/>
  <c r="BD39" i="4"/>
  <c r="BC39" i="4"/>
  <c r="AZ39" i="4"/>
  <c r="AY39" i="4"/>
  <c r="AX39" i="4"/>
  <c r="AU39" i="4"/>
  <c r="AT39" i="4"/>
  <c r="AS39" i="4"/>
  <c r="AP39" i="4"/>
  <c r="AO39" i="4"/>
  <c r="AN39" i="4"/>
  <c r="AK39" i="4"/>
  <c r="AJ39" i="4"/>
  <c r="AI39" i="4"/>
  <c r="AE39" i="4"/>
  <c r="AD39" i="4"/>
  <c r="AC39" i="4"/>
  <c r="Y39" i="4"/>
  <c r="X39" i="4"/>
  <c r="W39" i="4"/>
  <c r="T39" i="4"/>
  <c r="S39" i="4"/>
  <c r="R39" i="4"/>
  <c r="M39" i="4"/>
  <c r="F39" i="4"/>
  <c r="E39" i="4"/>
  <c r="D39" i="4"/>
  <c r="C39" i="4"/>
  <c r="B39" i="4"/>
  <c r="BE38" i="4"/>
  <c r="BD38" i="4"/>
  <c r="BC38" i="4"/>
  <c r="AZ38" i="4"/>
  <c r="AY38" i="4"/>
  <c r="AX38" i="4"/>
  <c r="AU38" i="4"/>
  <c r="AT38" i="4"/>
  <c r="AS38" i="4"/>
  <c r="AP38" i="4"/>
  <c r="AO38" i="4"/>
  <c r="AN38" i="4"/>
  <c r="AK38" i="4"/>
  <c r="AJ38" i="4"/>
  <c r="AI38" i="4"/>
  <c r="AE38" i="4"/>
  <c r="AD38" i="4"/>
  <c r="AC38" i="4"/>
  <c r="Y38" i="4"/>
  <c r="X38" i="4"/>
  <c r="W38" i="4"/>
  <c r="T38" i="4"/>
  <c r="S38" i="4"/>
  <c r="R38" i="4"/>
  <c r="M38" i="4"/>
  <c r="F38" i="4"/>
  <c r="E38" i="4"/>
  <c r="D38" i="4"/>
  <c r="C38" i="4"/>
  <c r="B38" i="4"/>
  <c r="BE37" i="4"/>
  <c r="BD37" i="4"/>
  <c r="BC37" i="4"/>
  <c r="AZ37" i="4"/>
  <c r="AY37" i="4"/>
  <c r="AX37" i="4"/>
  <c r="AU37" i="4"/>
  <c r="AT37" i="4"/>
  <c r="AS37" i="4"/>
  <c r="AP37" i="4"/>
  <c r="AO37" i="4"/>
  <c r="AN37" i="4"/>
  <c r="AK37" i="4"/>
  <c r="AJ37" i="4"/>
  <c r="AI37" i="4"/>
  <c r="AE37" i="4"/>
  <c r="AD37" i="4"/>
  <c r="AC37" i="4"/>
  <c r="Y37" i="4"/>
  <c r="X37" i="4"/>
  <c r="W37" i="4"/>
  <c r="T37" i="4"/>
  <c r="S37" i="4"/>
  <c r="R37" i="4"/>
  <c r="M37" i="4"/>
  <c r="F37" i="4"/>
  <c r="E37" i="4"/>
  <c r="D37" i="4"/>
  <c r="C37" i="4"/>
  <c r="B37" i="4"/>
  <c r="BE36" i="4"/>
  <c r="BD36" i="4"/>
  <c r="BC36" i="4"/>
  <c r="AZ36" i="4"/>
  <c r="AY36" i="4"/>
  <c r="AX36" i="4"/>
  <c r="AU36" i="4"/>
  <c r="AT36" i="4"/>
  <c r="AS36" i="4"/>
  <c r="AP36" i="4"/>
  <c r="AO36" i="4"/>
  <c r="AN36" i="4"/>
  <c r="AK36" i="4"/>
  <c r="AJ36" i="4"/>
  <c r="AI36" i="4"/>
  <c r="AE36" i="4"/>
  <c r="AD36" i="4"/>
  <c r="AC36" i="4"/>
  <c r="Y36" i="4"/>
  <c r="X36" i="4"/>
  <c r="W36" i="4"/>
  <c r="T36" i="4"/>
  <c r="S36" i="4"/>
  <c r="R36" i="4"/>
  <c r="M36" i="4"/>
  <c r="F36" i="4"/>
  <c r="E36" i="4"/>
  <c r="D36" i="4"/>
  <c r="C36" i="4"/>
  <c r="B36" i="4"/>
  <c r="BE35" i="4"/>
  <c r="BD35" i="4"/>
  <c r="BC35" i="4"/>
  <c r="AZ35" i="4"/>
  <c r="AY35" i="4"/>
  <c r="AX35" i="4"/>
  <c r="AU35" i="4"/>
  <c r="AT35" i="4"/>
  <c r="AS35" i="4"/>
  <c r="AP35" i="4"/>
  <c r="AO35" i="4"/>
  <c r="AN35" i="4"/>
  <c r="AK35" i="4"/>
  <c r="AJ35" i="4"/>
  <c r="AI35" i="4"/>
  <c r="AE35" i="4"/>
  <c r="AD35" i="4"/>
  <c r="AC35" i="4"/>
  <c r="Y35" i="4"/>
  <c r="X35" i="4"/>
  <c r="W35" i="4"/>
  <c r="T35" i="4"/>
  <c r="S35" i="4"/>
  <c r="R35" i="4"/>
  <c r="M35" i="4"/>
  <c r="F35" i="4"/>
  <c r="E35" i="4"/>
  <c r="D35" i="4"/>
  <c r="C35" i="4"/>
  <c r="B35" i="4"/>
  <c r="BE34" i="4"/>
  <c r="BD34" i="4"/>
  <c r="BC34" i="4"/>
  <c r="AZ34" i="4"/>
  <c r="AY34" i="4"/>
  <c r="AX34" i="4"/>
  <c r="AU34" i="4"/>
  <c r="AT34" i="4"/>
  <c r="AS34" i="4"/>
  <c r="AP34" i="4"/>
  <c r="AO34" i="4"/>
  <c r="AN34" i="4"/>
  <c r="AK34" i="4"/>
  <c r="AJ34" i="4"/>
  <c r="AI34" i="4"/>
  <c r="AE34" i="4"/>
  <c r="AD34" i="4"/>
  <c r="AC34" i="4"/>
  <c r="Y34" i="4"/>
  <c r="X34" i="4"/>
  <c r="W34" i="4"/>
  <c r="T34" i="4"/>
  <c r="S34" i="4"/>
  <c r="R34" i="4"/>
  <c r="M34" i="4"/>
  <c r="F34" i="4"/>
  <c r="E34" i="4"/>
  <c r="D34" i="4"/>
  <c r="C34" i="4"/>
  <c r="B34" i="4"/>
  <c r="BE33" i="4"/>
  <c r="BD33" i="4"/>
  <c r="BC33" i="4"/>
  <c r="AZ33" i="4"/>
  <c r="AY33" i="4"/>
  <c r="AX33" i="4"/>
  <c r="AU33" i="4"/>
  <c r="AT33" i="4"/>
  <c r="AS33" i="4"/>
  <c r="AP33" i="4"/>
  <c r="AO33" i="4"/>
  <c r="AN33" i="4"/>
  <c r="AK33" i="4"/>
  <c r="AJ33" i="4"/>
  <c r="AI33" i="4"/>
  <c r="AE33" i="4"/>
  <c r="AD33" i="4"/>
  <c r="AC33" i="4"/>
  <c r="Y33" i="4"/>
  <c r="X33" i="4"/>
  <c r="W33" i="4"/>
  <c r="T33" i="4"/>
  <c r="S33" i="4"/>
  <c r="R33" i="4"/>
  <c r="M33" i="4"/>
  <c r="F33" i="4"/>
  <c r="E33" i="4"/>
  <c r="D33" i="4"/>
  <c r="C33" i="4"/>
  <c r="B33" i="4"/>
  <c r="BE32" i="4"/>
  <c r="BD32" i="4"/>
  <c r="BC32" i="4"/>
  <c r="AZ32" i="4"/>
  <c r="AY32" i="4"/>
  <c r="AX32" i="4"/>
  <c r="AU32" i="4"/>
  <c r="AT32" i="4"/>
  <c r="AS32" i="4"/>
  <c r="AP32" i="4"/>
  <c r="AO32" i="4"/>
  <c r="AN32" i="4"/>
  <c r="AK32" i="4"/>
  <c r="AJ32" i="4"/>
  <c r="AI32" i="4"/>
  <c r="AE32" i="4"/>
  <c r="AD32" i="4"/>
  <c r="AC32" i="4"/>
  <c r="Y32" i="4"/>
  <c r="X32" i="4"/>
  <c r="W32" i="4"/>
  <c r="T32" i="4"/>
  <c r="S32" i="4"/>
  <c r="R32" i="4"/>
  <c r="M32" i="4"/>
  <c r="F32" i="4"/>
  <c r="E32" i="4"/>
  <c r="D32" i="4"/>
  <c r="C32" i="4"/>
  <c r="B32" i="4"/>
  <c r="BE31" i="4"/>
  <c r="BD31" i="4"/>
  <c r="BC31" i="4"/>
  <c r="AZ31" i="4"/>
  <c r="AY31" i="4"/>
  <c r="AX31" i="4"/>
  <c r="AU31" i="4"/>
  <c r="AT31" i="4"/>
  <c r="AS31" i="4"/>
  <c r="AP31" i="4"/>
  <c r="AO31" i="4"/>
  <c r="AN31" i="4"/>
  <c r="AK31" i="4"/>
  <c r="AJ31" i="4"/>
  <c r="AI31" i="4"/>
  <c r="AE31" i="4"/>
  <c r="AD31" i="4"/>
  <c r="AC31" i="4"/>
  <c r="Y31" i="4"/>
  <c r="X31" i="4"/>
  <c r="W31" i="4"/>
  <c r="T31" i="4"/>
  <c r="S31" i="4"/>
  <c r="R31" i="4"/>
  <c r="M31" i="4"/>
  <c r="F31" i="4"/>
  <c r="E31" i="4"/>
  <c r="D31" i="4"/>
  <c r="C31" i="4"/>
  <c r="B31" i="4"/>
  <c r="BE30" i="4"/>
  <c r="BD30" i="4"/>
  <c r="BC30" i="4"/>
  <c r="AZ30" i="4"/>
  <c r="AY30" i="4"/>
  <c r="AX30" i="4"/>
  <c r="AU30" i="4"/>
  <c r="AT30" i="4"/>
  <c r="AS30" i="4"/>
  <c r="AP30" i="4"/>
  <c r="AO30" i="4"/>
  <c r="AN30" i="4"/>
  <c r="AK30" i="4"/>
  <c r="AJ30" i="4"/>
  <c r="AI30" i="4"/>
  <c r="AE30" i="4"/>
  <c r="AD30" i="4"/>
  <c r="AC30" i="4"/>
  <c r="Y30" i="4"/>
  <c r="X30" i="4"/>
  <c r="W30" i="4"/>
  <c r="T30" i="4"/>
  <c r="S30" i="4"/>
  <c r="R30" i="4"/>
  <c r="M30" i="4"/>
  <c r="F30" i="4"/>
  <c r="E30" i="4"/>
  <c r="D30" i="4"/>
  <c r="C30" i="4"/>
  <c r="B30" i="4"/>
  <c r="BE29" i="4"/>
  <c r="BD29" i="4"/>
  <c r="BC29" i="4"/>
  <c r="AZ29" i="4"/>
  <c r="AY29" i="4"/>
  <c r="AX29" i="4"/>
  <c r="AU29" i="4"/>
  <c r="AT29" i="4"/>
  <c r="AS29" i="4"/>
  <c r="AP29" i="4"/>
  <c r="AO29" i="4"/>
  <c r="AN29" i="4"/>
  <c r="AK29" i="4"/>
  <c r="AJ29" i="4"/>
  <c r="AI29" i="4"/>
  <c r="AE29" i="4"/>
  <c r="AD29" i="4"/>
  <c r="AC29" i="4"/>
  <c r="Y29" i="4"/>
  <c r="X29" i="4"/>
  <c r="W29" i="4"/>
  <c r="T29" i="4"/>
  <c r="S29" i="4"/>
  <c r="R29" i="4"/>
  <c r="M29" i="4"/>
  <c r="F29" i="4"/>
  <c r="E29" i="4"/>
  <c r="D29" i="4"/>
  <c r="C29" i="4"/>
  <c r="B29" i="4"/>
  <c r="BE28" i="4"/>
  <c r="BD28" i="4"/>
  <c r="BC28" i="4"/>
  <c r="AZ28" i="4"/>
  <c r="AY28" i="4"/>
  <c r="AX28" i="4"/>
  <c r="AU28" i="4"/>
  <c r="AT28" i="4"/>
  <c r="AS28" i="4"/>
  <c r="AP28" i="4"/>
  <c r="AO28" i="4"/>
  <c r="AN28" i="4"/>
  <c r="AK28" i="4"/>
  <c r="AJ28" i="4"/>
  <c r="AI28" i="4"/>
  <c r="AE28" i="4"/>
  <c r="AD28" i="4"/>
  <c r="AC28" i="4"/>
  <c r="Y28" i="4"/>
  <c r="X28" i="4"/>
  <c r="W28" i="4"/>
  <c r="T28" i="4"/>
  <c r="S28" i="4"/>
  <c r="R28" i="4"/>
  <c r="M28" i="4"/>
  <c r="F28" i="4"/>
  <c r="E28" i="4"/>
  <c r="D28" i="4"/>
  <c r="C28" i="4"/>
  <c r="B28" i="4"/>
  <c r="BE27" i="4"/>
  <c r="BD27" i="4"/>
  <c r="BC27" i="4"/>
  <c r="AZ27" i="4"/>
  <c r="AY27" i="4"/>
  <c r="AX27" i="4"/>
  <c r="AU27" i="4"/>
  <c r="AT27" i="4"/>
  <c r="AS27" i="4"/>
  <c r="AP27" i="4"/>
  <c r="AO27" i="4"/>
  <c r="AN27" i="4"/>
  <c r="AK27" i="4"/>
  <c r="AJ27" i="4"/>
  <c r="AI27" i="4"/>
  <c r="AE27" i="4"/>
  <c r="AD27" i="4"/>
  <c r="AC27" i="4"/>
  <c r="Y27" i="4"/>
  <c r="X27" i="4"/>
  <c r="W27" i="4"/>
  <c r="T27" i="4"/>
  <c r="S27" i="4"/>
  <c r="R27" i="4"/>
  <c r="M27" i="4"/>
  <c r="F27" i="4"/>
  <c r="E27" i="4"/>
  <c r="D27" i="4"/>
  <c r="C27" i="4"/>
  <c r="B27" i="4"/>
  <c r="BE26" i="4"/>
  <c r="BD26" i="4"/>
  <c r="BC26" i="4"/>
  <c r="AZ26" i="4"/>
  <c r="AY26" i="4"/>
  <c r="AX26" i="4"/>
  <c r="AU26" i="4"/>
  <c r="AT26" i="4"/>
  <c r="AS26" i="4"/>
  <c r="AP26" i="4"/>
  <c r="AO26" i="4"/>
  <c r="AN26" i="4"/>
  <c r="AK26" i="4"/>
  <c r="AJ26" i="4"/>
  <c r="AI26" i="4"/>
  <c r="AE26" i="4"/>
  <c r="AD26" i="4"/>
  <c r="AC26" i="4"/>
  <c r="Y26" i="4"/>
  <c r="X26" i="4"/>
  <c r="W26" i="4"/>
  <c r="T26" i="4"/>
  <c r="S26" i="4"/>
  <c r="R26" i="4"/>
  <c r="M26" i="4"/>
  <c r="F26" i="4"/>
  <c r="E26" i="4"/>
  <c r="D26" i="4"/>
  <c r="C26" i="4"/>
  <c r="B26" i="4"/>
  <c r="BE25" i="4"/>
  <c r="BD25" i="4"/>
  <c r="BC25" i="4"/>
  <c r="AZ25" i="4"/>
  <c r="AY25" i="4"/>
  <c r="AX25" i="4"/>
  <c r="AU25" i="4"/>
  <c r="AT25" i="4"/>
  <c r="AS25" i="4"/>
  <c r="AP25" i="4"/>
  <c r="AO25" i="4"/>
  <c r="AN25" i="4"/>
  <c r="AK25" i="4"/>
  <c r="AJ25" i="4"/>
  <c r="AI25" i="4"/>
  <c r="AE25" i="4"/>
  <c r="AD25" i="4"/>
  <c r="AC25" i="4"/>
  <c r="Y25" i="4"/>
  <c r="X25" i="4"/>
  <c r="W25" i="4"/>
  <c r="T25" i="4"/>
  <c r="S25" i="4"/>
  <c r="R25" i="4"/>
  <c r="M25" i="4"/>
  <c r="F25" i="4"/>
  <c r="E25" i="4"/>
  <c r="D25" i="4"/>
  <c r="C25" i="4"/>
  <c r="B25" i="4"/>
  <c r="BE24" i="4"/>
  <c r="BD24" i="4"/>
  <c r="BC24" i="4"/>
  <c r="AZ24" i="4"/>
  <c r="AY24" i="4"/>
  <c r="AX24" i="4"/>
  <c r="AU24" i="4"/>
  <c r="AT24" i="4"/>
  <c r="AS24" i="4"/>
  <c r="AP24" i="4"/>
  <c r="AO24" i="4"/>
  <c r="AN24" i="4"/>
  <c r="AK24" i="4"/>
  <c r="AJ24" i="4"/>
  <c r="AI24" i="4"/>
  <c r="AE24" i="4"/>
  <c r="AD24" i="4"/>
  <c r="AC24" i="4"/>
  <c r="Y24" i="4"/>
  <c r="X24" i="4"/>
  <c r="W24" i="4"/>
  <c r="T24" i="4"/>
  <c r="S24" i="4"/>
  <c r="R24" i="4"/>
  <c r="M24" i="4"/>
  <c r="F24" i="4"/>
  <c r="E24" i="4"/>
  <c r="D24" i="4"/>
  <c r="C24" i="4"/>
  <c r="B24" i="4"/>
  <c r="BE23" i="4"/>
  <c r="BD23" i="4"/>
  <c r="BC23" i="4"/>
  <c r="AZ23" i="4"/>
  <c r="AY23" i="4"/>
  <c r="AX23" i="4"/>
  <c r="AU23" i="4"/>
  <c r="AT23" i="4"/>
  <c r="AS23" i="4"/>
  <c r="AP23" i="4"/>
  <c r="AO23" i="4"/>
  <c r="AN23" i="4"/>
  <c r="AK23" i="4"/>
  <c r="AJ23" i="4"/>
  <c r="AI23" i="4"/>
  <c r="AE23" i="4"/>
  <c r="AD23" i="4"/>
  <c r="AC23" i="4"/>
  <c r="Y23" i="4"/>
  <c r="X23" i="4"/>
  <c r="W23" i="4"/>
  <c r="T23" i="4"/>
  <c r="S23" i="4"/>
  <c r="R23" i="4"/>
  <c r="M23" i="4"/>
  <c r="F23" i="4"/>
  <c r="E23" i="4"/>
  <c r="D23" i="4"/>
  <c r="C23" i="4"/>
  <c r="B23" i="4"/>
  <c r="BE22" i="4"/>
  <c r="BD22" i="4"/>
  <c r="BC22" i="4"/>
  <c r="AZ22" i="4"/>
  <c r="AY22" i="4"/>
  <c r="AX22" i="4"/>
  <c r="AU22" i="4"/>
  <c r="AT22" i="4"/>
  <c r="AS22" i="4"/>
  <c r="AP22" i="4"/>
  <c r="AO22" i="4"/>
  <c r="AN22" i="4"/>
  <c r="AK22" i="4"/>
  <c r="AJ22" i="4"/>
  <c r="AI22" i="4"/>
  <c r="AE22" i="4"/>
  <c r="AD22" i="4"/>
  <c r="AC22" i="4"/>
  <c r="Y22" i="4"/>
  <c r="X22" i="4"/>
  <c r="W22" i="4"/>
  <c r="T22" i="4"/>
  <c r="S22" i="4"/>
  <c r="R22" i="4"/>
  <c r="M22" i="4"/>
  <c r="F22" i="4"/>
  <c r="E22" i="4"/>
  <c r="D22" i="4"/>
  <c r="C22" i="4"/>
  <c r="B22" i="4"/>
  <c r="BE21" i="4"/>
  <c r="BD21" i="4"/>
  <c r="BC21" i="4"/>
  <c r="AZ21" i="4"/>
  <c r="AY21" i="4"/>
  <c r="AX21" i="4"/>
  <c r="AU21" i="4"/>
  <c r="AT21" i="4"/>
  <c r="AS21" i="4"/>
  <c r="AP21" i="4"/>
  <c r="AO21" i="4"/>
  <c r="AN21" i="4"/>
  <c r="AK21" i="4"/>
  <c r="AJ21" i="4"/>
  <c r="AI21" i="4"/>
  <c r="AE21" i="4"/>
  <c r="AD21" i="4"/>
  <c r="AC21" i="4"/>
  <c r="Y21" i="4"/>
  <c r="X21" i="4"/>
  <c r="W21" i="4"/>
  <c r="T21" i="4"/>
  <c r="S21" i="4"/>
  <c r="R21" i="4"/>
  <c r="M21" i="4"/>
  <c r="F21" i="4"/>
  <c r="E21" i="4"/>
  <c r="D21" i="4"/>
  <c r="C21" i="4"/>
  <c r="B21" i="4"/>
  <c r="BE20" i="4"/>
  <c r="BD20" i="4"/>
  <c r="BC20" i="4"/>
  <c r="AZ20" i="4"/>
  <c r="AY20" i="4"/>
  <c r="AX20" i="4"/>
  <c r="AU20" i="4"/>
  <c r="AT20" i="4"/>
  <c r="AS20" i="4"/>
  <c r="AP20" i="4"/>
  <c r="AO20" i="4"/>
  <c r="AN20" i="4"/>
  <c r="AK20" i="4"/>
  <c r="AJ20" i="4"/>
  <c r="AI20" i="4"/>
  <c r="AE20" i="4"/>
  <c r="AD20" i="4"/>
  <c r="AC20" i="4"/>
  <c r="Y20" i="4"/>
  <c r="X20" i="4"/>
  <c r="W20" i="4"/>
  <c r="T20" i="4"/>
  <c r="S20" i="4"/>
  <c r="R20" i="4"/>
  <c r="M20" i="4"/>
  <c r="F20" i="4"/>
  <c r="E20" i="4"/>
  <c r="D20" i="4"/>
  <c r="C20" i="4"/>
  <c r="B20" i="4"/>
  <c r="BE19" i="4"/>
  <c r="BD19" i="4"/>
  <c r="BC19" i="4"/>
  <c r="AZ19" i="4"/>
  <c r="AY19" i="4"/>
  <c r="AX19" i="4"/>
  <c r="AU19" i="4"/>
  <c r="AT19" i="4"/>
  <c r="AS19" i="4"/>
  <c r="AP19" i="4"/>
  <c r="AO19" i="4"/>
  <c r="AN19" i="4"/>
  <c r="AK19" i="4"/>
  <c r="AJ19" i="4"/>
  <c r="AI19" i="4"/>
  <c r="AE19" i="4"/>
  <c r="AD19" i="4"/>
  <c r="AC19" i="4"/>
  <c r="Y19" i="4"/>
  <c r="X19" i="4"/>
  <c r="W19" i="4"/>
  <c r="T19" i="4"/>
  <c r="S19" i="4"/>
  <c r="R19" i="4"/>
  <c r="M19" i="4"/>
  <c r="F19" i="4"/>
  <c r="E19" i="4"/>
  <c r="D19" i="4"/>
  <c r="C19" i="4"/>
  <c r="B19" i="4"/>
  <c r="BE18" i="4"/>
  <c r="BD18" i="4"/>
  <c r="BC18" i="4"/>
  <c r="AZ18" i="4"/>
  <c r="AY18" i="4"/>
  <c r="AX18" i="4"/>
  <c r="AU18" i="4"/>
  <c r="AT18" i="4"/>
  <c r="AS18" i="4"/>
  <c r="AP18" i="4"/>
  <c r="AO18" i="4"/>
  <c r="AN18" i="4"/>
  <c r="AK18" i="4"/>
  <c r="AJ18" i="4"/>
  <c r="AI18" i="4"/>
  <c r="AE18" i="4"/>
  <c r="AD18" i="4"/>
  <c r="AC18" i="4"/>
  <c r="Y18" i="4"/>
  <c r="X18" i="4"/>
  <c r="W18" i="4"/>
  <c r="T18" i="4"/>
  <c r="S18" i="4"/>
  <c r="R18" i="4"/>
  <c r="M18" i="4"/>
  <c r="F18" i="4"/>
  <c r="E18" i="4"/>
  <c r="D18" i="4"/>
  <c r="C18" i="4"/>
  <c r="B18" i="4"/>
  <c r="BE17" i="4"/>
  <c r="BD17" i="4"/>
  <c r="BC17" i="4"/>
  <c r="AZ17" i="4"/>
  <c r="AY17" i="4"/>
  <c r="AX17" i="4"/>
  <c r="AU17" i="4"/>
  <c r="AT17" i="4"/>
  <c r="AS17" i="4"/>
  <c r="AP17" i="4"/>
  <c r="AO17" i="4"/>
  <c r="AN17" i="4"/>
  <c r="AK17" i="4"/>
  <c r="AJ17" i="4"/>
  <c r="AI17" i="4"/>
  <c r="AE17" i="4"/>
  <c r="AD17" i="4"/>
  <c r="AC17" i="4"/>
  <c r="Y17" i="4"/>
  <c r="X17" i="4"/>
  <c r="W17" i="4"/>
  <c r="T17" i="4"/>
  <c r="S17" i="4"/>
  <c r="R17" i="4"/>
  <c r="M17" i="4"/>
  <c r="F17" i="4"/>
  <c r="E17" i="4"/>
  <c r="D17" i="4"/>
  <c r="C17" i="4"/>
  <c r="B17" i="4"/>
  <c r="BE16" i="4"/>
  <c r="BD16" i="4"/>
  <c r="BC16" i="4"/>
  <c r="AZ16" i="4"/>
  <c r="AY16" i="4"/>
  <c r="AX16" i="4"/>
  <c r="AU16" i="4"/>
  <c r="AT16" i="4"/>
  <c r="AS16" i="4"/>
  <c r="AP16" i="4"/>
  <c r="AO16" i="4"/>
  <c r="AN16" i="4"/>
  <c r="AK16" i="4"/>
  <c r="AJ16" i="4"/>
  <c r="AI16" i="4"/>
  <c r="AE16" i="4"/>
  <c r="AD16" i="4"/>
  <c r="AC16" i="4"/>
  <c r="Y16" i="4"/>
  <c r="X16" i="4"/>
  <c r="W16" i="4"/>
  <c r="T16" i="4"/>
  <c r="S16" i="4"/>
  <c r="R16" i="4"/>
  <c r="M16" i="4"/>
  <c r="F16" i="4"/>
  <c r="E16" i="4"/>
  <c r="D16" i="4"/>
  <c r="C16" i="4"/>
  <c r="B16" i="4"/>
  <c r="BE15" i="4"/>
  <c r="BD15" i="4"/>
  <c r="BC15" i="4"/>
  <c r="AZ15" i="4"/>
  <c r="AY15" i="4"/>
  <c r="AX15" i="4"/>
  <c r="AU15" i="4"/>
  <c r="AT15" i="4"/>
  <c r="AS15" i="4"/>
  <c r="AP15" i="4"/>
  <c r="AO15" i="4"/>
  <c r="AN15" i="4"/>
  <c r="AK15" i="4"/>
  <c r="AJ15" i="4"/>
  <c r="AI15" i="4"/>
  <c r="AE15" i="4"/>
  <c r="AD15" i="4"/>
  <c r="AC15" i="4"/>
  <c r="Y15" i="4"/>
  <c r="X15" i="4"/>
  <c r="W15" i="4"/>
  <c r="T15" i="4"/>
  <c r="S15" i="4"/>
  <c r="R15" i="4"/>
  <c r="M15" i="4"/>
  <c r="F15" i="4"/>
  <c r="E15" i="4"/>
  <c r="D15" i="4"/>
  <c r="C15" i="4"/>
  <c r="B15" i="4"/>
  <c r="BE14" i="4"/>
  <c r="BD14" i="4"/>
  <c r="BC14" i="4"/>
  <c r="AZ14" i="4"/>
  <c r="AY14" i="4"/>
  <c r="AX14" i="4"/>
  <c r="AU14" i="4"/>
  <c r="AT14" i="4"/>
  <c r="AS14" i="4"/>
  <c r="AP14" i="4"/>
  <c r="AO14" i="4"/>
  <c r="AN14" i="4"/>
  <c r="AK14" i="4"/>
  <c r="AJ14" i="4"/>
  <c r="AI14" i="4"/>
  <c r="AE14" i="4"/>
  <c r="AD14" i="4"/>
  <c r="AC14" i="4"/>
  <c r="Y14" i="4"/>
  <c r="X14" i="4"/>
  <c r="W14" i="4"/>
  <c r="T14" i="4"/>
  <c r="S14" i="4"/>
  <c r="R14" i="4"/>
  <c r="M14" i="4"/>
  <c r="F14" i="4"/>
  <c r="E14" i="4"/>
  <c r="D14" i="4"/>
  <c r="C14" i="4"/>
  <c r="B14" i="4"/>
  <c r="BE13" i="4"/>
  <c r="BD13" i="4"/>
  <c r="BC13" i="4"/>
  <c r="AZ13" i="4"/>
  <c r="AY13" i="4"/>
  <c r="AX13" i="4"/>
  <c r="AU13" i="4"/>
  <c r="AT13" i="4"/>
  <c r="AS13" i="4"/>
  <c r="AP13" i="4"/>
  <c r="AO13" i="4"/>
  <c r="AN13" i="4"/>
  <c r="AK13" i="4"/>
  <c r="AJ13" i="4"/>
  <c r="AI13" i="4"/>
  <c r="AE13" i="4"/>
  <c r="AD13" i="4"/>
  <c r="AC13" i="4"/>
  <c r="Y13" i="4"/>
  <c r="X13" i="4"/>
  <c r="W13" i="4"/>
  <c r="T13" i="4"/>
  <c r="S13" i="4"/>
  <c r="R13" i="4"/>
  <c r="M13" i="4"/>
  <c r="F13" i="4"/>
  <c r="E13" i="4"/>
  <c r="D13" i="4"/>
  <c r="C13" i="4"/>
  <c r="B13" i="4"/>
  <c r="BE12" i="4"/>
  <c r="BD12" i="4"/>
  <c r="BC12" i="4"/>
  <c r="AZ12" i="4"/>
  <c r="AY12" i="4"/>
  <c r="AX12" i="4"/>
  <c r="AU12" i="4"/>
  <c r="AT12" i="4"/>
  <c r="AS12" i="4"/>
  <c r="AP12" i="4"/>
  <c r="AO12" i="4"/>
  <c r="AN12" i="4"/>
  <c r="AK12" i="4"/>
  <c r="AJ12" i="4"/>
  <c r="AI12" i="4"/>
  <c r="AE12" i="4"/>
  <c r="AD12" i="4"/>
  <c r="AC12" i="4"/>
  <c r="Y12" i="4"/>
  <c r="X12" i="4"/>
  <c r="W12" i="4"/>
  <c r="T12" i="4"/>
  <c r="S12" i="4"/>
  <c r="R12" i="4"/>
  <c r="M12" i="4"/>
  <c r="F12" i="4"/>
  <c r="E12" i="4"/>
  <c r="D12" i="4"/>
  <c r="C12" i="4"/>
  <c r="B12" i="4"/>
  <c r="BE11" i="4"/>
  <c r="BD11" i="4"/>
  <c r="BC11" i="4"/>
  <c r="AZ11" i="4"/>
  <c r="AY11" i="4"/>
  <c r="AX11" i="4"/>
  <c r="AU11" i="4"/>
  <c r="AT11" i="4"/>
  <c r="AS11" i="4"/>
  <c r="AP11" i="4"/>
  <c r="AO11" i="4"/>
  <c r="AN11" i="4"/>
  <c r="AK11" i="4"/>
  <c r="AJ11" i="4"/>
  <c r="AI11" i="4"/>
  <c r="AE11" i="4"/>
  <c r="AD11" i="4"/>
  <c r="AC11" i="4"/>
  <c r="Y11" i="4"/>
  <c r="X11" i="4"/>
  <c r="W11" i="4"/>
  <c r="T11" i="4"/>
  <c r="S11" i="4"/>
  <c r="R11" i="4"/>
  <c r="M11" i="4"/>
  <c r="F11" i="4"/>
  <c r="E11" i="4"/>
  <c r="D11" i="4"/>
  <c r="C11" i="4"/>
  <c r="B11" i="4"/>
  <c r="BE10" i="4"/>
  <c r="BD10" i="4"/>
  <c r="BC10" i="4"/>
  <c r="AZ10" i="4"/>
  <c r="AY10" i="4"/>
  <c r="AX10" i="4"/>
  <c r="AU10" i="4"/>
  <c r="AT10" i="4"/>
  <c r="AS10" i="4"/>
  <c r="AP10" i="4"/>
  <c r="AO10" i="4"/>
  <c r="AN10" i="4"/>
  <c r="AK10" i="4"/>
  <c r="AJ10" i="4"/>
  <c r="AI10" i="4"/>
  <c r="AE10" i="4"/>
  <c r="AD10" i="4"/>
  <c r="AC10" i="4"/>
  <c r="Y10" i="4"/>
  <c r="X10" i="4"/>
  <c r="W10" i="4"/>
  <c r="T10" i="4"/>
  <c r="S10" i="4"/>
  <c r="R10" i="4"/>
  <c r="M10" i="4"/>
  <c r="F10" i="4"/>
  <c r="E10" i="4"/>
  <c r="D10" i="4"/>
  <c r="C10" i="4"/>
  <c r="B10" i="4"/>
  <c r="BE9" i="4"/>
  <c r="BD9" i="4"/>
  <c r="BC9" i="4"/>
  <c r="AZ9" i="4"/>
  <c r="AY9" i="4"/>
  <c r="AX9" i="4"/>
  <c r="AU9" i="4"/>
  <c r="AT9" i="4"/>
  <c r="AS9" i="4"/>
  <c r="AP9" i="4"/>
  <c r="AO9" i="4"/>
  <c r="AN9" i="4"/>
  <c r="AK9" i="4"/>
  <c r="AJ9" i="4"/>
  <c r="AI9" i="4"/>
  <c r="AE9" i="4"/>
  <c r="AD9" i="4"/>
  <c r="AC9" i="4"/>
  <c r="Y9" i="4"/>
  <c r="X9" i="4"/>
  <c r="W9" i="4"/>
  <c r="T9" i="4"/>
  <c r="S9" i="4"/>
  <c r="R9" i="4"/>
  <c r="M9" i="4"/>
  <c r="F9" i="4"/>
  <c r="E9" i="4"/>
  <c r="D9" i="4"/>
  <c r="C9" i="4"/>
  <c r="B9" i="4"/>
  <c r="BE8" i="4"/>
  <c r="BD8" i="4"/>
  <c r="BC8" i="4"/>
  <c r="AZ8" i="4"/>
  <c r="AY8" i="4"/>
  <c r="AX8" i="4"/>
  <c r="AU8" i="4"/>
  <c r="AT8" i="4"/>
  <c r="AS8" i="4"/>
  <c r="AP8" i="4"/>
  <c r="AO8" i="4"/>
  <c r="AN8" i="4"/>
  <c r="AK8" i="4"/>
  <c r="AJ8" i="4"/>
  <c r="AI8" i="4"/>
  <c r="AE8" i="4"/>
  <c r="AD8" i="4"/>
  <c r="AC8" i="4"/>
  <c r="Y8" i="4"/>
  <c r="X8" i="4"/>
  <c r="W8" i="4"/>
  <c r="T8" i="4"/>
  <c r="S8" i="4"/>
  <c r="R8" i="4"/>
  <c r="M8" i="4"/>
  <c r="F8" i="4"/>
  <c r="E8" i="4"/>
  <c r="D8" i="4"/>
  <c r="C8" i="4"/>
  <c r="B8" i="4"/>
  <c r="BE7" i="4"/>
  <c r="BD7" i="4"/>
  <c r="BC7" i="4"/>
  <c r="AZ7" i="4"/>
  <c r="AY7" i="4"/>
  <c r="AX7" i="4"/>
  <c r="AU7" i="4"/>
  <c r="AT7" i="4"/>
  <c r="AS7" i="4"/>
  <c r="AP7" i="4"/>
  <c r="AO7" i="4"/>
  <c r="AN7" i="4"/>
  <c r="AK7" i="4"/>
  <c r="AJ7" i="4"/>
  <c r="AI7" i="4"/>
  <c r="AE7" i="4"/>
  <c r="AD7" i="4"/>
  <c r="AC7" i="4"/>
  <c r="Y7" i="4"/>
  <c r="X7" i="4"/>
  <c r="W7" i="4"/>
  <c r="T7" i="4"/>
  <c r="S7" i="4"/>
  <c r="R7" i="4"/>
  <c r="M7" i="4"/>
  <c r="F7" i="4"/>
  <c r="E7" i="4"/>
  <c r="D7" i="4"/>
  <c r="C7" i="4"/>
  <c r="B7" i="4"/>
  <c r="BE6" i="4"/>
  <c r="BD6" i="4"/>
  <c r="BC6" i="4"/>
  <c r="AZ6" i="4"/>
  <c r="AY6" i="4"/>
  <c r="AX6" i="4"/>
  <c r="AU6" i="4"/>
  <c r="AT6" i="4"/>
  <c r="AS6" i="4"/>
  <c r="AP6" i="4"/>
  <c r="AO6" i="4"/>
  <c r="AN6" i="4"/>
  <c r="AK6" i="4"/>
  <c r="AJ6" i="4"/>
  <c r="AI6" i="4"/>
  <c r="AE6" i="4"/>
  <c r="AD6" i="4"/>
  <c r="AC6" i="4"/>
  <c r="Y6" i="4"/>
  <c r="X6" i="4"/>
  <c r="W6" i="4"/>
  <c r="T6" i="4"/>
  <c r="S6" i="4"/>
  <c r="R6" i="4"/>
  <c r="M6" i="4"/>
  <c r="F6" i="4"/>
  <c r="E6" i="4"/>
  <c r="D6" i="4"/>
  <c r="C6" i="4"/>
  <c r="B6" i="4"/>
  <c r="BE5" i="4"/>
  <c r="BD5" i="4"/>
  <c r="BC5" i="4"/>
  <c r="AZ5" i="4"/>
  <c r="AY5" i="4"/>
  <c r="AX5" i="4"/>
  <c r="AU5" i="4"/>
  <c r="AT5" i="4"/>
  <c r="AS5" i="4"/>
  <c r="AP5" i="4"/>
  <c r="AO5" i="4"/>
  <c r="AN5" i="4"/>
  <c r="AK5" i="4"/>
  <c r="AJ5" i="4"/>
  <c r="AI5" i="4"/>
  <c r="AE5" i="4"/>
  <c r="AD5" i="4"/>
  <c r="AC5" i="4"/>
  <c r="Y5" i="4"/>
  <c r="X5" i="4"/>
  <c r="W5" i="4"/>
  <c r="T5" i="4"/>
  <c r="S5" i="4"/>
  <c r="R5" i="4"/>
  <c r="M5" i="4"/>
  <c r="F5" i="4"/>
  <c r="E5" i="4"/>
  <c r="D5" i="4"/>
  <c r="C5" i="4"/>
  <c r="B5" i="4"/>
  <c r="BJ67" i="3"/>
  <c r="BI67" i="3"/>
  <c r="BH67" i="3"/>
  <c r="BJ66" i="3"/>
  <c r="BI66" i="3"/>
  <c r="BH66" i="3"/>
  <c r="BJ65" i="3"/>
  <c r="BI65" i="3"/>
  <c r="BH65" i="3"/>
  <c r="BJ64" i="3"/>
  <c r="BI64" i="3"/>
  <c r="BH64" i="3"/>
  <c r="BJ63" i="3"/>
  <c r="BI63" i="3"/>
  <c r="BH63" i="3"/>
  <c r="BJ62" i="3"/>
  <c r="BI62" i="3"/>
  <c r="BH62" i="3"/>
  <c r="BJ61" i="3"/>
  <c r="BI61" i="3"/>
  <c r="BH61" i="3"/>
  <c r="BJ60" i="3"/>
  <c r="BI60" i="3"/>
  <c r="BH60" i="3"/>
  <c r="BJ59" i="3"/>
  <c r="BI59" i="3"/>
  <c r="BH59" i="3"/>
  <c r="BJ58" i="3"/>
  <c r="BI58" i="3"/>
  <c r="BH58" i="3"/>
  <c r="BJ57" i="3"/>
  <c r="BI57" i="3"/>
  <c r="BH57" i="3"/>
  <c r="BJ56" i="3"/>
  <c r="BI56" i="3"/>
  <c r="BH56" i="3"/>
  <c r="BJ55" i="3"/>
  <c r="BI55" i="3"/>
  <c r="BH55" i="3"/>
  <c r="BJ54" i="3"/>
  <c r="BI54" i="3"/>
  <c r="BH54" i="3"/>
  <c r="BJ53" i="3"/>
  <c r="BI53" i="3"/>
  <c r="BH53" i="3"/>
  <c r="BJ52" i="3"/>
  <c r="BI52" i="3"/>
  <c r="BH52" i="3"/>
  <c r="BJ51" i="3"/>
  <c r="BI51" i="3"/>
  <c r="BH51" i="3"/>
  <c r="BJ50" i="3"/>
  <c r="BI50" i="3"/>
  <c r="BH50" i="3"/>
  <c r="BJ49" i="3"/>
  <c r="BI49" i="3"/>
  <c r="BH49" i="3"/>
  <c r="BJ48" i="3"/>
  <c r="BI48" i="3"/>
  <c r="BH48" i="3"/>
  <c r="BJ47" i="3"/>
  <c r="BI47" i="3"/>
  <c r="BH47" i="3"/>
  <c r="BJ46" i="3"/>
  <c r="BI46" i="3"/>
  <c r="BH46" i="3"/>
  <c r="BJ45" i="3"/>
  <c r="BI45" i="3"/>
  <c r="BH45" i="3"/>
  <c r="BJ44" i="3"/>
  <c r="BI44" i="3"/>
  <c r="BH44" i="3"/>
  <c r="BJ43" i="3"/>
  <c r="BI43" i="3"/>
  <c r="BH43" i="3"/>
  <c r="BJ42" i="3"/>
  <c r="BI42" i="3"/>
  <c r="BH42" i="3"/>
  <c r="BJ41" i="3"/>
  <c r="BI41" i="3"/>
  <c r="BH41" i="3"/>
  <c r="BJ40" i="3"/>
  <c r="BI40" i="3"/>
  <c r="BH40" i="3"/>
  <c r="BJ39" i="3"/>
  <c r="BI39" i="3"/>
  <c r="BH39" i="3"/>
  <c r="BJ38" i="3"/>
  <c r="BI38" i="3"/>
  <c r="BH38" i="3"/>
  <c r="BJ37" i="3"/>
  <c r="BI37" i="3"/>
  <c r="BH37" i="3"/>
  <c r="BJ36" i="3"/>
  <c r="BI36" i="3"/>
  <c r="BH36" i="3"/>
  <c r="BJ35" i="3"/>
  <c r="BI35" i="3"/>
  <c r="BH35" i="3"/>
  <c r="BJ34" i="3"/>
  <c r="BI34" i="3"/>
  <c r="BH34" i="3"/>
  <c r="BJ33" i="3"/>
  <c r="BI33" i="3"/>
  <c r="BH33" i="3"/>
  <c r="BJ32" i="3"/>
  <c r="BI32" i="3"/>
  <c r="BH32" i="3"/>
  <c r="BJ31" i="3"/>
  <c r="BI31" i="3"/>
  <c r="BH31" i="3"/>
  <c r="BJ30" i="3"/>
  <c r="BI30" i="3"/>
  <c r="BH30" i="3"/>
  <c r="BJ29" i="3"/>
  <c r="BI29" i="3"/>
  <c r="BH29" i="3"/>
  <c r="BJ28" i="3"/>
  <c r="BI28" i="3"/>
  <c r="BH28" i="3"/>
  <c r="BJ27" i="3"/>
  <c r="BI27" i="3"/>
  <c r="BH27" i="3"/>
  <c r="BJ26" i="3"/>
  <c r="BI26" i="3"/>
  <c r="BH26" i="3"/>
  <c r="BJ25" i="3"/>
  <c r="BI25" i="3"/>
  <c r="BH25" i="3"/>
  <c r="BJ24" i="3"/>
  <c r="BI24" i="3"/>
  <c r="BH24" i="3"/>
  <c r="BJ23" i="3"/>
  <c r="BI23" i="3"/>
  <c r="BH23" i="3"/>
  <c r="BJ22" i="3"/>
  <c r="BI22" i="3"/>
  <c r="BH22" i="3"/>
  <c r="BJ21" i="3"/>
  <c r="BI21" i="3"/>
  <c r="BH21" i="3"/>
  <c r="BJ20" i="3"/>
  <c r="BI20" i="3"/>
  <c r="BH20" i="3"/>
  <c r="BJ19" i="3"/>
  <c r="BI19" i="3"/>
  <c r="BH19" i="3"/>
  <c r="BJ18" i="3"/>
  <c r="BI18" i="3"/>
  <c r="BH18" i="3"/>
  <c r="BJ17" i="3"/>
  <c r="BI17" i="3"/>
  <c r="BH17" i="3"/>
  <c r="BJ16" i="3"/>
  <c r="BI16" i="3"/>
  <c r="BH16" i="3"/>
  <c r="BJ15" i="3"/>
  <c r="BI15" i="3"/>
  <c r="BH15" i="3"/>
  <c r="BJ14" i="3"/>
  <c r="BI14" i="3"/>
  <c r="BH14" i="3"/>
  <c r="BJ13" i="3"/>
  <c r="BI13" i="3"/>
  <c r="BH13" i="3"/>
  <c r="BJ12" i="3"/>
  <c r="BI12" i="3"/>
  <c r="BH12" i="3"/>
  <c r="BJ11" i="3"/>
  <c r="BI11" i="3"/>
  <c r="BH11" i="3"/>
  <c r="BJ10" i="3"/>
  <c r="BI10" i="3"/>
  <c r="BH10" i="3"/>
  <c r="BJ9" i="3"/>
  <c r="BI9" i="3"/>
  <c r="BH9" i="3"/>
  <c r="BJ8" i="3"/>
  <c r="BI8" i="3"/>
  <c r="BH8" i="3"/>
  <c r="BJ7" i="3"/>
  <c r="BI7" i="3"/>
  <c r="BH7" i="3"/>
  <c r="BJ6" i="3"/>
  <c r="BI6" i="3"/>
  <c r="BH6" i="3"/>
  <c r="BJ5" i="3"/>
  <c r="BI5" i="3"/>
  <c r="BH5" i="3"/>
  <c r="BJ4" i="3"/>
  <c r="BI4" i="3"/>
  <c r="BH4" i="3"/>
  <c r="BJ3" i="3"/>
  <c r="BI3" i="3"/>
  <c r="BH3" i="3"/>
  <c r="BJ2" i="3"/>
  <c r="BI2" i="3"/>
  <c r="BH2" i="3"/>
  <c r="BE67" i="3"/>
  <c r="BD67" i="3"/>
  <c r="BC67" i="3"/>
  <c r="BE66" i="3"/>
  <c r="BD66" i="3"/>
  <c r="BC66" i="3"/>
  <c r="BE65" i="3"/>
  <c r="BD65" i="3"/>
  <c r="BC65" i="3"/>
  <c r="BE64" i="3"/>
  <c r="BD64" i="3"/>
  <c r="BC64" i="3"/>
  <c r="BE63" i="3"/>
  <c r="BD63" i="3"/>
  <c r="BC63" i="3"/>
  <c r="BE62" i="3"/>
  <c r="BD62" i="3"/>
  <c r="BC62" i="3"/>
  <c r="BE61" i="3"/>
  <c r="BD61" i="3"/>
  <c r="BC61" i="3"/>
  <c r="BE60" i="3"/>
  <c r="BD60" i="3"/>
  <c r="BC60" i="3"/>
  <c r="BE59" i="3"/>
  <c r="BD59" i="3"/>
  <c r="BC59" i="3"/>
  <c r="BE58" i="3"/>
  <c r="BD58" i="3"/>
  <c r="BC58" i="3"/>
  <c r="BE57" i="3"/>
  <c r="BD57" i="3"/>
  <c r="BC57" i="3"/>
  <c r="BE56" i="3"/>
  <c r="BD56" i="3"/>
  <c r="BC56" i="3"/>
  <c r="BE55" i="3"/>
  <c r="BD55" i="3"/>
  <c r="BC55" i="3"/>
  <c r="BE54" i="3"/>
  <c r="BD54" i="3"/>
  <c r="BC54" i="3"/>
  <c r="BE53" i="3"/>
  <c r="BD53" i="3"/>
  <c r="BC53" i="3"/>
  <c r="BE52" i="3"/>
  <c r="BD52" i="3"/>
  <c r="BC52" i="3"/>
  <c r="BE51" i="3"/>
  <c r="BD51" i="3"/>
  <c r="BC51" i="3"/>
  <c r="BE50" i="3"/>
  <c r="BD50" i="3"/>
  <c r="BC50" i="3"/>
  <c r="BE49" i="3"/>
  <c r="BD49" i="3"/>
  <c r="BC49" i="3"/>
  <c r="BE48" i="3"/>
  <c r="BD48" i="3"/>
  <c r="BC48" i="3"/>
  <c r="BE47" i="3"/>
  <c r="BD47" i="3"/>
  <c r="BC47" i="3"/>
  <c r="BE46" i="3"/>
  <c r="BD46" i="3"/>
  <c r="BC46" i="3"/>
  <c r="BE45" i="3"/>
  <c r="BD45" i="3"/>
  <c r="BC45" i="3"/>
  <c r="BE44" i="3"/>
  <c r="BD44" i="3"/>
  <c r="BC44" i="3"/>
  <c r="BE43" i="3"/>
  <c r="BD43" i="3"/>
  <c r="BC43" i="3"/>
  <c r="BE42" i="3"/>
  <c r="BD42" i="3"/>
  <c r="BC42" i="3"/>
  <c r="BE41" i="3"/>
  <c r="BD41" i="3"/>
  <c r="BC41" i="3"/>
  <c r="BE40" i="3"/>
  <c r="BD40" i="3"/>
  <c r="BC40" i="3"/>
  <c r="BE39" i="3"/>
  <c r="BD39" i="3"/>
  <c r="BC39" i="3"/>
  <c r="BE38" i="3"/>
  <c r="BD38" i="3"/>
  <c r="BC38" i="3"/>
  <c r="BE37" i="3"/>
  <c r="BD37" i="3"/>
  <c r="BC37" i="3"/>
  <c r="BE36" i="3"/>
  <c r="BD36" i="3"/>
  <c r="BC36" i="3"/>
  <c r="BE35" i="3"/>
  <c r="BD35" i="3"/>
  <c r="BC35" i="3"/>
  <c r="BE34" i="3"/>
  <c r="BD34" i="3"/>
  <c r="BC34" i="3"/>
  <c r="BE33" i="3"/>
  <c r="BD33" i="3"/>
  <c r="BC33" i="3"/>
  <c r="BE32" i="3"/>
  <c r="BD32" i="3"/>
  <c r="BC32" i="3"/>
  <c r="BE31" i="3"/>
  <c r="BD31" i="3"/>
  <c r="BC31" i="3"/>
  <c r="BE30" i="3"/>
  <c r="BD30" i="3"/>
  <c r="BC30" i="3"/>
  <c r="BE29" i="3"/>
  <c r="BD29" i="3"/>
  <c r="BC29" i="3"/>
  <c r="BE28" i="3"/>
  <c r="BD28" i="3"/>
  <c r="BC28" i="3"/>
  <c r="BE27" i="3"/>
  <c r="BD27" i="3"/>
  <c r="BC27" i="3"/>
  <c r="BE26" i="3"/>
  <c r="BD26" i="3"/>
  <c r="BC26" i="3"/>
  <c r="BE25" i="3"/>
  <c r="BD25" i="3"/>
  <c r="BC25" i="3"/>
  <c r="BE24" i="3"/>
  <c r="BD24" i="3"/>
  <c r="BC24" i="3"/>
  <c r="BE23" i="3"/>
  <c r="BD23" i="3"/>
  <c r="BC23" i="3"/>
  <c r="BE22" i="3"/>
  <c r="BD22" i="3"/>
  <c r="BC22" i="3"/>
  <c r="BE21" i="3"/>
  <c r="BD21" i="3"/>
  <c r="BC21" i="3"/>
  <c r="BE20" i="3"/>
  <c r="BD20" i="3"/>
  <c r="BC20" i="3"/>
  <c r="BE19" i="3"/>
  <c r="BD19" i="3"/>
  <c r="BC19" i="3"/>
  <c r="BE18" i="3"/>
  <c r="BD18" i="3"/>
  <c r="BC18" i="3"/>
  <c r="BE17" i="3"/>
  <c r="BD17" i="3"/>
  <c r="BC17" i="3"/>
  <c r="BE16" i="3"/>
  <c r="BD16" i="3"/>
  <c r="BC16" i="3"/>
  <c r="BE15" i="3"/>
  <c r="BD15" i="3"/>
  <c r="BC15" i="3"/>
  <c r="BE14" i="3"/>
  <c r="BD14" i="3"/>
  <c r="BC14" i="3"/>
  <c r="BE13" i="3"/>
  <c r="BD13" i="3"/>
  <c r="BC13" i="3"/>
  <c r="BE12" i="3"/>
  <c r="BD12" i="3"/>
  <c r="BC12" i="3"/>
  <c r="BE11" i="3"/>
  <c r="BD11" i="3"/>
  <c r="BC11" i="3"/>
  <c r="BE10" i="3"/>
  <c r="BD10" i="3"/>
  <c r="BC10" i="3"/>
  <c r="BE9" i="3"/>
  <c r="BD9" i="3"/>
  <c r="BC9" i="3"/>
  <c r="BE8" i="3"/>
  <c r="BD8" i="3"/>
  <c r="BC8" i="3"/>
  <c r="BE7" i="3"/>
  <c r="BD7" i="3"/>
  <c r="BC7" i="3"/>
  <c r="BE6" i="3"/>
  <c r="BD6" i="3"/>
  <c r="BC6" i="3"/>
  <c r="BE5" i="3"/>
  <c r="BD5" i="3"/>
  <c r="BC5" i="3"/>
  <c r="BE4" i="3"/>
  <c r="BD4" i="3"/>
  <c r="BC4" i="3"/>
  <c r="BE3" i="3"/>
  <c r="BD3" i="3"/>
  <c r="BC3" i="3"/>
  <c r="BE2" i="3"/>
  <c r="BD2" i="3"/>
  <c r="BC2" i="3"/>
  <c r="AZ67" i="3"/>
  <c r="AY67" i="3"/>
  <c r="AX67" i="3"/>
  <c r="AZ66" i="3"/>
  <c r="AY66" i="3"/>
  <c r="AX66" i="3"/>
  <c r="AZ65" i="3"/>
  <c r="AY65" i="3"/>
  <c r="AX65" i="3"/>
  <c r="AZ64" i="3"/>
  <c r="AY64" i="3"/>
  <c r="AX64" i="3"/>
  <c r="AZ63" i="3"/>
  <c r="AY63" i="3"/>
  <c r="AX63" i="3"/>
  <c r="AZ62" i="3"/>
  <c r="AY62" i="3"/>
  <c r="AX62" i="3"/>
  <c r="AZ61" i="3"/>
  <c r="AY61" i="3"/>
  <c r="AX61" i="3"/>
  <c r="AZ60" i="3"/>
  <c r="AY60" i="3"/>
  <c r="AX60" i="3"/>
  <c r="AZ59" i="3"/>
  <c r="AY59" i="3"/>
  <c r="AX59" i="3"/>
  <c r="AZ58" i="3"/>
  <c r="AY58" i="3"/>
  <c r="AX58" i="3"/>
  <c r="AZ57" i="3"/>
  <c r="AY57" i="3"/>
  <c r="AX57" i="3"/>
  <c r="AZ56" i="3"/>
  <c r="AY56" i="3"/>
  <c r="AX56" i="3"/>
  <c r="AZ55" i="3"/>
  <c r="AY55" i="3"/>
  <c r="AX55" i="3"/>
  <c r="AZ54" i="3"/>
  <c r="AY54" i="3"/>
  <c r="AX54" i="3"/>
  <c r="AZ53" i="3"/>
  <c r="AY53" i="3"/>
  <c r="AX53" i="3"/>
  <c r="AZ52" i="3"/>
  <c r="AY52" i="3"/>
  <c r="AX52" i="3"/>
  <c r="AZ51" i="3"/>
  <c r="AY51" i="3"/>
  <c r="AX51" i="3"/>
  <c r="AZ50" i="3"/>
  <c r="AY50" i="3"/>
  <c r="AX50" i="3"/>
  <c r="AZ49" i="3"/>
  <c r="AY49" i="3"/>
  <c r="AX49" i="3"/>
  <c r="AZ48" i="3"/>
  <c r="AY48" i="3"/>
  <c r="AX48" i="3"/>
  <c r="AZ47" i="3"/>
  <c r="AY47" i="3"/>
  <c r="AX47" i="3"/>
  <c r="AZ46" i="3"/>
  <c r="AY46" i="3"/>
  <c r="AX46" i="3"/>
  <c r="AZ45" i="3"/>
  <c r="AY45" i="3"/>
  <c r="AX45" i="3"/>
  <c r="AZ44" i="3"/>
  <c r="AY44" i="3"/>
  <c r="AX44" i="3"/>
  <c r="AZ43" i="3"/>
  <c r="AY43" i="3"/>
  <c r="AX43" i="3"/>
  <c r="AZ42" i="3"/>
  <c r="AY42" i="3"/>
  <c r="AX42" i="3"/>
  <c r="AZ41" i="3"/>
  <c r="AY41" i="3"/>
  <c r="AX41" i="3"/>
  <c r="AZ40" i="3"/>
  <c r="AY40" i="3"/>
  <c r="AX40" i="3"/>
  <c r="AZ39" i="3"/>
  <c r="AY39" i="3"/>
  <c r="AX39" i="3"/>
  <c r="AZ38" i="3"/>
  <c r="AY38" i="3"/>
  <c r="AX38" i="3"/>
  <c r="AZ37" i="3"/>
  <c r="AY37" i="3"/>
  <c r="AX37" i="3"/>
  <c r="AZ36" i="3"/>
  <c r="AY36" i="3"/>
  <c r="AX36" i="3"/>
  <c r="AZ35" i="3"/>
  <c r="AY35" i="3"/>
  <c r="AX35" i="3"/>
  <c r="AZ34" i="3"/>
  <c r="AY34" i="3"/>
  <c r="AX34" i="3"/>
  <c r="AZ33" i="3"/>
  <c r="AY33" i="3"/>
  <c r="AX33" i="3"/>
  <c r="AZ32" i="3"/>
  <c r="AY32" i="3"/>
  <c r="AX32" i="3"/>
  <c r="AZ31" i="3"/>
  <c r="AY31" i="3"/>
  <c r="AX31" i="3"/>
  <c r="AZ30" i="3"/>
  <c r="AY30" i="3"/>
  <c r="AX30" i="3"/>
  <c r="AZ29" i="3"/>
  <c r="AY29" i="3"/>
  <c r="AX29" i="3"/>
  <c r="AZ28" i="3"/>
  <c r="AY28" i="3"/>
  <c r="AX28" i="3"/>
  <c r="AZ27" i="3"/>
  <c r="AY27" i="3"/>
  <c r="AX27" i="3"/>
  <c r="AZ26" i="3"/>
  <c r="AY26" i="3"/>
  <c r="AX26" i="3"/>
  <c r="AZ25" i="3"/>
  <c r="AY25" i="3"/>
  <c r="AX25" i="3"/>
  <c r="AZ24" i="3"/>
  <c r="AY24" i="3"/>
  <c r="AX24" i="3"/>
  <c r="AZ23" i="3"/>
  <c r="AY23" i="3"/>
  <c r="AX23" i="3"/>
  <c r="AZ22" i="3"/>
  <c r="AY22" i="3"/>
  <c r="AX22" i="3"/>
  <c r="AZ21" i="3"/>
  <c r="AY21" i="3"/>
  <c r="AX21" i="3"/>
  <c r="AZ20" i="3"/>
  <c r="AY20" i="3"/>
  <c r="AX20" i="3"/>
  <c r="AZ19" i="3"/>
  <c r="AY19" i="3"/>
  <c r="AX19" i="3"/>
  <c r="AZ18" i="3"/>
  <c r="AY18" i="3"/>
  <c r="AX18" i="3"/>
  <c r="AZ17" i="3"/>
  <c r="AY17" i="3"/>
  <c r="AX17" i="3"/>
  <c r="AZ16" i="3"/>
  <c r="AY16" i="3"/>
  <c r="AX16" i="3"/>
  <c r="AZ15" i="3"/>
  <c r="AY15" i="3"/>
  <c r="AX15" i="3"/>
  <c r="AZ14" i="3"/>
  <c r="AY14" i="3"/>
  <c r="AX14" i="3"/>
  <c r="AZ13" i="3"/>
  <c r="AY13" i="3"/>
  <c r="AX13" i="3"/>
  <c r="AZ12" i="3"/>
  <c r="AY12" i="3"/>
  <c r="AX12" i="3"/>
  <c r="AZ11" i="3"/>
  <c r="AY11" i="3"/>
  <c r="AX11" i="3"/>
  <c r="AZ10" i="3"/>
  <c r="AY10" i="3"/>
  <c r="AX10" i="3"/>
  <c r="AZ9" i="3"/>
  <c r="AY9" i="3"/>
  <c r="AX9" i="3"/>
  <c r="AZ8" i="3"/>
  <c r="AY8" i="3"/>
  <c r="AX8" i="3"/>
  <c r="AZ7" i="3"/>
  <c r="AY7" i="3"/>
  <c r="AX7" i="3"/>
  <c r="AZ6" i="3"/>
  <c r="AY6" i="3"/>
  <c r="AX6" i="3"/>
  <c r="AZ5" i="3"/>
  <c r="AY5" i="3"/>
  <c r="AX5" i="3"/>
  <c r="AZ4" i="3"/>
  <c r="AY4" i="3"/>
  <c r="AX4" i="3"/>
  <c r="AZ3" i="3"/>
  <c r="AY3" i="3"/>
  <c r="AX3" i="3"/>
  <c r="AZ2" i="3"/>
  <c r="AY2" i="3"/>
  <c r="AX2" i="3"/>
  <c r="AU67" i="3"/>
  <c r="AT67" i="3"/>
  <c r="AS67" i="3"/>
  <c r="AU66" i="3"/>
  <c r="AT66" i="3"/>
  <c r="AS66" i="3"/>
  <c r="AU65" i="3"/>
  <c r="AT65" i="3"/>
  <c r="AS65" i="3"/>
  <c r="AU64" i="3"/>
  <c r="AT64" i="3"/>
  <c r="AS64" i="3"/>
  <c r="AU63" i="3"/>
  <c r="AT63" i="3"/>
  <c r="AS63" i="3"/>
  <c r="AU62" i="3"/>
  <c r="AT62" i="3"/>
  <c r="AS62" i="3"/>
  <c r="AU61" i="3"/>
  <c r="AT61" i="3"/>
  <c r="AS61" i="3"/>
  <c r="AU60" i="3"/>
  <c r="AT60" i="3"/>
  <c r="AS60" i="3"/>
  <c r="AU59" i="3"/>
  <c r="AT59" i="3"/>
  <c r="AS59" i="3"/>
  <c r="AU58" i="3"/>
  <c r="AT58" i="3"/>
  <c r="AS58" i="3"/>
  <c r="AU57" i="3"/>
  <c r="AT57" i="3"/>
  <c r="AS57" i="3"/>
  <c r="AU56" i="3"/>
  <c r="AT56" i="3"/>
  <c r="AS56" i="3"/>
  <c r="AU55" i="3"/>
  <c r="AT55" i="3"/>
  <c r="AS55" i="3"/>
  <c r="AU54" i="3"/>
  <c r="AT54" i="3"/>
  <c r="AS54" i="3"/>
  <c r="AU53" i="3"/>
  <c r="AT53" i="3"/>
  <c r="AS53" i="3"/>
  <c r="AU52" i="3"/>
  <c r="AT52" i="3"/>
  <c r="AS52" i="3"/>
  <c r="AU51" i="3"/>
  <c r="AT51" i="3"/>
  <c r="AS51" i="3"/>
  <c r="AU50" i="3"/>
  <c r="AT50" i="3"/>
  <c r="AS50" i="3"/>
  <c r="AU49" i="3"/>
  <c r="AT49" i="3"/>
  <c r="AS49" i="3"/>
  <c r="AU48" i="3"/>
  <c r="AT48" i="3"/>
  <c r="AS48" i="3"/>
  <c r="AU47" i="3"/>
  <c r="AT47" i="3"/>
  <c r="AS47" i="3"/>
  <c r="AU46" i="3"/>
  <c r="AT46" i="3"/>
  <c r="AS46" i="3"/>
  <c r="AU45" i="3"/>
  <c r="AT45" i="3"/>
  <c r="AS45" i="3"/>
  <c r="AU44" i="3"/>
  <c r="AT44" i="3"/>
  <c r="AS44" i="3"/>
  <c r="AU43" i="3"/>
  <c r="AT43" i="3"/>
  <c r="AS43" i="3"/>
  <c r="AU42" i="3"/>
  <c r="AT42" i="3"/>
  <c r="AS42" i="3"/>
  <c r="AU41" i="3"/>
  <c r="AT41" i="3"/>
  <c r="AS41" i="3"/>
  <c r="AU40" i="3"/>
  <c r="AT40" i="3"/>
  <c r="AS40" i="3"/>
  <c r="AU39" i="3"/>
  <c r="AT39" i="3"/>
  <c r="AS39" i="3"/>
  <c r="AU38" i="3"/>
  <c r="AT38" i="3"/>
  <c r="AS38" i="3"/>
  <c r="AU37" i="3"/>
  <c r="AT37" i="3"/>
  <c r="AS37" i="3"/>
  <c r="AU36" i="3"/>
  <c r="AT36" i="3"/>
  <c r="AS36" i="3"/>
  <c r="AU35" i="3"/>
  <c r="AT35" i="3"/>
  <c r="AS35" i="3"/>
  <c r="AU34" i="3"/>
  <c r="AT34" i="3"/>
  <c r="AS34" i="3"/>
  <c r="AU33" i="3"/>
  <c r="AT33" i="3"/>
  <c r="AS33" i="3"/>
  <c r="AU32" i="3"/>
  <c r="AT32" i="3"/>
  <c r="AS32" i="3"/>
  <c r="AU31" i="3"/>
  <c r="AT31" i="3"/>
  <c r="AS31" i="3"/>
  <c r="AU30" i="3"/>
  <c r="AT30" i="3"/>
  <c r="AS30" i="3"/>
  <c r="AU29" i="3"/>
  <c r="AT29" i="3"/>
  <c r="AS29" i="3"/>
  <c r="AU28" i="3"/>
  <c r="AT28" i="3"/>
  <c r="AS28" i="3"/>
  <c r="AU27" i="3"/>
  <c r="AT27" i="3"/>
  <c r="AS27" i="3"/>
  <c r="AU26" i="3"/>
  <c r="AT26" i="3"/>
  <c r="AS26" i="3"/>
  <c r="AU25" i="3"/>
  <c r="AT25" i="3"/>
  <c r="AS25" i="3"/>
  <c r="AU24" i="3"/>
  <c r="AT24" i="3"/>
  <c r="AS24" i="3"/>
  <c r="AU23" i="3"/>
  <c r="AT23" i="3"/>
  <c r="AS23" i="3"/>
  <c r="AU22" i="3"/>
  <c r="AT22" i="3"/>
  <c r="AS22" i="3"/>
  <c r="AU21" i="3"/>
  <c r="AT21" i="3"/>
  <c r="AS21" i="3"/>
  <c r="AU20" i="3"/>
  <c r="AT20" i="3"/>
  <c r="AS20" i="3"/>
  <c r="AU19" i="3"/>
  <c r="AT19" i="3"/>
  <c r="AS19" i="3"/>
  <c r="AU18" i="3"/>
  <c r="AT18" i="3"/>
  <c r="AS18" i="3"/>
  <c r="AU17" i="3"/>
  <c r="AT17" i="3"/>
  <c r="AS17" i="3"/>
  <c r="AU16" i="3"/>
  <c r="AT16" i="3"/>
  <c r="AS16" i="3"/>
  <c r="AU15" i="3"/>
  <c r="AT15" i="3"/>
  <c r="AS15" i="3"/>
  <c r="AU14" i="3"/>
  <c r="AT14" i="3"/>
  <c r="AS14" i="3"/>
  <c r="AU13" i="3"/>
  <c r="AT13" i="3"/>
  <c r="AS13" i="3"/>
  <c r="AU12" i="3"/>
  <c r="AT12" i="3"/>
  <c r="AS12" i="3"/>
  <c r="AU11" i="3"/>
  <c r="AT11" i="3"/>
  <c r="AS11" i="3"/>
  <c r="AU10" i="3"/>
  <c r="AT10" i="3"/>
  <c r="AS10" i="3"/>
  <c r="AU9" i="3"/>
  <c r="AT9" i="3"/>
  <c r="AS9" i="3"/>
  <c r="AU8" i="3"/>
  <c r="AT8" i="3"/>
  <c r="AS8" i="3"/>
  <c r="AU7" i="3"/>
  <c r="AT7" i="3"/>
  <c r="AS7" i="3"/>
  <c r="AU6" i="3"/>
  <c r="AT6" i="3"/>
  <c r="AS6" i="3"/>
  <c r="AU5" i="3"/>
  <c r="AT5" i="3"/>
  <c r="AS5" i="3"/>
  <c r="AU4" i="3"/>
  <c r="AT4" i="3"/>
  <c r="AS4" i="3"/>
  <c r="AU3" i="3"/>
  <c r="AT3" i="3"/>
  <c r="AS3" i="3"/>
  <c r="AU2" i="3"/>
  <c r="AT2" i="3"/>
  <c r="AS2" i="3"/>
  <c r="AJ67" i="3"/>
  <c r="AI67" i="3"/>
  <c r="AH67" i="3"/>
  <c r="AJ66" i="3"/>
  <c r="AI66" i="3"/>
  <c r="AH66" i="3"/>
  <c r="AJ65" i="3"/>
  <c r="AI65" i="3"/>
  <c r="AH65" i="3"/>
  <c r="AJ64" i="3"/>
  <c r="AI64" i="3"/>
  <c r="AH64" i="3"/>
  <c r="AJ63" i="3"/>
  <c r="AI63" i="3"/>
  <c r="AH63" i="3"/>
  <c r="AJ62" i="3"/>
  <c r="AI62" i="3"/>
  <c r="AH62" i="3"/>
  <c r="AJ61" i="3"/>
  <c r="AI61" i="3"/>
  <c r="AH61" i="3"/>
  <c r="AJ60" i="3"/>
  <c r="AI60" i="3"/>
  <c r="AH60" i="3"/>
  <c r="AJ59" i="3"/>
  <c r="AI59" i="3"/>
  <c r="AH59" i="3"/>
  <c r="AJ58" i="3"/>
  <c r="AI58" i="3"/>
  <c r="AH58" i="3"/>
  <c r="AJ57" i="3"/>
  <c r="AI57" i="3"/>
  <c r="AH57" i="3"/>
  <c r="AJ56" i="3"/>
  <c r="AI56" i="3"/>
  <c r="AH56" i="3"/>
  <c r="AJ55" i="3"/>
  <c r="AI55" i="3"/>
  <c r="AH55" i="3"/>
  <c r="AJ54" i="3"/>
  <c r="AI54" i="3"/>
  <c r="AH54" i="3"/>
  <c r="AJ53" i="3"/>
  <c r="AI53" i="3"/>
  <c r="AH53" i="3"/>
  <c r="AJ52" i="3"/>
  <c r="AI52" i="3"/>
  <c r="AH52" i="3"/>
  <c r="AJ51" i="3"/>
  <c r="AI51" i="3"/>
  <c r="AH51" i="3"/>
  <c r="AJ50" i="3"/>
  <c r="AI50" i="3"/>
  <c r="AH50" i="3"/>
  <c r="AJ49" i="3"/>
  <c r="AI49" i="3"/>
  <c r="AH49" i="3"/>
  <c r="AJ48" i="3"/>
  <c r="AI48" i="3"/>
  <c r="AH48" i="3"/>
  <c r="AJ47" i="3"/>
  <c r="AI47" i="3"/>
  <c r="AH47" i="3"/>
  <c r="AJ46" i="3"/>
  <c r="AI46" i="3"/>
  <c r="AH46" i="3"/>
  <c r="AJ45" i="3"/>
  <c r="AI45" i="3"/>
  <c r="AH45" i="3"/>
  <c r="AJ44" i="3"/>
  <c r="AI44" i="3"/>
  <c r="AH44" i="3"/>
  <c r="AJ43" i="3"/>
  <c r="AI43" i="3"/>
  <c r="AH43" i="3"/>
  <c r="AJ42" i="3"/>
  <c r="AI42" i="3"/>
  <c r="AH42" i="3"/>
  <c r="AJ41" i="3"/>
  <c r="AI41" i="3"/>
  <c r="AH41" i="3"/>
  <c r="AJ40" i="3"/>
  <c r="AI40" i="3"/>
  <c r="AH40" i="3"/>
  <c r="AJ39" i="3"/>
  <c r="AI39" i="3"/>
  <c r="AH39" i="3"/>
  <c r="AJ38" i="3"/>
  <c r="AI38" i="3"/>
  <c r="AH38" i="3"/>
  <c r="AJ37" i="3"/>
  <c r="AI37" i="3"/>
  <c r="AH37" i="3"/>
  <c r="AJ36" i="3"/>
  <c r="AI36" i="3"/>
  <c r="AH36" i="3"/>
  <c r="AJ35" i="3"/>
  <c r="AI35" i="3"/>
  <c r="AH35" i="3"/>
  <c r="AJ34" i="3"/>
  <c r="AI34" i="3"/>
  <c r="AH34" i="3"/>
  <c r="AJ33" i="3"/>
  <c r="AI33" i="3"/>
  <c r="AH33" i="3"/>
  <c r="AJ32" i="3"/>
  <c r="AI32" i="3"/>
  <c r="AH32" i="3"/>
  <c r="AJ31" i="3"/>
  <c r="AI31" i="3"/>
  <c r="AH31" i="3"/>
  <c r="AJ30" i="3"/>
  <c r="AI30" i="3"/>
  <c r="AH30" i="3"/>
  <c r="AJ29" i="3"/>
  <c r="AI29" i="3"/>
  <c r="AH29" i="3"/>
  <c r="AJ28" i="3"/>
  <c r="AI28" i="3"/>
  <c r="AH28" i="3"/>
  <c r="AJ27" i="3"/>
  <c r="AI27" i="3"/>
  <c r="AH27" i="3"/>
  <c r="AJ26" i="3"/>
  <c r="AI26" i="3"/>
  <c r="AH26" i="3"/>
  <c r="AJ25" i="3"/>
  <c r="AI25" i="3"/>
  <c r="AH25" i="3"/>
  <c r="AJ24" i="3"/>
  <c r="AI24" i="3"/>
  <c r="AH24" i="3"/>
  <c r="AJ23" i="3"/>
  <c r="AI23" i="3"/>
  <c r="AH23" i="3"/>
  <c r="AJ22" i="3"/>
  <c r="AI22" i="3"/>
  <c r="AH22" i="3"/>
  <c r="AJ21" i="3"/>
  <c r="AI21" i="3"/>
  <c r="AH21" i="3"/>
  <c r="AJ20" i="3"/>
  <c r="AI20" i="3"/>
  <c r="AH20" i="3"/>
  <c r="AJ19" i="3"/>
  <c r="AI19" i="3"/>
  <c r="AH19" i="3"/>
  <c r="AJ18" i="3"/>
  <c r="AI18" i="3"/>
  <c r="AH18" i="3"/>
  <c r="AJ17" i="3"/>
  <c r="AI17" i="3"/>
  <c r="AH17" i="3"/>
  <c r="AJ16" i="3"/>
  <c r="AI16" i="3"/>
  <c r="AH16" i="3"/>
  <c r="AJ15" i="3"/>
  <c r="AI15" i="3"/>
  <c r="AH15" i="3"/>
  <c r="AJ14" i="3"/>
  <c r="AI14" i="3"/>
  <c r="AH14" i="3"/>
  <c r="AJ13" i="3"/>
  <c r="AI13" i="3"/>
  <c r="AH13" i="3"/>
  <c r="AJ12" i="3"/>
  <c r="AI12" i="3"/>
  <c r="AH12" i="3"/>
  <c r="AJ11" i="3"/>
  <c r="AI11" i="3"/>
  <c r="AH11" i="3"/>
  <c r="AJ10" i="3"/>
  <c r="AI10" i="3"/>
  <c r="AH10" i="3"/>
  <c r="AJ9" i="3"/>
  <c r="AI9" i="3"/>
  <c r="AH9" i="3"/>
  <c r="AJ8" i="3"/>
  <c r="AI8" i="3"/>
  <c r="AH8" i="3"/>
  <c r="AJ7" i="3"/>
  <c r="AI7" i="3"/>
  <c r="AH7" i="3"/>
  <c r="AJ6" i="3"/>
  <c r="AI6" i="3"/>
  <c r="AH6" i="3"/>
  <c r="AJ5" i="3"/>
  <c r="AI5" i="3"/>
  <c r="AH5" i="3"/>
  <c r="AJ4" i="3"/>
  <c r="AI4" i="3"/>
  <c r="AH4" i="3"/>
  <c r="AJ3" i="3"/>
  <c r="AI3" i="3"/>
  <c r="AH3" i="3"/>
  <c r="AJ2" i="3"/>
  <c r="AI2" i="3"/>
  <c r="AH2" i="3"/>
  <c r="AP67" i="3"/>
  <c r="AO67" i="3"/>
  <c r="AN67" i="3"/>
  <c r="AP66" i="3"/>
  <c r="AO66" i="3"/>
  <c r="AN66" i="3"/>
  <c r="AP65" i="3"/>
  <c r="AO65" i="3"/>
  <c r="AN65" i="3"/>
  <c r="AP64" i="3"/>
  <c r="AO64" i="3"/>
  <c r="AN64" i="3"/>
  <c r="AP63" i="3"/>
  <c r="AO63" i="3"/>
  <c r="AN63" i="3"/>
  <c r="AP62" i="3"/>
  <c r="AO62" i="3"/>
  <c r="AN62" i="3"/>
  <c r="AP61" i="3"/>
  <c r="AO61" i="3"/>
  <c r="AN61" i="3"/>
  <c r="AP60" i="3"/>
  <c r="AO60" i="3"/>
  <c r="AN60" i="3"/>
  <c r="AP59" i="3"/>
  <c r="AO59" i="3"/>
  <c r="AN59" i="3"/>
  <c r="AP58" i="3"/>
  <c r="AO58" i="3"/>
  <c r="AN58" i="3"/>
  <c r="AP57" i="3"/>
  <c r="AO57" i="3"/>
  <c r="AN57" i="3"/>
  <c r="AP56" i="3"/>
  <c r="AO56" i="3"/>
  <c r="AN56" i="3"/>
  <c r="AP55" i="3"/>
  <c r="AO55" i="3"/>
  <c r="AN55" i="3"/>
  <c r="AP54" i="3"/>
  <c r="AO54" i="3"/>
  <c r="AN54" i="3"/>
  <c r="AP53" i="3"/>
  <c r="AO53" i="3"/>
  <c r="AN53" i="3"/>
  <c r="AP52" i="3"/>
  <c r="AO52" i="3"/>
  <c r="AN52" i="3"/>
  <c r="AP51" i="3"/>
  <c r="AO51" i="3"/>
  <c r="AN51" i="3"/>
  <c r="AP50" i="3"/>
  <c r="AO50" i="3"/>
  <c r="AN50" i="3"/>
  <c r="AP49" i="3"/>
  <c r="AO49" i="3"/>
  <c r="AN49" i="3"/>
  <c r="AP48" i="3"/>
  <c r="AO48" i="3"/>
  <c r="AN48" i="3"/>
  <c r="AP47" i="3"/>
  <c r="AO47" i="3"/>
  <c r="AN47" i="3"/>
  <c r="AP46" i="3"/>
  <c r="AO46" i="3"/>
  <c r="AN46" i="3"/>
  <c r="AP45" i="3"/>
  <c r="AO45" i="3"/>
  <c r="AN45" i="3"/>
  <c r="AP44" i="3"/>
  <c r="AO44" i="3"/>
  <c r="AN44" i="3"/>
  <c r="AP43" i="3"/>
  <c r="AO43" i="3"/>
  <c r="AN43" i="3"/>
  <c r="AP42" i="3"/>
  <c r="AO42" i="3"/>
  <c r="AN42" i="3"/>
  <c r="AP41" i="3"/>
  <c r="AO41" i="3"/>
  <c r="AN41" i="3"/>
  <c r="AP40" i="3"/>
  <c r="AO40" i="3"/>
  <c r="AN40" i="3"/>
  <c r="AP39" i="3"/>
  <c r="AO39" i="3"/>
  <c r="AN39" i="3"/>
  <c r="AP38" i="3"/>
  <c r="AO38" i="3"/>
  <c r="AN38" i="3"/>
  <c r="AP37" i="3"/>
  <c r="AO37" i="3"/>
  <c r="AN37" i="3"/>
  <c r="AP36" i="3"/>
  <c r="AO36" i="3"/>
  <c r="AN36" i="3"/>
  <c r="AP35" i="3"/>
  <c r="AO35" i="3"/>
  <c r="AN35" i="3"/>
  <c r="AP34" i="3"/>
  <c r="AO34" i="3"/>
  <c r="AN34" i="3"/>
  <c r="AP33" i="3"/>
  <c r="AO33" i="3"/>
  <c r="AN33" i="3"/>
  <c r="AP32" i="3"/>
  <c r="AO32" i="3"/>
  <c r="AN32" i="3"/>
  <c r="AP31" i="3"/>
  <c r="AO31" i="3"/>
  <c r="AN31" i="3"/>
  <c r="AP30" i="3"/>
  <c r="AO30" i="3"/>
  <c r="AN30" i="3"/>
  <c r="AP29" i="3"/>
  <c r="AO29" i="3"/>
  <c r="AN29" i="3"/>
  <c r="AP28" i="3"/>
  <c r="AO28" i="3"/>
  <c r="AN28" i="3"/>
  <c r="AP27" i="3"/>
  <c r="AO27" i="3"/>
  <c r="AN27" i="3"/>
  <c r="AP26" i="3"/>
  <c r="AO26" i="3"/>
  <c r="AN26" i="3"/>
  <c r="AP25" i="3"/>
  <c r="AO25" i="3"/>
  <c r="AN25" i="3"/>
  <c r="AP24" i="3"/>
  <c r="AO24" i="3"/>
  <c r="AN24" i="3"/>
  <c r="AP23" i="3"/>
  <c r="AO23" i="3"/>
  <c r="AN23" i="3"/>
  <c r="AP22" i="3"/>
  <c r="AO22" i="3"/>
  <c r="AN22" i="3"/>
  <c r="AP21" i="3"/>
  <c r="AO21" i="3"/>
  <c r="AN21" i="3"/>
  <c r="AP20" i="3"/>
  <c r="AO20" i="3"/>
  <c r="AN20" i="3"/>
  <c r="AP19" i="3"/>
  <c r="AO19" i="3"/>
  <c r="AN19" i="3"/>
  <c r="AP18" i="3"/>
  <c r="AO18" i="3"/>
  <c r="AN18" i="3"/>
  <c r="AP17" i="3"/>
  <c r="AO17" i="3"/>
  <c r="AN17" i="3"/>
  <c r="AP16" i="3"/>
  <c r="AO16" i="3"/>
  <c r="AN16" i="3"/>
  <c r="AP15" i="3"/>
  <c r="AO15" i="3"/>
  <c r="AN15" i="3"/>
  <c r="AP14" i="3"/>
  <c r="AO14" i="3"/>
  <c r="AN14" i="3"/>
  <c r="AP13" i="3"/>
  <c r="AO13" i="3"/>
  <c r="AN13" i="3"/>
  <c r="AP12" i="3"/>
  <c r="AO12" i="3"/>
  <c r="AN12" i="3"/>
  <c r="AP11" i="3"/>
  <c r="AO11" i="3"/>
  <c r="AN11" i="3"/>
  <c r="AP10" i="3"/>
  <c r="AO10" i="3"/>
  <c r="AN10" i="3"/>
  <c r="AP9" i="3"/>
  <c r="AO9" i="3"/>
  <c r="AN9" i="3"/>
  <c r="AP8" i="3"/>
  <c r="AO8" i="3"/>
  <c r="AN8" i="3"/>
  <c r="AP7" i="3"/>
  <c r="AO7" i="3"/>
  <c r="AN7" i="3"/>
  <c r="AP6" i="3"/>
  <c r="AO6" i="3"/>
  <c r="AN6" i="3"/>
  <c r="AP5" i="3"/>
  <c r="AO5" i="3"/>
  <c r="AN5" i="3"/>
  <c r="AP4" i="3"/>
  <c r="AO4" i="3"/>
  <c r="AN4" i="3"/>
  <c r="AP3" i="3"/>
  <c r="AO3" i="3"/>
  <c r="AN3" i="3"/>
  <c r="AP2" i="3"/>
  <c r="AO2" i="3"/>
  <c r="AN2" i="3"/>
  <c r="AC67" i="3"/>
  <c r="AD67" i="3" s="1"/>
  <c r="AB67" i="3"/>
  <c r="AA67" i="3"/>
  <c r="AC66" i="3"/>
  <c r="AD66" i="3" s="1"/>
  <c r="AB66" i="3"/>
  <c r="AA66" i="3"/>
  <c r="AC65" i="3"/>
  <c r="AD65" i="3" s="1"/>
  <c r="AB65" i="3"/>
  <c r="AA65" i="3"/>
  <c r="AC64" i="3"/>
  <c r="AD64" i="3" s="1"/>
  <c r="AB64" i="3"/>
  <c r="AA64" i="3"/>
  <c r="AC63" i="3"/>
  <c r="AD63" i="3" s="1"/>
  <c r="AB63" i="3"/>
  <c r="AA63" i="3"/>
  <c r="AC62" i="3"/>
  <c r="AD62" i="3" s="1"/>
  <c r="AB62" i="3"/>
  <c r="AA62" i="3"/>
  <c r="AC61" i="3"/>
  <c r="AD61" i="3" s="1"/>
  <c r="AB61" i="3"/>
  <c r="AA61" i="3"/>
  <c r="AC60" i="3"/>
  <c r="AD60" i="3" s="1"/>
  <c r="AB60" i="3"/>
  <c r="AA60" i="3"/>
  <c r="AC59" i="3"/>
  <c r="AD59" i="3" s="1"/>
  <c r="AB59" i="3"/>
  <c r="AA59" i="3"/>
  <c r="AC58" i="3"/>
  <c r="AD58" i="3" s="1"/>
  <c r="AB58" i="3"/>
  <c r="AA58" i="3"/>
  <c r="AC57" i="3"/>
  <c r="AD57" i="3" s="1"/>
  <c r="AB57" i="3"/>
  <c r="AA57" i="3"/>
  <c r="AC56" i="3"/>
  <c r="AD56" i="3" s="1"/>
  <c r="AB56" i="3"/>
  <c r="AA56" i="3"/>
  <c r="AC55" i="3"/>
  <c r="AD55" i="3" s="1"/>
  <c r="AB55" i="3"/>
  <c r="AA55" i="3"/>
  <c r="AC54" i="3"/>
  <c r="AD54" i="3" s="1"/>
  <c r="AB54" i="3"/>
  <c r="AA54" i="3"/>
  <c r="AC53" i="3"/>
  <c r="AD53" i="3" s="1"/>
  <c r="AB53" i="3"/>
  <c r="AA53" i="3"/>
  <c r="AC52" i="3"/>
  <c r="AD52" i="3" s="1"/>
  <c r="AB52" i="3"/>
  <c r="AA52" i="3"/>
  <c r="AC51" i="3"/>
  <c r="AD51" i="3" s="1"/>
  <c r="AB51" i="3"/>
  <c r="AA51" i="3"/>
  <c r="AC50" i="3"/>
  <c r="AD50" i="3" s="1"/>
  <c r="AB50" i="3"/>
  <c r="AA50" i="3"/>
  <c r="AC49" i="3"/>
  <c r="AD49" i="3" s="1"/>
  <c r="AB49" i="3"/>
  <c r="AA49" i="3"/>
  <c r="AC48" i="3"/>
  <c r="AD48" i="3" s="1"/>
  <c r="AB48" i="3"/>
  <c r="AA48" i="3"/>
  <c r="AC47" i="3"/>
  <c r="AD47" i="3" s="1"/>
  <c r="AB47" i="3"/>
  <c r="AA47" i="3"/>
  <c r="AC46" i="3"/>
  <c r="AD46" i="3" s="1"/>
  <c r="AB46" i="3"/>
  <c r="AA46" i="3"/>
  <c r="AC45" i="3"/>
  <c r="AD45" i="3" s="1"/>
  <c r="AB45" i="3"/>
  <c r="AA45" i="3"/>
  <c r="AC44" i="3"/>
  <c r="AD44" i="3" s="1"/>
  <c r="AB44" i="3"/>
  <c r="AA44" i="3"/>
  <c r="AC43" i="3"/>
  <c r="AD43" i="3" s="1"/>
  <c r="AB43" i="3"/>
  <c r="AA43" i="3"/>
  <c r="AC42" i="3"/>
  <c r="AD42" i="3" s="1"/>
  <c r="AB42" i="3"/>
  <c r="AA42" i="3"/>
  <c r="AC41" i="3"/>
  <c r="AD41" i="3" s="1"/>
  <c r="AB41" i="3"/>
  <c r="AA41" i="3"/>
  <c r="AC40" i="3"/>
  <c r="AD40" i="3" s="1"/>
  <c r="AB40" i="3"/>
  <c r="AA40" i="3"/>
  <c r="AC39" i="3"/>
  <c r="AD39" i="3" s="1"/>
  <c r="AB39" i="3"/>
  <c r="AA39" i="3"/>
  <c r="AC38" i="3"/>
  <c r="AD38" i="3" s="1"/>
  <c r="AB38" i="3"/>
  <c r="AA38" i="3"/>
  <c r="AC37" i="3"/>
  <c r="AD37" i="3" s="1"/>
  <c r="AB37" i="3"/>
  <c r="AA37" i="3"/>
  <c r="AC36" i="3"/>
  <c r="AD36" i="3" s="1"/>
  <c r="AB36" i="3"/>
  <c r="AA36" i="3"/>
  <c r="AC35" i="3"/>
  <c r="AD35" i="3" s="1"/>
  <c r="AB35" i="3"/>
  <c r="AA35" i="3"/>
  <c r="AC34" i="3"/>
  <c r="AD34" i="3" s="1"/>
  <c r="AB34" i="3"/>
  <c r="AA34" i="3"/>
  <c r="AC33" i="3"/>
  <c r="AD33" i="3" s="1"/>
  <c r="AB33" i="3"/>
  <c r="AA33" i="3"/>
  <c r="AC32" i="3"/>
  <c r="AD32" i="3" s="1"/>
  <c r="AB32" i="3"/>
  <c r="AA32" i="3"/>
  <c r="AC31" i="3"/>
  <c r="AD31" i="3" s="1"/>
  <c r="AB31" i="3"/>
  <c r="AA31" i="3"/>
  <c r="AC30" i="3"/>
  <c r="AD30" i="3" s="1"/>
  <c r="AB30" i="3"/>
  <c r="AA30" i="3"/>
  <c r="AC29" i="3"/>
  <c r="AD29" i="3" s="1"/>
  <c r="AB29" i="3"/>
  <c r="AA29" i="3"/>
  <c r="AC28" i="3"/>
  <c r="AD28" i="3" s="1"/>
  <c r="AB28" i="3"/>
  <c r="AA28" i="3"/>
  <c r="AC27" i="3"/>
  <c r="AD27" i="3" s="1"/>
  <c r="AB27" i="3"/>
  <c r="AA27" i="3"/>
  <c r="AC26" i="3"/>
  <c r="AD26" i="3" s="1"/>
  <c r="AB26" i="3"/>
  <c r="AA26" i="3"/>
  <c r="AC25" i="3"/>
  <c r="AD25" i="3" s="1"/>
  <c r="AB25" i="3"/>
  <c r="AA25" i="3"/>
  <c r="AC24" i="3"/>
  <c r="AD24" i="3" s="1"/>
  <c r="AB24" i="3"/>
  <c r="AA24" i="3"/>
  <c r="AC23" i="3"/>
  <c r="AD23" i="3" s="1"/>
  <c r="AB23" i="3"/>
  <c r="AA23" i="3"/>
  <c r="AC22" i="3"/>
  <c r="AD22" i="3" s="1"/>
  <c r="AB22" i="3"/>
  <c r="AA22" i="3"/>
  <c r="AC21" i="3"/>
  <c r="AD21" i="3" s="1"/>
  <c r="AB21" i="3"/>
  <c r="AA21" i="3"/>
  <c r="AC20" i="3"/>
  <c r="AD20" i="3" s="1"/>
  <c r="AB20" i="3"/>
  <c r="AA20" i="3"/>
  <c r="AC19" i="3"/>
  <c r="AD19" i="3" s="1"/>
  <c r="AB19" i="3"/>
  <c r="AA19" i="3"/>
  <c r="AC18" i="3"/>
  <c r="AD18" i="3" s="1"/>
  <c r="AB18" i="3"/>
  <c r="AA18" i="3"/>
  <c r="AC17" i="3"/>
  <c r="AD17" i="3" s="1"/>
  <c r="AB17" i="3"/>
  <c r="AA17" i="3"/>
  <c r="AC16" i="3"/>
  <c r="AD16" i="3" s="1"/>
  <c r="AB16" i="3"/>
  <c r="AA16" i="3"/>
  <c r="AC15" i="3"/>
  <c r="AD15" i="3" s="1"/>
  <c r="AB15" i="3"/>
  <c r="AA15" i="3"/>
  <c r="AC14" i="3"/>
  <c r="AD14" i="3" s="1"/>
  <c r="AB14" i="3"/>
  <c r="AA14" i="3"/>
  <c r="AC13" i="3"/>
  <c r="AD13" i="3" s="1"/>
  <c r="AB13" i="3"/>
  <c r="AA13" i="3"/>
  <c r="AC12" i="3"/>
  <c r="AD12" i="3" s="1"/>
  <c r="AB12" i="3"/>
  <c r="AA12" i="3"/>
  <c r="AC11" i="3"/>
  <c r="AD11" i="3" s="1"/>
  <c r="AB11" i="3"/>
  <c r="AA11" i="3"/>
  <c r="AC10" i="3"/>
  <c r="AD10" i="3" s="1"/>
  <c r="AB10" i="3"/>
  <c r="AA10" i="3"/>
  <c r="AC9" i="3"/>
  <c r="AD9" i="3" s="1"/>
  <c r="AB9" i="3"/>
  <c r="AA9" i="3"/>
  <c r="AC8" i="3"/>
  <c r="AD8" i="3" s="1"/>
  <c r="AB8" i="3"/>
  <c r="AA8" i="3"/>
  <c r="AC7" i="3"/>
  <c r="AD7" i="3" s="1"/>
  <c r="AB7" i="3"/>
  <c r="AA7" i="3"/>
  <c r="AC6" i="3"/>
  <c r="AD6" i="3" s="1"/>
  <c r="AB6" i="3"/>
  <c r="AA6" i="3"/>
  <c r="AC5" i="3"/>
  <c r="AD5" i="3" s="1"/>
  <c r="AB5" i="3"/>
  <c r="AA5" i="3"/>
  <c r="AC4" i="3"/>
  <c r="AD4" i="3" s="1"/>
  <c r="AB4" i="3"/>
  <c r="AA4" i="3"/>
  <c r="AC3" i="3"/>
  <c r="AD3" i="3" s="1"/>
  <c r="AB3" i="3"/>
  <c r="AA3" i="3"/>
  <c r="AC2" i="3"/>
  <c r="AD2" i="3" s="1"/>
  <c r="AD68" i="3" s="1"/>
  <c r="AB2" i="3"/>
  <c r="AA2" i="3"/>
  <c r="V67" i="3"/>
  <c r="U67" i="3"/>
  <c r="T67" i="3"/>
  <c r="V66" i="3"/>
  <c r="U66" i="3"/>
  <c r="T66" i="3"/>
  <c r="V65" i="3"/>
  <c r="U65" i="3"/>
  <c r="T65" i="3"/>
  <c r="V64" i="3"/>
  <c r="U64" i="3"/>
  <c r="T64" i="3"/>
  <c r="V63" i="3"/>
  <c r="U63" i="3"/>
  <c r="T63" i="3"/>
  <c r="V62" i="3"/>
  <c r="U62" i="3"/>
  <c r="T62" i="3"/>
  <c r="V61" i="3"/>
  <c r="U61" i="3"/>
  <c r="T61" i="3"/>
  <c r="V60" i="3"/>
  <c r="U60" i="3"/>
  <c r="T60" i="3"/>
  <c r="V59" i="3"/>
  <c r="U59" i="3"/>
  <c r="T59" i="3"/>
  <c r="V58" i="3"/>
  <c r="U58" i="3"/>
  <c r="T58" i="3"/>
  <c r="V57" i="3"/>
  <c r="U57" i="3"/>
  <c r="T57" i="3"/>
  <c r="V56" i="3"/>
  <c r="U56" i="3"/>
  <c r="T56" i="3"/>
  <c r="V55" i="3"/>
  <c r="U55" i="3"/>
  <c r="T55" i="3"/>
  <c r="V54" i="3"/>
  <c r="U54" i="3"/>
  <c r="T54" i="3"/>
  <c r="V53" i="3"/>
  <c r="U53" i="3"/>
  <c r="T53" i="3"/>
  <c r="V52" i="3"/>
  <c r="U52" i="3"/>
  <c r="T52" i="3"/>
  <c r="V51" i="3"/>
  <c r="U51" i="3"/>
  <c r="T51" i="3"/>
  <c r="V50" i="3"/>
  <c r="U50" i="3"/>
  <c r="T50" i="3"/>
  <c r="V49" i="3"/>
  <c r="U49" i="3"/>
  <c r="T49" i="3"/>
  <c r="V48" i="3"/>
  <c r="U48" i="3"/>
  <c r="T48" i="3"/>
  <c r="V47" i="3"/>
  <c r="U47" i="3"/>
  <c r="T47" i="3"/>
  <c r="V46" i="3"/>
  <c r="U46" i="3"/>
  <c r="T46" i="3"/>
  <c r="V45" i="3"/>
  <c r="U45" i="3"/>
  <c r="T45" i="3"/>
  <c r="V44" i="3"/>
  <c r="U44" i="3"/>
  <c r="T44" i="3"/>
  <c r="V43" i="3"/>
  <c r="U43" i="3"/>
  <c r="T43" i="3"/>
  <c r="V42" i="3"/>
  <c r="U42" i="3"/>
  <c r="T42" i="3"/>
  <c r="V41" i="3"/>
  <c r="U41" i="3"/>
  <c r="T41" i="3"/>
  <c r="V40" i="3"/>
  <c r="U40" i="3"/>
  <c r="T40" i="3"/>
  <c r="V39" i="3"/>
  <c r="U39" i="3"/>
  <c r="T39" i="3"/>
  <c r="V38" i="3"/>
  <c r="U38" i="3"/>
  <c r="T38" i="3"/>
  <c r="V37" i="3"/>
  <c r="U37" i="3"/>
  <c r="T37" i="3"/>
  <c r="V36" i="3"/>
  <c r="U36" i="3"/>
  <c r="T36" i="3"/>
  <c r="V35" i="3"/>
  <c r="U35" i="3"/>
  <c r="T35" i="3"/>
  <c r="V34" i="3"/>
  <c r="U34" i="3"/>
  <c r="T34" i="3"/>
  <c r="V33" i="3"/>
  <c r="U33" i="3"/>
  <c r="T33" i="3"/>
  <c r="V32" i="3"/>
  <c r="U32" i="3"/>
  <c r="T32" i="3"/>
  <c r="V31" i="3"/>
  <c r="U31" i="3"/>
  <c r="T31" i="3"/>
  <c r="V30" i="3"/>
  <c r="U30" i="3"/>
  <c r="T30" i="3"/>
  <c r="V29" i="3"/>
  <c r="U29" i="3"/>
  <c r="T29" i="3"/>
  <c r="V28" i="3"/>
  <c r="U28" i="3"/>
  <c r="T28" i="3"/>
  <c r="V27" i="3"/>
  <c r="U27" i="3"/>
  <c r="T27" i="3"/>
  <c r="V26" i="3"/>
  <c r="U26" i="3"/>
  <c r="T26" i="3"/>
  <c r="V25" i="3"/>
  <c r="U25" i="3"/>
  <c r="T25" i="3"/>
  <c r="V24" i="3"/>
  <c r="U24" i="3"/>
  <c r="T24" i="3"/>
  <c r="V23" i="3"/>
  <c r="U23" i="3"/>
  <c r="T23" i="3"/>
  <c r="V22" i="3"/>
  <c r="U22" i="3"/>
  <c r="T22" i="3"/>
  <c r="V21" i="3"/>
  <c r="U21" i="3"/>
  <c r="T21" i="3"/>
  <c r="V20" i="3"/>
  <c r="U20" i="3"/>
  <c r="T20" i="3"/>
  <c r="V19" i="3"/>
  <c r="U19" i="3"/>
  <c r="T19" i="3"/>
  <c r="V18" i="3"/>
  <c r="U18" i="3"/>
  <c r="T18" i="3"/>
  <c r="V17" i="3"/>
  <c r="U17" i="3"/>
  <c r="T17" i="3"/>
  <c r="V16" i="3"/>
  <c r="U16" i="3"/>
  <c r="T16" i="3"/>
  <c r="V15" i="3"/>
  <c r="U15" i="3"/>
  <c r="T15" i="3"/>
  <c r="V14" i="3"/>
  <c r="U14" i="3"/>
  <c r="T14" i="3"/>
  <c r="V13" i="3"/>
  <c r="U13" i="3"/>
  <c r="T13" i="3"/>
  <c r="V12" i="3"/>
  <c r="U12" i="3"/>
  <c r="T12" i="3"/>
  <c r="V11" i="3"/>
  <c r="U11" i="3"/>
  <c r="T11" i="3"/>
  <c r="V10" i="3"/>
  <c r="U10" i="3"/>
  <c r="T10" i="3"/>
  <c r="V9" i="3"/>
  <c r="U9" i="3"/>
  <c r="T9" i="3"/>
  <c r="V8" i="3"/>
  <c r="U8" i="3"/>
  <c r="T8" i="3"/>
  <c r="V7" i="3"/>
  <c r="U7" i="3"/>
  <c r="T7" i="3"/>
  <c r="V6" i="3"/>
  <c r="U6" i="3"/>
  <c r="T6" i="3"/>
  <c r="V5" i="3"/>
  <c r="U5" i="3"/>
  <c r="T5" i="3"/>
  <c r="V4" i="3"/>
  <c r="U4" i="3"/>
  <c r="T4" i="3"/>
  <c r="V3" i="3"/>
  <c r="U3" i="3"/>
  <c r="T3" i="3"/>
  <c r="V2" i="3"/>
  <c r="U2" i="3"/>
  <c r="T2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E69" i="3" s="1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  <c r="D69" i="3" s="1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N67" i="3"/>
  <c r="N66" i="3"/>
  <c r="N65" i="3"/>
  <c r="N64" i="3"/>
  <c r="N63" i="3"/>
  <c r="N62" i="3"/>
  <c r="N61" i="3"/>
  <c r="N60" i="3"/>
  <c r="N59" i="3"/>
  <c r="N58" i="3"/>
  <c r="N57" i="3"/>
  <c r="N56" i="3"/>
  <c r="N55" i="3"/>
  <c r="N54" i="3"/>
  <c r="N53" i="3"/>
  <c r="N52" i="3"/>
  <c r="N51" i="3"/>
  <c r="N50" i="3"/>
  <c r="N49" i="3"/>
  <c r="N48" i="3"/>
  <c r="N47" i="3"/>
  <c r="N46" i="3"/>
  <c r="N45" i="3"/>
  <c r="N44" i="3"/>
  <c r="N43" i="3"/>
  <c r="N42" i="3"/>
  <c r="N41" i="3"/>
  <c r="N40" i="3"/>
  <c r="N39" i="3"/>
  <c r="N38" i="3"/>
  <c r="N37" i="3"/>
  <c r="N36" i="3"/>
  <c r="N35" i="3"/>
  <c r="N34" i="3"/>
  <c r="N33" i="3"/>
  <c r="N32" i="3"/>
  <c r="N31" i="3"/>
  <c r="N30" i="3"/>
  <c r="N29" i="3"/>
  <c r="N28" i="3"/>
  <c r="N27" i="3"/>
  <c r="N26" i="3"/>
  <c r="N25" i="3"/>
  <c r="N24" i="3"/>
  <c r="N23" i="3"/>
  <c r="N22" i="3"/>
  <c r="N21" i="3"/>
  <c r="N20" i="3"/>
  <c r="N19" i="3"/>
  <c r="N18" i="3"/>
  <c r="N17" i="3"/>
  <c r="N16" i="3"/>
  <c r="N15" i="3"/>
  <c r="N14" i="3"/>
  <c r="N13" i="3"/>
  <c r="N12" i="3"/>
  <c r="N11" i="3"/>
  <c r="N10" i="3"/>
  <c r="N9" i="3"/>
  <c r="N8" i="3"/>
  <c r="N7" i="3"/>
  <c r="N6" i="3"/>
  <c r="N5" i="3"/>
  <c r="N4" i="3"/>
  <c r="N3" i="3"/>
  <c r="N2" i="3"/>
  <c r="N68" i="3" s="1"/>
  <c r="N69" i="3" s="1"/>
  <c r="D67" i="3"/>
  <c r="C67" i="3"/>
  <c r="B67" i="3"/>
  <c r="D66" i="3"/>
  <c r="C66" i="3"/>
  <c r="B66" i="3"/>
  <c r="D65" i="3"/>
  <c r="C65" i="3"/>
  <c r="B65" i="3"/>
  <c r="D64" i="3"/>
  <c r="C64" i="3"/>
  <c r="B64" i="3"/>
  <c r="D63" i="3"/>
  <c r="C63" i="3"/>
  <c r="B63" i="3"/>
  <c r="D62" i="3"/>
  <c r="C62" i="3"/>
  <c r="B62" i="3"/>
  <c r="D61" i="3"/>
  <c r="C61" i="3"/>
  <c r="B61" i="3"/>
  <c r="D60" i="3"/>
  <c r="C60" i="3"/>
  <c r="B60" i="3"/>
  <c r="D59" i="3"/>
  <c r="C59" i="3"/>
  <c r="B59" i="3"/>
  <c r="D58" i="3"/>
  <c r="C58" i="3"/>
  <c r="B58" i="3"/>
  <c r="D57" i="3"/>
  <c r="C57" i="3"/>
  <c r="B57" i="3"/>
  <c r="D56" i="3"/>
  <c r="C56" i="3"/>
  <c r="B56" i="3"/>
  <c r="D55" i="3"/>
  <c r="C55" i="3"/>
  <c r="B55" i="3"/>
  <c r="D54" i="3"/>
  <c r="C54" i="3"/>
  <c r="B54" i="3"/>
  <c r="D53" i="3"/>
  <c r="C53" i="3"/>
  <c r="B53" i="3"/>
  <c r="D52" i="3"/>
  <c r="C52" i="3"/>
  <c r="B52" i="3"/>
  <c r="D51" i="3"/>
  <c r="C51" i="3"/>
  <c r="B51" i="3"/>
  <c r="D50" i="3"/>
  <c r="C50" i="3"/>
  <c r="B50" i="3"/>
  <c r="D49" i="3"/>
  <c r="C49" i="3"/>
  <c r="B49" i="3"/>
  <c r="D48" i="3"/>
  <c r="C48" i="3"/>
  <c r="B48" i="3"/>
  <c r="D47" i="3"/>
  <c r="C47" i="3"/>
  <c r="B47" i="3"/>
  <c r="D46" i="3"/>
  <c r="C46" i="3"/>
  <c r="B46" i="3"/>
  <c r="D45" i="3"/>
  <c r="C45" i="3"/>
  <c r="B45" i="3"/>
  <c r="D44" i="3"/>
  <c r="C44" i="3"/>
  <c r="B44" i="3"/>
  <c r="D43" i="3"/>
  <c r="C43" i="3"/>
  <c r="B43" i="3"/>
  <c r="D42" i="3"/>
  <c r="C42" i="3"/>
  <c r="B42" i="3"/>
  <c r="D41" i="3"/>
  <c r="C41" i="3"/>
  <c r="B41" i="3"/>
  <c r="D40" i="3"/>
  <c r="C40" i="3"/>
  <c r="B40" i="3"/>
  <c r="D39" i="3"/>
  <c r="C39" i="3"/>
  <c r="B39" i="3"/>
  <c r="D38" i="3"/>
  <c r="C38" i="3"/>
  <c r="B38" i="3"/>
  <c r="D37" i="3"/>
  <c r="C37" i="3"/>
  <c r="B37" i="3"/>
  <c r="D36" i="3"/>
  <c r="C36" i="3"/>
  <c r="B36" i="3"/>
  <c r="D35" i="3"/>
  <c r="C35" i="3"/>
  <c r="B35" i="3"/>
  <c r="D34" i="3"/>
  <c r="C34" i="3"/>
  <c r="B34" i="3"/>
  <c r="D33" i="3"/>
  <c r="C33" i="3"/>
  <c r="B33" i="3"/>
  <c r="D32" i="3"/>
  <c r="C32" i="3"/>
  <c r="B32" i="3"/>
  <c r="D31" i="3"/>
  <c r="C31" i="3"/>
  <c r="B31" i="3"/>
  <c r="D30" i="3"/>
  <c r="C30" i="3"/>
  <c r="B30" i="3"/>
  <c r="D29" i="3"/>
  <c r="C29" i="3"/>
  <c r="B29" i="3"/>
  <c r="D28" i="3"/>
  <c r="C28" i="3"/>
  <c r="B28" i="3"/>
  <c r="D27" i="3"/>
  <c r="C27" i="3"/>
  <c r="B27" i="3"/>
  <c r="D26" i="3"/>
  <c r="C26" i="3"/>
  <c r="B26" i="3"/>
  <c r="D25" i="3"/>
  <c r="C25" i="3"/>
  <c r="B25" i="3"/>
  <c r="D24" i="3"/>
  <c r="C24" i="3"/>
  <c r="B24" i="3"/>
  <c r="D23" i="3"/>
  <c r="C23" i="3"/>
  <c r="B23" i="3"/>
  <c r="D22" i="3"/>
  <c r="C22" i="3"/>
  <c r="B22" i="3"/>
  <c r="D21" i="3"/>
  <c r="C21" i="3"/>
  <c r="B21" i="3"/>
  <c r="D20" i="3"/>
  <c r="C20" i="3"/>
  <c r="B20" i="3"/>
  <c r="D19" i="3"/>
  <c r="C19" i="3"/>
  <c r="B19" i="3"/>
  <c r="D18" i="3"/>
  <c r="C18" i="3"/>
  <c r="B18" i="3"/>
  <c r="D17" i="3"/>
  <c r="C17" i="3"/>
  <c r="B17" i="3"/>
  <c r="D16" i="3"/>
  <c r="C16" i="3"/>
  <c r="B16" i="3"/>
  <c r="D15" i="3"/>
  <c r="C15" i="3"/>
  <c r="B15" i="3"/>
  <c r="D14" i="3"/>
  <c r="C14" i="3"/>
  <c r="B14" i="3"/>
  <c r="D13" i="3"/>
  <c r="C13" i="3"/>
  <c r="B13" i="3"/>
  <c r="D12" i="3"/>
  <c r="C12" i="3"/>
  <c r="B12" i="3"/>
  <c r="D11" i="3"/>
  <c r="C11" i="3"/>
  <c r="B11" i="3"/>
  <c r="D10" i="3"/>
  <c r="C10" i="3"/>
  <c r="B10" i="3"/>
  <c r="D9" i="3"/>
  <c r="C9" i="3"/>
  <c r="B9" i="3"/>
  <c r="D8" i="3"/>
  <c r="C8" i="3"/>
  <c r="B8" i="3"/>
  <c r="D7" i="3"/>
  <c r="C7" i="3"/>
  <c r="B7" i="3"/>
  <c r="D6" i="3"/>
  <c r="C6" i="3"/>
  <c r="B6" i="3"/>
  <c r="D5" i="3"/>
  <c r="C5" i="3"/>
  <c r="B5" i="3"/>
  <c r="D4" i="3"/>
  <c r="C4" i="3"/>
  <c r="B4" i="3"/>
  <c r="D3" i="3"/>
  <c r="C3" i="3"/>
  <c r="B3" i="3"/>
  <c r="D2" i="3"/>
  <c r="C2" i="3"/>
  <c r="B2" i="3"/>
  <c r="BF8" i="2"/>
  <c r="BE8" i="2"/>
  <c r="BD8" i="2"/>
  <c r="BA8" i="2"/>
  <c r="AZ8" i="2"/>
  <c r="AY8" i="2"/>
  <c r="AV8" i="2"/>
  <c r="AU8" i="2"/>
  <c r="AT8" i="2"/>
  <c r="AQ8" i="2"/>
  <c r="AP8" i="2"/>
  <c r="AO8" i="2"/>
  <c r="AL8" i="2"/>
  <c r="AK8" i="2"/>
  <c r="AJ8" i="2"/>
  <c r="AF8" i="2"/>
  <c r="AE8" i="2"/>
  <c r="AD8" i="2"/>
  <c r="Z8" i="2"/>
  <c r="Y8" i="2"/>
  <c r="X8" i="2"/>
  <c r="U8" i="2"/>
  <c r="T8" i="2"/>
  <c r="S8" i="2"/>
  <c r="N8" i="2"/>
  <c r="G8" i="2"/>
  <c r="F8" i="2"/>
  <c r="C8" i="2"/>
  <c r="D8" i="2"/>
  <c r="E8" i="2"/>
  <c r="A8" i="2" s="1"/>
  <c r="C9" i="2"/>
  <c r="D9" i="2"/>
  <c r="E9" i="2"/>
  <c r="C10" i="2"/>
  <c r="D10" i="2"/>
  <c r="E10" i="2"/>
  <c r="C11" i="2"/>
  <c r="D11" i="2"/>
  <c r="E11" i="2"/>
  <c r="C12" i="2"/>
  <c r="D12" i="2"/>
  <c r="E12" i="2"/>
  <c r="A12" i="2" s="1"/>
  <c r="C13" i="2"/>
  <c r="D13" i="2"/>
  <c r="E13" i="2"/>
  <c r="C14" i="2"/>
  <c r="D14" i="2"/>
  <c r="E14" i="2"/>
  <c r="C15" i="2"/>
  <c r="D15" i="2"/>
  <c r="E15" i="2"/>
  <c r="C16" i="2"/>
  <c r="D16" i="2"/>
  <c r="E16" i="2"/>
  <c r="A16" i="2" s="1"/>
  <c r="C17" i="2"/>
  <c r="D17" i="2"/>
  <c r="E17" i="2"/>
  <c r="C18" i="2"/>
  <c r="D18" i="2"/>
  <c r="E18" i="2"/>
  <c r="C19" i="2"/>
  <c r="D19" i="2"/>
  <c r="E19" i="2"/>
  <c r="C20" i="2"/>
  <c r="D20" i="2"/>
  <c r="E20" i="2"/>
  <c r="A20" i="2" s="1"/>
  <c r="C21" i="2"/>
  <c r="D21" i="2"/>
  <c r="E21" i="2"/>
  <c r="C22" i="2"/>
  <c r="D22" i="2"/>
  <c r="E22" i="2"/>
  <c r="C23" i="2"/>
  <c r="D23" i="2"/>
  <c r="E23" i="2"/>
  <c r="C24" i="2"/>
  <c r="D24" i="2"/>
  <c r="E24" i="2"/>
  <c r="A24" i="2" s="1"/>
  <c r="C25" i="2"/>
  <c r="D25" i="2"/>
  <c r="E25" i="2"/>
  <c r="C26" i="2"/>
  <c r="D26" i="2"/>
  <c r="E26" i="2"/>
  <c r="C27" i="2"/>
  <c r="D27" i="2"/>
  <c r="E27" i="2"/>
  <c r="C28" i="2"/>
  <c r="D28" i="2"/>
  <c r="E28" i="2"/>
  <c r="A28" i="2" s="1"/>
  <c r="C29" i="2"/>
  <c r="D29" i="2"/>
  <c r="E29" i="2"/>
  <c r="C30" i="2"/>
  <c r="D30" i="2"/>
  <c r="E30" i="2"/>
  <c r="C31" i="2"/>
  <c r="D31" i="2"/>
  <c r="E31" i="2"/>
  <c r="C32" i="2"/>
  <c r="D32" i="2"/>
  <c r="E32" i="2"/>
  <c r="A32" i="2" s="1"/>
  <c r="C33" i="2"/>
  <c r="D33" i="2"/>
  <c r="E33" i="2"/>
  <c r="C34" i="2"/>
  <c r="D34" i="2"/>
  <c r="E34" i="2"/>
  <c r="C35" i="2"/>
  <c r="D35" i="2"/>
  <c r="E35" i="2"/>
  <c r="C36" i="2"/>
  <c r="D36" i="2"/>
  <c r="E36" i="2"/>
  <c r="A36" i="2" s="1"/>
  <c r="C37" i="2"/>
  <c r="D37" i="2"/>
  <c r="E37" i="2"/>
  <c r="C38" i="2"/>
  <c r="D38" i="2"/>
  <c r="E38" i="2"/>
  <c r="C39" i="2"/>
  <c r="D39" i="2"/>
  <c r="E39" i="2"/>
  <c r="C40" i="2"/>
  <c r="D40" i="2"/>
  <c r="E40" i="2"/>
  <c r="A40" i="2" s="1"/>
  <c r="C41" i="2"/>
  <c r="D41" i="2"/>
  <c r="E41" i="2"/>
  <c r="C42" i="2"/>
  <c r="D42" i="2"/>
  <c r="E42" i="2"/>
  <c r="C43" i="2"/>
  <c r="D43" i="2"/>
  <c r="E43" i="2"/>
  <c r="C44" i="2"/>
  <c r="D44" i="2"/>
  <c r="E44" i="2"/>
  <c r="A44" i="2" s="1"/>
  <c r="C45" i="2"/>
  <c r="D45" i="2"/>
  <c r="E45" i="2"/>
  <c r="C46" i="2"/>
  <c r="D46" i="2"/>
  <c r="E46" i="2"/>
  <c r="C47" i="2"/>
  <c r="D47" i="2"/>
  <c r="E47" i="2"/>
  <c r="C48" i="2"/>
  <c r="D48" i="2"/>
  <c r="E48" i="2"/>
  <c r="A48" i="2" s="1"/>
  <c r="C49" i="2"/>
  <c r="D49" i="2"/>
  <c r="E49" i="2"/>
  <c r="C50" i="2"/>
  <c r="D50" i="2"/>
  <c r="E50" i="2"/>
  <c r="C51" i="2"/>
  <c r="D51" i="2"/>
  <c r="E51" i="2"/>
  <c r="C52" i="2"/>
  <c r="D52" i="2"/>
  <c r="E52" i="2"/>
  <c r="A52" i="2" s="1"/>
  <c r="C53" i="2"/>
  <c r="D53" i="2"/>
  <c r="E53" i="2"/>
  <c r="C54" i="2"/>
  <c r="D54" i="2"/>
  <c r="E54" i="2"/>
  <c r="C55" i="2"/>
  <c r="D55" i="2"/>
  <c r="E55" i="2"/>
  <c r="C56" i="2"/>
  <c r="D56" i="2"/>
  <c r="E56" i="2"/>
  <c r="A56" i="2" s="1"/>
  <c r="C57" i="2"/>
  <c r="D57" i="2"/>
  <c r="E57" i="2"/>
  <c r="C58" i="2"/>
  <c r="D58" i="2"/>
  <c r="E58" i="2"/>
  <c r="C59" i="2"/>
  <c r="D59" i="2"/>
  <c r="E59" i="2"/>
  <c r="C60" i="2"/>
  <c r="D60" i="2"/>
  <c r="E60" i="2"/>
  <c r="A60" i="2" s="1"/>
  <c r="C61" i="2"/>
  <c r="D61" i="2"/>
  <c r="E61" i="2"/>
  <c r="C62" i="2"/>
  <c r="D62" i="2"/>
  <c r="E62" i="2"/>
  <c r="C63" i="2"/>
  <c r="D63" i="2"/>
  <c r="E63" i="2"/>
  <c r="C64" i="2"/>
  <c r="D64" i="2"/>
  <c r="E64" i="2"/>
  <c r="A64" i="2" s="1"/>
  <c r="C65" i="2"/>
  <c r="D65" i="2"/>
  <c r="E65" i="2"/>
  <c r="C66" i="2"/>
  <c r="D66" i="2"/>
  <c r="E66" i="2"/>
  <c r="C67" i="2"/>
  <c r="D67" i="2"/>
  <c r="E67" i="2"/>
  <c r="C68" i="2"/>
  <c r="D68" i="2"/>
  <c r="E68" i="2"/>
  <c r="A68" i="2" s="1"/>
  <c r="C69" i="2"/>
  <c r="D69" i="2"/>
  <c r="E69" i="2"/>
  <c r="C70" i="2"/>
  <c r="D70" i="2"/>
  <c r="E70" i="2"/>
  <c r="A70" i="2" s="1"/>
  <c r="C71" i="2"/>
  <c r="D71" i="2"/>
  <c r="E71" i="2"/>
  <c r="C72" i="2"/>
  <c r="D72" i="2"/>
  <c r="E72" i="2"/>
  <c r="A72" i="2" s="1"/>
  <c r="C73" i="2"/>
  <c r="D73" i="2"/>
  <c r="E73" i="2"/>
  <c r="W71" i="5"/>
  <c r="AC71" i="5"/>
  <c r="AI71" i="5"/>
  <c r="AK71" i="5"/>
  <c r="AO71" i="5"/>
  <c r="AU71" i="5"/>
  <c r="BC71" i="5"/>
  <c r="F71" i="5"/>
  <c r="T71" i="5"/>
  <c r="AD71" i="5"/>
  <c r="AN71" i="5"/>
  <c r="AT71" i="5"/>
  <c r="S71" i="4"/>
  <c r="Y71" i="4"/>
  <c r="AE71" i="4"/>
  <c r="AK71" i="4"/>
  <c r="AS71" i="4"/>
  <c r="AY71" i="4"/>
  <c r="BE71" i="4"/>
  <c r="R71" i="4"/>
  <c r="X71" i="4"/>
  <c r="AJ71" i="4"/>
  <c r="AP71" i="4"/>
  <c r="AX71" i="4"/>
  <c r="U68" i="3"/>
  <c r="AA68" i="3"/>
  <c r="AC68" i="3"/>
  <c r="AI68" i="3"/>
  <c r="AO68" i="3"/>
  <c r="AS68" i="3"/>
  <c r="AU68" i="3"/>
  <c r="AY68" i="3"/>
  <c r="BC68" i="3"/>
  <c r="BE68" i="3"/>
  <c r="BI68" i="3"/>
  <c r="BN68" i="3"/>
  <c r="Q69" i="3"/>
  <c r="F68" i="3"/>
  <c r="F69" i="3"/>
  <c r="T68" i="3"/>
  <c r="V68" i="3"/>
  <c r="AB68" i="3"/>
  <c r="AH68" i="3"/>
  <c r="AJ68" i="3"/>
  <c r="AN68" i="3"/>
  <c r="AP68" i="3"/>
  <c r="AT68" i="3"/>
  <c r="AX68" i="3"/>
  <c r="AZ68" i="3"/>
  <c r="BD68" i="3"/>
  <c r="BH68" i="3"/>
  <c r="A73" i="2"/>
  <c r="A71" i="2"/>
  <c r="A69" i="2"/>
  <c r="A67" i="2"/>
  <c r="A65" i="2"/>
  <c r="A63" i="2"/>
  <c r="A61" i="2"/>
  <c r="A59" i="2"/>
  <c r="A57" i="2"/>
  <c r="A55" i="2"/>
  <c r="A53" i="2"/>
  <c r="A51" i="2"/>
  <c r="A49" i="2"/>
  <c r="A47" i="2"/>
  <c r="A45" i="2"/>
  <c r="A43" i="2"/>
  <c r="A41" i="2"/>
  <c r="A39" i="2"/>
  <c r="A37" i="2"/>
  <c r="A35" i="2"/>
  <c r="A33" i="2"/>
  <c r="A31" i="2"/>
  <c r="A29" i="2"/>
  <c r="A27" i="2"/>
  <c r="A25" i="2"/>
  <c r="A23" i="2"/>
  <c r="A21" i="2"/>
  <c r="A19" i="2"/>
  <c r="A17" i="2"/>
  <c r="A15" i="2"/>
  <c r="A13" i="2"/>
  <c r="A11" i="2"/>
  <c r="A9" i="2"/>
  <c r="AT71" i="4"/>
  <c r="AN71" i="4"/>
  <c r="AD71" i="4"/>
  <c r="F71" i="4"/>
  <c r="BC71" i="4"/>
  <c r="AO71" i="4"/>
  <c r="AI71" i="4"/>
  <c r="AC71" i="4"/>
  <c r="W71" i="4"/>
  <c r="AX71" i="5"/>
  <c r="AJ71" i="5"/>
  <c r="X71" i="5"/>
  <c r="R71" i="5"/>
  <c r="AY71" i="5"/>
  <c r="AS71" i="5"/>
  <c r="S71" i="5"/>
  <c r="A66" i="2" l="1"/>
  <c r="A62" i="2"/>
  <c r="A58" i="2"/>
  <c r="A54" i="2"/>
  <c r="A50" i="2"/>
  <c r="A46" i="2"/>
  <c r="A42" i="2"/>
  <c r="A38" i="2"/>
  <c r="A34" i="2"/>
  <c r="A30" i="2"/>
  <c r="A26" i="2"/>
  <c r="A22" i="2"/>
  <c r="A18" i="2"/>
  <c r="A14" i="2"/>
  <c r="A10" i="2"/>
  <c r="AU71" i="4"/>
  <c r="T71" i="4"/>
  <c r="BE71" i="5"/>
  <c r="AP71" i="5"/>
  <c r="AE71" i="5"/>
  <c r="Y71" i="5"/>
</calcChain>
</file>

<file path=xl/sharedStrings.xml><?xml version="1.0" encoding="utf-8"?>
<sst xmlns="http://schemas.openxmlformats.org/spreadsheetml/2006/main" count="682" uniqueCount="227">
  <si>
    <t>&lt;Shift Report&gt;</t>
  </si>
  <si>
    <t>&lt; Field Key &gt;</t>
  </si>
  <si>
    <t>&lt; Field Name &gt;</t>
  </si>
  <si>
    <t>SHIFT</t>
  </si>
  <si>
    <t xml:space="preserve">Shiftname
</t>
  </si>
  <si>
    <t>DATE</t>
  </si>
  <si>
    <t xml:space="preserve">Date
</t>
  </si>
  <si>
    <t>WEEK</t>
  </si>
  <si>
    <t xml:space="preserve">Week
</t>
  </si>
  <si>
    <t>MONTH</t>
  </si>
  <si>
    <t xml:space="preserve">Month
</t>
  </si>
  <si>
    <t>OPERATOR</t>
  </si>
  <si>
    <t xml:space="preserve">Operator
</t>
  </si>
  <si>
    <t>LOOM</t>
  </si>
  <si>
    <t xml:space="preserve">Loom
</t>
  </si>
  <si>
    <t>MAC_TYPE</t>
  </si>
  <si>
    <t xml:space="preserve">Type
</t>
  </si>
  <si>
    <t>STYLE</t>
  </si>
  <si>
    <t xml:space="preserve">Style
</t>
  </si>
  <si>
    <t>TOP_BEAM</t>
  </si>
  <si>
    <t xml:space="preserve">TopBeam
</t>
  </si>
  <si>
    <t>BEAM</t>
  </si>
  <si>
    <t xml:space="preserve">Beam
</t>
  </si>
  <si>
    <t>RPM</t>
  </si>
  <si>
    <t xml:space="preserve">RPM
</t>
  </si>
  <si>
    <t>EFFIC</t>
  </si>
  <si>
    <t xml:space="preserve">Effic.
</t>
  </si>
  <si>
    <t>RUN</t>
  </si>
  <si>
    <t xml:space="preserve">Run
</t>
  </si>
  <si>
    <t>STOP</t>
  </si>
  <si>
    <t xml:space="preserve">Stop
</t>
  </si>
  <si>
    <t>PRODUCT</t>
  </si>
  <si>
    <t xml:space="preserve">Product
</t>
  </si>
  <si>
    <t>RYUURYOU</t>
  </si>
  <si>
    <t xml:space="preserve">Air flow
</t>
  </si>
  <si>
    <t>WARP_TOP</t>
  </si>
  <si>
    <t xml:space="preserve">WapTop
</t>
  </si>
  <si>
    <t>WARP</t>
  </si>
  <si>
    <t xml:space="preserve">Warp
</t>
  </si>
  <si>
    <t>FALS</t>
  </si>
  <si>
    <t xml:space="preserve">False
</t>
  </si>
  <si>
    <t>CC_FRONT</t>
  </si>
  <si>
    <t xml:space="preserve">False(F)
</t>
  </si>
  <si>
    <t>CC_REAR</t>
  </si>
  <si>
    <t xml:space="preserve">False(R)
</t>
  </si>
  <si>
    <t>LENO</t>
  </si>
  <si>
    <t xml:space="preserve">Leno
</t>
  </si>
  <si>
    <t>LENO_L</t>
  </si>
  <si>
    <t xml:space="preserve">Leno(L)
</t>
  </si>
  <si>
    <t>LENO_R</t>
  </si>
  <si>
    <t xml:space="preserve">Leno(R)
</t>
  </si>
  <si>
    <t>WEFT</t>
  </si>
  <si>
    <t xml:space="preserve">Weft
</t>
  </si>
  <si>
    <t>WARP_OUT</t>
  </si>
  <si>
    <t xml:space="preserve">WapOut
</t>
  </si>
  <si>
    <t>DOFF</t>
  </si>
  <si>
    <t xml:space="preserve">Doff
</t>
  </si>
  <si>
    <t>MANUAL</t>
  </si>
  <si>
    <t xml:space="preserve">Manu
</t>
  </si>
  <si>
    <t>PWR_OFF</t>
  </si>
  <si>
    <t xml:space="preserve">Off
</t>
  </si>
  <si>
    <t>OTHER</t>
  </si>
  <si>
    <t xml:space="preserve">Other
</t>
  </si>
  <si>
    <t>UNSELECT</t>
  </si>
  <si>
    <t xml:space="preserve">UnSelect
</t>
  </si>
  <si>
    <t>UNSELECT2</t>
  </si>
  <si>
    <t xml:space="preserve">UnSelect2
</t>
  </si>
  <si>
    <t>TOTAL</t>
  </si>
  <si>
    <t xml:space="preserve">Total
</t>
  </si>
  <si>
    <t>TOTAL2</t>
  </si>
  <si>
    <t xml:space="preserve">Total2
</t>
  </si>
  <si>
    <t>WF1</t>
  </si>
  <si>
    <t>WF2</t>
  </si>
  <si>
    <t>LH</t>
  </si>
  <si>
    <t>COLOR1</t>
  </si>
  <si>
    <t xml:space="preserve">(1)
</t>
  </si>
  <si>
    <t>COLOR2</t>
  </si>
  <si>
    <t xml:space="preserve">(2)
</t>
  </si>
  <si>
    <t>COLOR3</t>
  </si>
  <si>
    <t xml:space="preserve">(3)
</t>
  </si>
  <si>
    <t>COLOR4</t>
  </si>
  <si>
    <t xml:space="preserve">(4)
</t>
  </si>
  <si>
    <t>COLOR5</t>
  </si>
  <si>
    <t xml:space="preserve">(5)
</t>
  </si>
  <si>
    <t>COLOR6</t>
  </si>
  <si>
    <t xml:space="preserve">(6)
</t>
  </si>
  <si>
    <t>COLOR7</t>
  </si>
  <si>
    <t xml:space="preserve">(7)
</t>
  </si>
  <si>
    <t>COLOR8</t>
  </si>
  <si>
    <t xml:space="preserve">(8)
</t>
  </si>
  <si>
    <t>PERCENT</t>
  </si>
  <si>
    <t>(%)</t>
  </si>
  <si>
    <t>PICK</t>
  </si>
  <si>
    <t>(1000pick)</t>
  </si>
  <si>
    <t>METER</t>
  </si>
  <si>
    <t>(meter)</t>
  </si>
  <si>
    <t>YARD</t>
  </si>
  <si>
    <t>(yard)</t>
  </si>
  <si>
    <t>PIECE</t>
  </si>
  <si>
    <t>(pcs)</t>
  </si>
  <si>
    <t>COUNT</t>
  </si>
  <si>
    <t>(times)</t>
  </si>
  <si>
    <t>MINUTE</t>
  </si>
  <si>
    <t>(min)</t>
  </si>
  <si>
    <t>RATE_PH</t>
  </si>
  <si>
    <t>(times/h)</t>
  </si>
  <si>
    <t>RATE_PDAY</t>
  </si>
  <si>
    <t>(times/day)</t>
  </si>
  <si>
    <t>RATE_PP</t>
  </si>
  <si>
    <t>(times/cmpx)</t>
  </si>
  <si>
    <t>PERIOD_SHIFT</t>
  </si>
  <si>
    <t>Period(Shift) :</t>
  </si>
  <si>
    <t>PERIOD_DAY</t>
  </si>
  <si>
    <t>Period(Date) :</t>
  </si>
  <si>
    <t>PERIOD_WEEK</t>
  </si>
  <si>
    <t>Period(Week) :</t>
  </si>
  <si>
    <t>PERIOD_MONTH</t>
  </si>
  <si>
    <t>Period(Month) :</t>
  </si>
  <si>
    <t>SHIFT_REPORT_TITLE</t>
  </si>
  <si>
    <t>Shift Report</t>
  </si>
  <si>
    <t>OPERATOR_REPORT_TITLE</t>
  </si>
  <si>
    <t>Operator Report</t>
  </si>
  <si>
    <t>SUBTOTAL</t>
  </si>
  <si>
    <t>Total</t>
  </si>
  <si>
    <t>SHEET3_NAME</t>
  </si>
  <si>
    <t>Stop Count and Time</t>
  </si>
  <si>
    <t>SHEET4_NAME</t>
  </si>
  <si>
    <t>Stop Rate(Hour)</t>
  </si>
  <si>
    <t>SHEET5_NAME</t>
  </si>
  <si>
    <t>Stop Rate(Day)</t>
  </si>
  <si>
    <t>SHEET6_NAME</t>
  </si>
  <si>
    <t>Stop Rate(cmpx)</t>
  </si>
  <si>
    <t>SHEET2_BUTTON1</t>
  </si>
  <si>
    <t>Start Making Report</t>
  </si>
  <si>
    <t>SHEET2_BUTTON2</t>
  </si>
  <si>
    <t>Re-calculation</t>
  </si>
  <si>
    <t>SHEET2_BUTTON3</t>
  </si>
  <si>
    <t>Please enable the Macros of Excel.</t>
  </si>
  <si>
    <t>Shift Report ( 2021/11/22 09:19 )</t>
  </si>
  <si>
    <t>Period(Shift) : 2021/11/21.A -&gt; 2021/11/21.A</t>
  </si>
  <si>
    <t>PARAM-&gt;</t>
  </si>
  <si>
    <t>data_type</t>
  </si>
  <si>
    <t>period_type</t>
  </si>
  <si>
    <t>jat_ari</t>
  </si>
  <si>
    <t>lwt_ari</t>
  </si>
  <si>
    <t>sort_col</t>
  </si>
  <si>
    <t>section</t>
  </si>
  <si>
    <t>rpm</t>
  </si>
  <si>
    <t>effic</t>
  </si>
  <si>
    <t>run</t>
  </si>
  <si>
    <t>stop</t>
  </si>
  <si>
    <t>production</t>
  </si>
  <si>
    <t>unit</t>
  </si>
  <si>
    <t>ryuuryou</t>
  </si>
  <si>
    <t>mac_stop</t>
  </si>
  <si>
    <t>yarn_stop</t>
  </si>
  <si>
    <t>unselect</t>
  </si>
  <si>
    <t>unselect2</t>
  </si>
  <si>
    <t>main_col</t>
  </si>
  <si>
    <t>detail</t>
  </si>
  <si>
    <t>yarn_pos</t>
  </si>
  <si>
    <t>unsel_pos</t>
  </si>
  <si>
    <t>unsel2_pos</t>
  </si>
  <si>
    <t>VALUE-&gt;</t>
  </si>
  <si>
    <t>SORTKEY</t>
  </si>
  <si>
    <t>Effic.
(%)</t>
  </si>
  <si>
    <t>Run
(min)</t>
  </si>
  <si>
    <t>Stop
(min)</t>
  </si>
  <si>
    <t>Product
(1000pick)</t>
  </si>
  <si>
    <t>Product
(meter)</t>
  </si>
  <si>
    <t>AF1</t>
  </si>
  <si>
    <t>AF2</t>
  </si>
  <si>
    <t>Air flow
(m3/h)</t>
  </si>
  <si>
    <t>Manu
(times)</t>
  </si>
  <si>
    <t>Manu
(min)</t>
  </si>
  <si>
    <t>Warp
(times)</t>
  </si>
  <si>
    <t>Warp
(min)</t>
  </si>
  <si>
    <t>Warp
(times/h)</t>
  </si>
  <si>
    <t>Warp
(times/day)</t>
  </si>
  <si>
    <t>Warp
(times/cmpx)</t>
  </si>
  <si>
    <t>Weft
(times)</t>
  </si>
  <si>
    <t>Weft
(min)</t>
  </si>
  <si>
    <t>Weft
(times/h)</t>
  </si>
  <si>
    <t>Weft
(times/day)</t>
  </si>
  <si>
    <t>Weft
(times/cmpx)</t>
  </si>
  <si>
    <t>UnSelect
(times)</t>
  </si>
  <si>
    <t>UnSelect
(min)</t>
  </si>
  <si>
    <t>UnSelect2
(times)</t>
  </si>
  <si>
    <t>UnSelect
(times/h)</t>
  </si>
  <si>
    <t>UnSelect
(times/day)</t>
  </si>
  <si>
    <t>UnSelect
(times/cmpx)</t>
  </si>
  <si>
    <t>Total
(times)</t>
  </si>
  <si>
    <t>Total
(min)</t>
  </si>
  <si>
    <t>Total2
(times)</t>
  </si>
  <si>
    <t>Total
(times/h)</t>
  </si>
  <si>
    <t>Total
(times/day)</t>
  </si>
  <si>
    <t>Total
(times/cmpx)</t>
  </si>
  <si>
    <t>WF1(1)
(times)</t>
  </si>
  <si>
    <t>WF1(1)
(min)</t>
  </si>
  <si>
    <t>WF1(1)
(times/h)</t>
  </si>
  <si>
    <t>WF1(1)
(times/day)</t>
  </si>
  <si>
    <t>WF1(1)
(times/cmpx)</t>
  </si>
  <si>
    <t>WF1(2)
(times)</t>
  </si>
  <si>
    <t>WF1(2)
(min)</t>
  </si>
  <si>
    <t>WF1(2)
(times/h)</t>
  </si>
  <si>
    <t>WF1(2)
(times/day)</t>
  </si>
  <si>
    <t>WF1(2)
(times/cmpx)</t>
  </si>
  <si>
    <t>WF2(1)
(times)</t>
  </si>
  <si>
    <t>WF2(1)
(min)</t>
  </si>
  <si>
    <t>WF2(1)
(times/h)</t>
  </si>
  <si>
    <t>WF2(1)
(times/day)</t>
  </si>
  <si>
    <t>WF2(1)
(times/cmpx)</t>
  </si>
  <si>
    <t>WF2(2)
(times)</t>
  </si>
  <si>
    <t>WF2(2)
(min)</t>
  </si>
  <si>
    <t>WF2(2)
(times/h)</t>
  </si>
  <si>
    <t>WF2(2)
(times/day)</t>
  </si>
  <si>
    <t>WF2(2)
(times/cmpx)</t>
  </si>
  <si>
    <t>2021/11/21.A</t>
  </si>
  <si>
    <t>Run
(Hrs)</t>
  </si>
  <si>
    <t>Warp Hrs</t>
  </si>
  <si>
    <t>Warp Min</t>
  </si>
  <si>
    <t>Weft Hrs</t>
  </si>
  <si>
    <t xml:space="preserve"> </t>
  </si>
  <si>
    <t>EFFI-A</t>
  </si>
  <si>
    <t>LOOMS</t>
  </si>
  <si>
    <t>Shed-1</t>
  </si>
  <si>
    <t>Shed-2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</si>
</sst>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#,##0_ "/>
    <numFmt numFmtId="165" formatCode="#,##0.0_ "/>
    <numFmt numFmtId="166" formatCode="#,##0.00_ "/>
  </numFmts>
  <fonts count="9">
    <font>
      <sz val="10"/>
      <name val="Arial"/>
    </font>
    <font>
      <sz val="10"/>
      <name val="Arial"/>
    </font>
    <font>
      <b/>
      <sz val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b/>
      <i/>
      <sz val="11"/>
      <name val="Arial"/>
      <family val="2"/>
    </font>
    <font>
      <sz val="11"/>
      <name val="Arial"/>
      <family val="2"/>
    </font>
    <font>
      <b/>
      <sz val="10"/>
      <color rgb="FFFF0000"/>
      <name val="Arial"/>
      <family val="2"/>
    </font>
    <font>
      <b/>
      <i/>
      <sz val="10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30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4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/>
    </xf>
    <xf numFmtId="49" fontId="2" fillId="0" borderId="0" xfId="0" applyNumberFormat="1" applyFont="1" applyAlignment="1">
      <alignment horizontal="center" wrapText="1"/>
    </xf>
    <xf numFmtId="0" fontId="2" fillId="0" borderId="0" xfId="0" applyFon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2" fillId="0" borderId="0" xfId="0" applyFont="1" applyAlignment="1">
      <alignment horizontal="center" wrapText="1"/>
    </xf>
    <xf numFmtId="0" fontId="0" fillId="0" borderId="1" xfId="0" applyBorder="1"/>
    <xf numFmtId="164" fontId="0" fillId="0" borderId="1" xfId="0" applyNumberFormat="1" applyBorder="1"/>
    <xf numFmtId="165" fontId="0" fillId="0" borderId="1" xfId="0" applyNumberFormat="1" applyBorder="1"/>
    <xf numFmtId="166" fontId="0" fillId="0" borderId="1" xfId="0" applyNumberFormat="1" applyBorder="1"/>
    <xf numFmtId="164" fontId="0" fillId="0" borderId="2" xfId="0" applyNumberFormat="1" applyBorder="1"/>
    <xf numFmtId="165" fontId="0" fillId="0" borderId="3" xfId="0" applyNumberFormat="1" applyBorder="1"/>
    <xf numFmtId="49" fontId="0" fillId="0" borderId="4" xfId="0" applyNumberFormat="1" applyBorder="1"/>
    <xf numFmtId="166" fontId="0" fillId="0" borderId="5" xfId="0" applyNumberFormat="1" applyBorder="1"/>
    <xf numFmtId="49" fontId="0" fillId="0" borderId="6" xfId="0" applyNumberFormat="1" applyBorder="1"/>
    <xf numFmtId="0" fontId="0" fillId="0" borderId="7" xfId="0" applyBorder="1"/>
    <xf numFmtId="164" fontId="0" fillId="0" borderId="7" xfId="0" applyNumberFormat="1" applyBorder="1"/>
    <xf numFmtId="165" fontId="0" fillId="0" borderId="7" xfId="0" applyNumberFormat="1" applyBorder="1"/>
    <xf numFmtId="164" fontId="0" fillId="0" borderId="8" xfId="0" applyNumberFormat="1" applyBorder="1"/>
    <xf numFmtId="165" fontId="0" fillId="0" borderId="9" xfId="0" applyNumberFormat="1" applyBorder="1"/>
    <xf numFmtId="166" fontId="0" fillId="0" borderId="7" xfId="0" applyNumberFormat="1" applyBorder="1"/>
    <xf numFmtId="166" fontId="0" fillId="0" borderId="10" xfId="0" applyNumberFormat="1" applyBorder="1"/>
    <xf numFmtId="0" fontId="2" fillId="0" borderId="11" xfId="0" applyFont="1" applyBorder="1" applyAlignment="1">
      <alignment horizontal="center" wrapText="1"/>
    </xf>
    <xf numFmtId="0" fontId="2" fillId="0" borderId="12" xfId="0" applyFont="1" applyBorder="1" applyAlignment="1">
      <alignment horizontal="center" wrapText="1"/>
    </xf>
    <xf numFmtId="0" fontId="2" fillId="0" borderId="13" xfId="0" applyFont="1" applyBorder="1" applyAlignment="1">
      <alignment horizontal="center" wrapText="1"/>
    </xf>
    <xf numFmtId="0" fontId="2" fillId="0" borderId="14" xfId="0" applyFont="1" applyBorder="1" applyAlignment="1">
      <alignment horizontal="center" wrapText="1"/>
    </xf>
    <xf numFmtId="0" fontId="2" fillId="0" borderId="15" xfId="0" applyFont="1" applyBorder="1" applyAlignment="1">
      <alignment horizontal="center" wrapText="1"/>
    </xf>
    <xf numFmtId="49" fontId="0" fillId="0" borderId="16" xfId="0" applyNumberFormat="1" applyBorder="1"/>
    <xf numFmtId="0" fontId="0" fillId="0" borderId="17" xfId="0" applyBorder="1"/>
    <xf numFmtId="164" fontId="0" fillId="0" borderId="17" xfId="0" applyNumberFormat="1" applyBorder="1"/>
    <xf numFmtId="165" fontId="0" fillId="0" borderId="17" xfId="0" applyNumberFormat="1" applyBorder="1"/>
    <xf numFmtId="164" fontId="0" fillId="0" borderId="18" xfId="0" applyNumberFormat="1" applyBorder="1"/>
    <xf numFmtId="165" fontId="0" fillId="0" borderId="19" xfId="0" applyNumberFormat="1" applyBorder="1"/>
    <xf numFmtId="166" fontId="0" fillId="0" borderId="17" xfId="0" applyNumberFormat="1" applyBorder="1"/>
    <xf numFmtId="166" fontId="0" fillId="0" borderId="20" xfId="0" applyNumberFormat="1" applyBorder="1"/>
    <xf numFmtId="0" fontId="2" fillId="0" borderId="11" xfId="0" applyFont="1" applyBorder="1" applyAlignment="1">
      <alignment horizontal="center"/>
    </xf>
    <xf numFmtId="0" fontId="0" fillId="0" borderId="12" xfId="0" applyBorder="1"/>
    <xf numFmtId="164" fontId="0" fillId="0" borderId="12" xfId="0" applyNumberFormat="1" applyBorder="1"/>
    <xf numFmtId="165" fontId="0" fillId="0" borderId="12" xfId="0" applyNumberFormat="1" applyBorder="1"/>
    <xf numFmtId="164" fontId="0" fillId="0" borderId="13" xfId="0" applyNumberFormat="1" applyBorder="1"/>
    <xf numFmtId="165" fontId="0" fillId="0" borderId="14" xfId="0" applyNumberFormat="1" applyBorder="1"/>
    <xf numFmtId="166" fontId="0" fillId="0" borderId="12" xfId="0" applyNumberFormat="1" applyBorder="1"/>
    <xf numFmtId="166" fontId="0" fillId="0" borderId="15" xfId="0" applyNumberFormat="1" applyBorder="1"/>
    <xf numFmtId="0" fontId="2" fillId="0" borderId="21" xfId="0" applyFont="1" applyBorder="1" applyAlignment="1">
      <alignment horizontal="center" wrapText="1"/>
    </xf>
    <xf numFmtId="166" fontId="0" fillId="0" borderId="22" xfId="0" applyNumberFormat="1" applyBorder="1"/>
    <xf numFmtId="166" fontId="0" fillId="0" borderId="23" xfId="0" applyNumberFormat="1" applyBorder="1"/>
    <xf numFmtId="166" fontId="0" fillId="0" borderId="24" xfId="0" applyNumberFormat="1" applyBorder="1"/>
    <xf numFmtId="166" fontId="0" fillId="0" borderId="21" xfId="0" applyNumberFormat="1" applyBorder="1"/>
    <xf numFmtId="165" fontId="0" fillId="0" borderId="22" xfId="0" applyNumberFormat="1" applyBorder="1"/>
    <xf numFmtId="165" fontId="0" fillId="0" borderId="23" xfId="0" applyNumberFormat="1" applyBorder="1"/>
    <xf numFmtId="165" fontId="0" fillId="0" borderId="24" xfId="0" applyNumberFormat="1" applyBorder="1"/>
    <xf numFmtId="165" fontId="0" fillId="0" borderId="21" xfId="0" applyNumberFormat="1" applyBorder="1"/>
    <xf numFmtId="0" fontId="2" fillId="0" borderId="25" xfId="0" applyFont="1" applyBorder="1" applyAlignment="1">
      <alignment horizontal="center" wrapText="1"/>
    </xf>
    <xf numFmtId="164" fontId="0" fillId="0" borderId="26" xfId="0" applyNumberFormat="1" applyBorder="1"/>
    <xf numFmtId="164" fontId="0" fillId="0" borderId="27" xfId="0" applyNumberFormat="1" applyBorder="1"/>
    <xf numFmtId="164" fontId="0" fillId="0" borderId="28" xfId="0" applyNumberFormat="1" applyBorder="1"/>
    <xf numFmtId="164" fontId="0" fillId="0" borderId="25" xfId="0" applyNumberFormat="1" applyBorder="1"/>
    <xf numFmtId="164" fontId="0" fillId="0" borderId="9" xfId="0" applyNumberFormat="1" applyBorder="1"/>
    <xf numFmtId="164" fontId="0" fillId="0" borderId="3" xfId="0" applyNumberFormat="1" applyBorder="1"/>
    <xf numFmtId="164" fontId="0" fillId="0" borderId="19" xfId="0" applyNumberFormat="1" applyBorder="1"/>
    <xf numFmtId="164" fontId="0" fillId="0" borderId="14" xfId="0" applyNumberFormat="1" applyBorder="1"/>
    <xf numFmtId="0" fontId="2" fillId="2" borderId="12" xfId="0" applyFont="1" applyFill="1" applyBorder="1" applyAlignment="1">
      <alignment horizontal="center" vertical="center" wrapText="1"/>
    </xf>
    <xf numFmtId="165" fontId="0" fillId="2" borderId="7" xfId="0" applyNumberFormat="1" applyFill="1" applyBorder="1" applyAlignment="1">
      <alignment horizontal="center" vertical="center"/>
    </xf>
    <xf numFmtId="165" fontId="3" fillId="0" borderId="14" xfId="0" applyNumberFormat="1" applyFont="1" applyBorder="1" applyAlignment="1">
      <alignment horizontal="center" vertical="center"/>
    </xf>
    <xf numFmtId="43" fontId="4" fillId="2" borderId="7" xfId="1" applyFont="1" applyFill="1" applyBorder="1" applyAlignment="1">
      <alignment horizontal="center" vertical="center"/>
    </xf>
    <xf numFmtId="43" fontId="7" fillId="3" borderId="12" xfId="1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 wrapText="1"/>
    </xf>
    <xf numFmtId="166" fontId="0" fillId="2" borderId="8" xfId="0" applyNumberFormat="1" applyFill="1" applyBorder="1" applyAlignment="1">
      <alignment horizontal="center" vertical="center"/>
    </xf>
    <xf numFmtId="165" fontId="8" fillId="3" borderId="14" xfId="0" applyNumberFormat="1" applyFont="1" applyFill="1" applyBorder="1" applyAlignment="1">
      <alignment horizontal="center" vertical="center"/>
    </xf>
    <xf numFmtId="43" fontId="8" fillId="3" borderId="12" xfId="1" applyFont="1" applyFill="1" applyBorder="1" applyAlignment="1">
      <alignment horizontal="center" vertical="center"/>
    </xf>
    <xf numFmtId="0" fontId="3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3" fillId="0" borderId="12" xfId="0" applyFont="1" applyBorder="1"/>
    <xf numFmtId="0" fontId="3" fillId="0" borderId="12" xfId="0" applyFont="1" applyBorder="1" applyAlignment="1">
      <alignment horizontal="center"/>
    </xf>
    <xf numFmtId="164" fontId="3" fillId="0" borderId="29" xfId="0" applyNumberFormat="1" applyFont="1" applyBorder="1" applyAlignment="1">
      <alignment horizontal="center" vertical="center"/>
    </xf>
    <xf numFmtId="165" fontId="3" fillId="0" borderId="29" xfId="0" applyNumberFormat="1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165" fontId="8" fillId="4" borderId="14" xfId="0" applyNumberFormat="1" applyFont="1" applyFill="1" applyBorder="1" applyAlignment="1">
      <alignment horizontal="center" vertical="center"/>
    </xf>
    <xf numFmtId="166" fontId="3" fillId="0" borderId="12" xfId="0" applyNumberFormat="1" applyFont="1" applyBorder="1" applyAlignment="1">
      <alignment horizontal="center" vertical="center"/>
    </xf>
    <xf numFmtId="164" fontId="8" fillId="0" borderId="13" xfId="0" applyNumberFormat="1" applyFont="1" applyBorder="1" applyAlignment="1">
      <alignment horizontal="center" vertical="center"/>
    </xf>
    <xf numFmtId="166" fontId="8" fillId="4" borderId="13" xfId="0" applyNumberFormat="1" applyFont="1" applyFill="1" applyBorder="1" applyAlignment="1">
      <alignment horizontal="center" vertical="center"/>
    </xf>
    <xf numFmtId="165" fontId="8" fillId="5" borderId="14" xfId="0" applyNumberFormat="1" applyFont="1" applyFill="1" applyBorder="1" applyAlignment="1">
      <alignment horizontal="center" vertical="center"/>
    </xf>
    <xf numFmtId="164" fontId="3" fillId="0" borderId="12" xfId="0" applyNumberFormat="1" applyFont="1" applyBorder="1" applyAlignment="1">
      <alignment horizontal="center" vertical="center"/>
    </xf>
    <xf numFmtId="164" fontId="8" fillId="5" borderId="13" xfId="0" applyNumberFormat="1" applyFont="1" applyFill="1" applyBorder="1" applyAlignment="1">
      <alignment horizontal="center" vertical="center"/>
    </xf>
    <xf numFmtId="165" fontId="8" fillId="4" borderId="21" xfId="0" applyNumberFormat="1" applyFont="1" applyFill="1" applyBorder="1" applyAlignment="1">
      <alignment horizontal="center" vertical="center"/>
    </xf>
    <xf numFmtId="164" fontId="3" fillId="0" borderId="14" xfId="0" applyNumberFormat="1" applyFont="1" applyBorder="1" applyAlignment="1">
      <alignment horizontal="center" vertical="center"/>
    </xf>
    <xf numFmtId="166" fontId="3" fillId="0" borderId="15" xfId="0" applyNumberFormat="1" applyFont="1" applyBorder="1" applyAlignment="1">
      <alignment horizontal="center" vertical="center"/>
    </xf>
    <xf numFmtId="166" fontId="3" fillId="0" borderId="21" xfId="0" applyNumberFormat="1" applyFont="1" applyBorder="1" applyAlignment="1">
      <alignment horizontal="center" vertical="center"/>
    </xf>
    <xf numFmtId="166" fontId="8" fillId="5" borderId="25" xfId="0" applyNumberFormat="1" applyFont="1" applyFill="1" applyBorder="1" applyAlignment="1">
      <alignment horizontal="center" vertical="center"/>
    </xf>
    <xf numFmtId="166" fontId="8" fillId="4" borderId="29" xfId="0" applyNumberFormat="1" applyFont="1" applyFill="1" applyBorder="1" applyAlignment="1">
      <alignment horizontal="center" vertical="center"/>
    </xf>
    <xf numFmtId="166" fontId="8" fillId="5" borderId="29" xfId="0" applyNumberFormat="1" applyFont="1" applyFill="1" applyBorder="1" applyAlignment="1">
      <alignment horizontal="center" vertical="center"/>
    </xf>
    <xf numFmtId="165" fontId="3" fillId="0" borderId="21" xfId="0" applyNumberFormat="1" applyFont="1" applyBorder="1" applyAlignment="1">
      <alignment vertical="center"/>
    </xf>
    <xf numFmtId="166" fontId="3" fillId="0" borderId="21" xfId="0" applyNumberFormat="1" applyFont="1" applyBorder="1" applyAlignment="1">
      <alignment vertical="center"/>
    </xf>
    <xf numFmtId="0" fontId="6" fillId="0" borderId="0" xfId="0" applyFont="1" applyAlignment="1">
      <alignment horizontal="center"/>
    </xf>
    <xf numFmtId="0" fontId="6" fillId="0" borderId="29" xfId="0" applyFont="1" applyBorder="1" applyAlignment="1">
      <alignment horizontal="center"/>
    </xf>
    <xf numFmtId="165" fontId="2" fillId="0" borderId="29" xfId="0" applyNumberFormat="1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2" fontId="3" fillId="6" borderId="0" xfId="0" applyNumberFormat="1" applyFont="1" applyFill="1" applyAlignment="1">
      <alignment horizontal="center" vertical="center"/>
    </xf>
    <xf numFmtId="0" fontId="3" fillId="0" borderId="0" xfId="0" applyFont="1"/>
    <xf numFmtId="0" fontId="0" fillId="0" borderId="0" xfId="0" applyAlignment="1">
      <alignment horizontal="center"/>
    </xf>
    <xf numFmtId="0" fontId="6" fillId="0" borderId="29" xfId="0" applyFont="1" applyBorder="1"/>
  </cellXfs>
  <cellStyles count="2">
    <cellStyle name="Comma" xfId="1" builtinId="3"/>
    <cellStyle name="Normal" xfId="0" builtinId="0"/>
  </cellStyles>
  <dxfs count="43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microsoft.com/office/2006/relationships/vbaProject" Target="vbaProject.bin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absolute">
        <xdr:from>
          <xdr:col>2</xdr:col>
          <xdr:colOff>123825</xdr:colOff>
          <xdr:row>0</xdr:row>
          <xdr:rowOff>57150</xdr:rowOff>
        </xdr:from>
        <xdr:to>
          <xdr:col>3</xdr:col>
          <xdr:colOff>1047750</xdr:colOff>
          <xdr:row>2</xdr:row>
          <xdr:rowOff>19050</xdr:rowOff>
        </xdr:to>
        <xdr:sp macro="" textlink="">
          <xdr:nvSpPr>
            <xdr:cNvPr id="1026" name="CommandButton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B26775B9-E083-43ED-8155-54DFB008FC8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72"/>
  <sheetViews>
    <sheetView workbookViewId="0"/>
  </sheetViews>
  <sheetFormatPr defaultRowHeight="12.75"/>
  <cols>
    <col min="1" max="1" width="26.140625" style="1" bestFit="1" customWidth="1"/>
    <col min="2" max="2" width="33.5703125" style="1" bestFit="1" customWidth="1"/>
  </cols>
  <sheetData>
    <row r="1" spans="1:2">
      <c r="A1" s="1" t="s">
        <v>0</v>
      </c>
    </row>
    <row r="3" spans="1:2">
      <c r="A3" s="2" t="s">
        <v>1</v>
      </c>
      <c r="B3" s="2" t="s">
        <v>2</v>
      </c>
    </row>
    <row r="4" spans="1:2" ht="25.5">
      <c r="A4" s="2" t="s">
        <v>3</v>
      </c>
      <c r="B4" s="3" t="s">
        <v>4</v>
      </c>
    </row>
    <row r="5" spans="1:2" ht="25.5">
      <c r="A5" s="2" t="s">
        <v>5</v>
      </c>
      <c r="B5" s="3" t="s">
        <v>6</v>
      </c>
    </row>
    <row r="6" spans="1:2" ht="25.5">
      <c r="A6" s="2" t="s">
        <v>7</v>
      </c>
      <c r="B6" s="3" t="s">
        <v>8</v>
      </c>
    </row>
    <row r="7" spans="1:2" ht="25.5">
      <c r="A7" s="2" t="s">
        <v>9</v>
      </c>
      <c r="B7" s="3" t="s">
        <v>10</v>
      </c>
    </row>
    <row r="8" spans="1:2" ht="25.5">
      <c r="A8" s="2" t="s">
        <v>11</v>
      </c>
      <c r="B8" s="3" t="s">
        <v>12</v>
      </c>
    </row>
    <row r="9" spans="1:2" ht="25.5">
      <c r="A9" s="2" t="s">
        <v>13</v>
      </c>
      <c r="B9" s="3" t="s">
        <v>14</v>
      </c>
    </row>
    <row r="10" spans="1:2" ht="25.5">
      <c r="A10" s="2" t="s">
        <v>15</v>
      </c>
      <c r="B10" s="3" t="s">
        <v>16</v>
      </c>
    </row>
    <row r="11" spans="1:2" ht="25.5">
      <c r="A11" s="2" t="s">
        <v>17</v>
      </c>
      <c r="B11" s="3" t="s">
        <v>18</v>
      </c>
    </row>
    <row r="12" spans="1:2" ht="25.5">
      <c r="A12" s="2" t="s">
        <v>19</v>
      </c>
      <c r="B12" s="3" t="s">
        <v>20</v>
      </c>
    </row>
    <row r="13" spans="1:2" ht="25.5">
      <c r="A13" s="2" t="s">
        <v>21</v>
      </c>
      <c r="B13" s="3" t="s">
        <v>22</v>
      </c>
    </row>
    <row r="14" spans="1:2" ht="25.5">
      <c r="A14" s="2" t="s">
        <v>23</v>
      </c>
      <c r="B14" s="3" t="s">
        <v>24</v>
      </c>
    </row>
    <row r="15" spans="1:2" ht="25.5">
      <c r="A15" s="2" t="s">
        <v>25</v>
      </c>
      <c r="B15" s="3" t="s">
        <v>26</v>
      </c>
    </row>
    <row r="16" spans="1:2" ht="25.5">
      <c r="A16" s="2" t="s">
        <v>27</v>
      </c>
      <c r="B16" s="3" t="s">
        <v>28</v>
      </c>
    </row>
    <row r="17" spans="1:2" ht="25.5">
      <c r="A17" s="2" t="s">
        <v>29</v>
      </c>
      <c r="B17" s="3" t="s">
        <v>30</v>
      </c>
    </row>
    <row r="18" spans="1:2" ht="25.5">
      <c r="A18" s="2" t="s">
        <v>31</v>
      </c>
      <c r="B18" s="3" t="s">
        <v>32</v>
      </c>
    </row>
    <row r="19" spans="1:2" ht="25.5">
      <c r="A19" s="2" t="s">
        <v>33</v>
      </c>
      <c r="B19" s="3" t="s">
        <v>34</v>
      </c>
    </row>
    <row r="20" spans="1:2" ht="25.5">
      <c r="A20" s="2" t="s">
        <v>35</v>
      </c>
      <c r="B20" s="3" t="s">
        <v>36</v>
      </c>
    </row>
    <row r="21" spans="1:2" ht="25.5">
      <c r="A21" s="2" t="s">
        <v>37</v>
      </c>
      <c r="B21" s="3" t="s">
        <v>38</v>
      </c>
    </row>
    <row r="22" spans="1:2" ht="25.5">
      <c r="A22" s="2" t="s">
        <v>39</v>
      </c>
      <c r="B22" s="3" t="s">
        <v>40</v>
      </c>
    </row>
    <row r="23" spans="1:2" ht="25.5">
      <c r="A23" s="2" t="s">
        <v>41</v>
      </c>
      <c r="B23" s="3" t="s">
        <v>42</v>
      </c>
    </row>
    <row r="24" spans="1:2" ht="25.5">
      <c r="A24" s="2" t="s">
        <v>43</v>
      </c>
      <c r="B24" s="3" t="s">
        <v>44</v>
      </c>
    </row>
    <row r="25" spans="1:2" ht="25.5">
      <c r="A25" s="2" t="s">
        <v>45</v>
      </c>
      <c r="B25" s="3" t="s">
        <v>46</v>
      </c>
    </row>
    <row r="26" spans="1:2" ht="25.5">
      <c r="A26" s="2" t="s">
        <v>47</v>
      </c>
      <c r="B26" s="3" t="s">
        <v>48</v>
      </c>
    </row>
    <row r="27" spans="1:2" ht="25.5">
      <c r="A27" s="2" t="s">
        <v>49</v>
      </c>
      <c r="B27" s="3" t="s">
        <v>50</v>
      </c>
    </row>
    <row r="28" spans="1:2" ht="25.5">
      <c r="A28" s="2" t="s">
        <v>51</v>
      </c>
      <c r="B28" s="3" t="s">
        <v>52</v>
      </c>
    </row>
    <row r="29" spans="1:2" ht="25.5">
      <c r="A29" s="2" t="s">
        <v>53</v>
      </c>
      <c r="B29" s="3" t="s">
        <v>54</v>
      </c>
    </row>
    <row r="30" spans="1:2" ht="25.5">
      <c r="A30" s="2" t="s">
        <v>55</v>
      </c>
      <c r="B30" s="3" t="s">
        <v>56</v>
      </c>
    </row>
    <row r="31" spans="1:2" ht="25.5">
      <c r="A31" s="2" t="s">
        <v>57</v>
      </c>
      <c r="B31" s="3" t="s">
        <v>58</v>
      </c>
    </row>
    <row r="32" spans="1:2" ht="25.5">
      <c r="A32" s="2" t="s">
        <v>59</v>
      </c>
      <c r="B32" s="3" t="s">
        <v>60</v>
      </c>
    </row>
    <row r="33" spans="1:2" ht="25.5">
      <c r="A33" s="2" t="s">
        <v>61</v>
      </c>
      <c r="B33" s="3" t="s">
        <v>62</v>
      </c>
    </row>
    <row r="34" spans="1:2" ht="25.5">
      <c r="A34" s="2" t="s">
        <v>63</v>
      </c>
      <c r="B34" s="3" t="s">
        <v>64</v>
      </c>
    </row>
    <row r="35" spans="1:2" ht="25.5">
      <c r="A35" s="2" t="s">
        <v>65</v>
      </c>
      <c r="B35" s="3" t="s">
        <v>66</v>
      </c>
    </row>
    <row r="36" spans="1:2" ht="25.5">
      <c r="A36" s="2" t="s">
        <v>67</v>
      </c>
      <c r="B36" s="3" t="s">
        <v>68</v>
      </c>
    </row>
    <row r="37" spans="1:2" ht="25.5">
      <c r="A37" s="2" t="s">
        <v>69</v>
      </c>
      <c r="B37" s="3" t="s">
        <v>70</v>
      </c>
    </row>
    <row r="38" spans="1:2">
      <c r="A38" s="2" t="s">
        <v>71</v>
      </c>
      <c r="B38" s="3" t="s">
        <v>71</v>
      </c>
    </row>
    <row r="39" spans="1:2">
      <c r="A39" s="2" t="s">
        <v>72</v>
      </c>
      <c r="B39" s="3" t="s">
        <v>72</v>
      </c>
    </row>
    <row r="40" spans="1:2">
      <c r="A40" s="2" t="s">
        <v>73</v>
      </c>
      <c r="B40" s="3" t="s">
        <v>73</v>
      </c>
    </row>
    <row r="41" spans="1:2" ht="25.5">
      <c r="A41" s="2" t="s">
        <v>74</v>
      </c>
      <c r="B41" s="3" t="s">
        <v>75</v>
      </c>
    </row>
    <row r="42" spans="1:2" ht="25.5">
      <c r="A42" s="2" t="s">
        <v>76</v>
      </c>
      <c r="B42" s="3" t="s">
        <v>77</v>
      </c>
    </row>
    <row r="43" spans="1:2" ht="25.5">
      <c r="A43" s="2" t="s">
        <v>78</v>
      </c>
      <c r="B43" s="3" t="s">
        <v>79</v>
      </c>
    </row>
    <row r="44" spans="1:2" ht="25.5">
      <c r="A44" s="2" t="s">
        <v>80</v>
      </c>
      <c r="B44" s="3" t="s">
        <v>81</v>
      </c>
    </row>
    <row r="45" spans="1:2" ht="25.5">
      <c r="A45" s="2" t="s">
        <v>82</v>
      </c>
      <c r="B45" s="3" t="s">
        <v>83</v>
      </c>
    </row>
    <row r="46" spans="1:2" ht="25.5">
      <c r="A46" s="2" t="s">
        <v>84</v>
      </c>
      <c r="B46" s="3" t="s">
        <v>85</v>
      </c>
    </row>
    <row r="47" spans="1:2" ht="25.5">
      <c r="A47" s="2" t="s">
        <v>86</v>
      </c>
      <c r="B47" s="3" t="s">
        <v>87</v>
      </c>
    </row>
    <row r="48" spans="1:2" ht="25.5">
      <c r="A48" s="2" t="s">
        <v>88</v>
      </c>
      <c r="B48" s="3" t="s">
        <v>89</v>
      </c>
    </row>
    <row r="49" spans="1:2">
      <c r="A49" s="2" t="s">
        <v>90</v>
      </c>
      <c r="B49" s="3" t="s">
        <v>91</v>
      </c>
    </row>
    <row r="50" spans="1:2">
      <c r="A50" s="2" t="s">
        <v>92</v>
      </c>
      <c r="B50" s="3" t="s">
        <v>93</v>
      </c>
    </row>
    <row r="51" spans="1:2">
      <c r="A51" s="2" t="s">
        <v>94</v>
      </c>
      <c r="B51" s="3" t="s">
        <v>95</v>
      </c>
    </row>
    <row r="52" spans="1:2">
      <c r="A52" s="2" t="s">
        <v>96</v>
      </c>
      <c r="B52" s="3" t="s">
        <v>97</v>
      </c>
    </row>
    <row r="53" spans="1:2">
      <c r="A53" s="2" t="s">
        <v>98</v>
      </c>
      <c r="B53" s="3" t="s">
        <v>99</v>
      </c>
    </row>
    <row r="54" spans="1:2">
      <c r="A54" s="2" t="s">
        <v>100</v>
      </c>
      <c r="B54" s="3" t="s">
        <v>101</v>
      </c>
    </row>
    <row r="55" spans="1:2">
      <c r="A55" s="2" t="s">
        <v>102</v>
      </c>
      <c r="B55" s="3" t="s">
        <v>103</v>
      </c>
    </row>
    <row r="56" spans="1:2">
      <c r="A56" s="2" t="s">
        <v>104</v>
      </c>
      <c r="B56" s="3" t="s">
        <v>105</v>
      </c>
    </row>
    <row r="57" spans="1:2">
      <c r="A57" s="2" t="s">
        <v>106</v>
      </c>
      <c r="B57" s="3" t="s">
        <v>107</v>
      </c>
    </row>
    <row r="58" spans="1:2">
      <c r="A58" s="2" t="s">
        <v>108</v>
      </c>
      <c r="B58" s="3" t="s">
        <v>109</v>
      </c>
    </row>
    <row r="59" spans="1:2">
      <c r="A59" s="2" t="s">
        <v>110</v>
      </c>
      <c r="B59" s="3" t="s">
        <v>111</v>
      </c>
    </row>
    <row r="60" spans="1:2">
      <c r="A60" s="2" t="s">
        <v>112</v>
      </c>
      <c r="B60" s="3" t="s">
        <v>113</v>
      </c>
    </row>
    <row r="61" spans="1:2">
      <c r="A61" s="2" t="s">
        <v>114</v>
      </c>
      <c r="B61" s="3" t="s">
        <v>115</v>
      </c>
    </row>
    <row r="62" spans="1:2">
      <c r="A62" s="2" t="s">
        <v>116</v>
      </c>
      <c r="B62" s="3" t="s">
        <v>117</v>
      </c>
    </row>
    <row r="63" spans="1:2">
      <c r="A63" s="2" t="s">
        <v>118</v>
      </c>
      <c r="B63" s="3" t="s">
        <v>119</v>
      </c>
    </row>
    <row r="64" spans="1:2">
      <c r="A64" s="2" t="s">
        <v>120</v>
      </c>
      <c r="B64" s="3" t="s">
        <v>121</v>
      </c>
    </row>
    <row r="65" spans="1:2">
      <c r="A65" s="2" t="s">
        <v>122</v>
      </c>
      <c r="B65" s="3" t="s">
        <v>123</v>
      </c>
    </row>
    <row r="66" spans="1:2">
      <c r="A66" s="2" t="s">
        <v>124</v>
      </c>
      <c r="B66" s="3" t="s">
        <v>125</v>
      </c>
    </row>
    <row r="67" spans="1:2">
      <c r="A67" s="2" t="s">
        <v>126</v>
      </c>
      <c r="B67" s="3" t="s">
        <v>127</v>
      </c>
    </row>
    <row r="68" spans="1:2">
      <c r="A68" s="2" t="s">
        <v>128</v>
      </c>
      <c r="B68" s="3" t="s">
        <v>129</v>
      </c>
    </row>
    <row r="69" spans="1:2">
      <c r="A69" s="2" t="s">
        <v>130</v>
      </c>
      <c r="B69" s="3" t="s">
        <v>131</v>
      </c>
    </row>
    <row r="70" spans="1:2">
      <c r="A70" s="2" t="s">
        <v>132</v>
      </c>
      <c r="B70" s="3" t="s">
        <v>133</v>
      </c>
    </row>
    <row r="71" spans="1:2">
      <c r="A71" s="2" t="s">
        <v>134</v>
      </c>
      <c r="B71" s="3" t="s">
        <v>135</v>
      </c>
    </row>
    <row r="72" spans="1:2">
      <c r="A72" s="2" t="s">
        <v>136</v>
      </c>
      <c r="B72" s="3" t="s">
        <v>137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F73"/>
  <sheetViews>
    <sheetView workbookViewId="0"/>
  </sheetViews>
  <sheetFormatPr defaultRowHeight="12.75"/>
  <cols>
    <col min="1" max="1" width="43.28515625" bestFit="1" customWidth="1"/>
    <col min="2" max="2" width="12" bestFit="1" customWidth="1"/>
    <col min="3" max="3" width="6.140625" customWidth="1"/>
    <col min="4" max="4" width="21.140625" customWidth="1"/>
    <col min="5" max="5" width="6.85546875" customWidth="1"/>
    <col min="6" max="6" width="5.140625" customWidth="1"/>
    <col min="7" max="7" width="5.42578125" customWidth="1"/>
    <col min="8" max="9" width="6.140625" customWidth="1"/>
    <col min="10" max="10" width="9.85546875" customWidth="1"/>
    <col min="11" max="11" width="8" customWidth="1"/>
    <col min="12" max="12" width="11.28515625" customWidth="1"/>
    <col min="13" max="13" width="8.7109375" customWidth="1"/>
    <col min="14" max="14" width="8" customWidth="1"/>
    <col min="15" max="15" width="7" customWidth="1"/>
    <col min="16" max="16" width="6" customWidth="1"/>
    <col min="17" max="17" width="7" customWidth="1"/>
    <col min="18" max="18" width="6.140625" customWidth="1"/>
    <col min="19" max="19" width="8.7109375" customWidth="1"/>
    <col min="20" max="20" width="10.85546875" customWidth="1"/>
    <col min="21" max="21" width="12.5703125" customWidth="1"/>
    <col min="22" max="22" width="7" customWidth="1"/>
    <col min="23" max="23" width="5.5703125" customWidth="1"/>
    <col min="24" max="24" width="8.7109375" customWidth="1"/>
    <col min="25" max="25" width="10.85546875" customWidth="1"/>
    <col min="26" max="26" width="12.5703125" customWidth="1"/>
    <col min="27" max="28" width="9.140625" customWidth="1"/>
    <col min="29" max="29" width="10.140625" customWidth="1"/>
    <col min="30" max="30" width="9.140625" customWidth="1"/>
    <col min="31" max="31" width="10.85546875" customWidth="1"/>
    <col min="32" max="32" width="12.5703125" customWidth="1"/>
    <col min="33" max="33" width="7" customWidth="1"/>
    <col min="34" max="34" width="6.140625" customWidth="1"/>
    <col min="35" max="35" width="7" customWidth="1"/>
    <col min="36" max="36" width="8.7109375" customWidth="1"/>
    <col min="37" max="37" width="10.85546875" customWidth="1"/>
    <col min="38" max="38" width="12.5703125" customWidth="1"/>
    <col min="39" max="40" width="7.140625" customWidth="1"/>
    <col min="41" max="41" width="8.7109375" customWidth="1"/>
    <col min="42" max="42" width="10.85546875" customWidth="1"/>
    <col min="43" max="43" width="12.5703125" customWidth="1"/>
    <col min="44" max="45" width="7.140625" customWidth="1"/>
    <col min="46" max="46" width="8.7109375" customWidth="1"/>
    <col min="47" max="47" width="10.85546875" customWidth="1"/>
    <col min="48" max="48" width="12.5703125" customWidth="1"/>
    <col min="49" max="50" width="7.140625" customWidth="1"/>
    <col min="51" max="51" width="8.7109375" customWidth="1"/>
    <col min="52" max="52" width="10.85546875" customWidth="1"/>
    <col min="53" max="53" width="12.5703125" customWidth="1"/>
    <col min="54" max="55" width="7.140625" customWidth="1"/>
    <col min="56" max="56" width="8.7109375" customWidth="1"/>
    <col min="57" max="57" width="10.85546875" customWidth="1"/>
    <col min="58" max="58" width="12.5703125" customWidth="1"/>
  </cols>
  <sheetData>
    <row r="1" spans="1:58">
      <c r="A1" s="4" t="s">
        <v>138</v>
      </c>
    </row>
    <row r="2" spans="1:58">
      <c r="A2" s="4" t="s">
        <v>139</v>
      </c>
    </row>
    <row r="4" spans="1:58">
      <c r="A4" t="s">
        <v>140</v>
      </c>
      <c r="B4" t="s">
        <v>141</v>
      </c>
      <c r="C4" t="s">
        <v>142</v>
      </c>
      <c r="D4" t="s">
        <v>143</v>
      </c>
      <c r="E4" t="s">
        <v>144</v>
      </c>
      <c r="F4" t="s">
        <v>145</v>
      </c>
      <c r="G4" t="s">
        <v>146</v>
      </c>
      <c r="H4" t="s">
        <v>147</v>
      </c>
      <c r="I4" t="s">
        <v>148</v>
      </c>
      <c r="J4" t="s">
        <v>149</v>
      </c>
      <c r="K4" t="s">
        <v>150</v>
      </c>
      <c r="L4" t="s">
        <v>151</v>
      </c>
      <c r="M4" t="s">
        <v>152</v>
      </c>
      <c r="N4" t="s">
        <v>153</v>
      </c>
      <c r="O4" t="s">
        <v>154</v>
      </c>
      <c r="P4" t="s">
        <v>155</v>
      </c>
      <c r="Q4" t="s">
        <v>156</v>
      </c>
      <c r="R4" t="s">
        <v>157</v>
      </c>
      <c r="S4" t="s">
        <v>158</v>
      </c>
      <c r="T4" t="s">
        <v>159</v>
      </c>
      <c r="U4" t="s">
        <v>160</v>
      </c>
      <c r="V4" t="s">
        <v>161</v>
      </c>
      <c r="W4" t="s">
        <v>162</v>
      </c>
    </row>
    <row r="5" spans="1:58">
      <c r="A5" t="s">
        <v>163</v>
      </c>
      <c r="B5">
        <v>0</v>
      </c>
      <c r="C5">
        <v>0</v>
      </c>
      <c r="D5">
        <v>1</v>
      </c>
      <c r="E5">
        <v>0</v>
      </c>
      <c r="F5">
        <v>4</v>
      </c>
      <c r="G5">
        <v>0</v>
      </c>
      <c r="H5">
        <v>1</v>
      </c>
      <c r="I5">
        <v>1</v>
      </c>
      <c r="J5">
        <v>1</v>
      </c>
      <c r="K5">
        <v>0</v>
      </c>
      <c r="L5">
        <v>1</v>
      </c>
      <c r="M5">
        <v>1</v>
      </c>
      <c r="N5">
        <v>1</v>
      </c>
      <c r="O5">
        <v>1</v>
      </c>
      <c r="P5">
        <v>2</v>
      </c>
      <c r="Q5">
        <v>1</v>
      </c>
      <c r="R5">
        <v>1</v>
      </c>
      <c r="S5">
        <v>37</v>
      </c>
      <c r="T5">
        <v>4</v>
      </c>
      <c r="U5">
        <v>16</v>
      </c>
      <c r="V5">
        <v>26</v>
      </c>
      <c r="W5">
        <v>28</v>
      </c>
    </row>
    <row r="7" spans="1:58" ht="25.5">
      <c r="A7" s="8" t="s">
        <v>164</v>
      </c>
      <c r="B7" s="8" t="s">
        <v>4</v>
      </c>
      <c r="C7" s="8" t="s">
        <v>14</v>
      </c>
      <c r="D7" s="8" t="s">
        <v>18</v>
      </c>
      <c r="E7" s="8" t="s">
        <v>22</v>
      </c>
      <c r="F7" s="8" t="s">
        <v>24</v>
      </c>
      <c r="G7" s="8" t="s">
        <v>165</v>
      </c>
      <c r="H7" s="8" t="s">
        <v>166</v>
      </c>
      <c r="I7" s="8" t="s">
        <v>167</v>
      </c>
      <c r="J7" s="8" t="s">
        <v>168</v>
      </c>
      <c r="K7" s="8" t="s">
        <v>169</v>
      </c>
      <c r="L7" s="8" t="s">
        <v>170</v>
      </c>
      <c r="M7" s="8" t="s">
        <v>171</v>
      </c>
      <c r="N7" s="8" t="s">
        <v>172</v>
      </c>
      <c r="O7" s="8" t="s">
        <v>173</v>
      </c>
      <c r="P7" s="8" t="s">
        <v>174</v>
      </c>
      <c r="Q7" s="8" t="s">
        <v>175</v>
      </c>
      <c r="R7" s="8" t="s">
        <v>176</v>
      </c>
      <c r="S7" s="8" t="s">
        <v>177</v>
      </c>
      <c r="T7" s="8" t="s">
        <v>178</v>
      </c>
      <c r="U7" s="8" t="s">
        <v>179</v>
      </c>
      <c r="V7" s="8" t="s">
        <v>180</v>
      </c>
      <c r="W7" s="8" t="s">
        <v>181</v>
      </c>
      <c r="X7" s="8" t="s">
        <v>182</v>
      </c>
      <c r="Y7" s="8" t="s">
        <v>183</v>
      </c>
      <c r="Z7" s="8" t="s">
        <v>184</v>
      </c>
      <c r="AA7" s="8" t="s">
        <v>185</v>
      </c>
      <c r="AB7" s="8" t="s">
        <v>186</v>
      </c>
      <c r="AC7" s="8" t="s">
        <v>187</v>
      </c>
      <c r="AD7" s="8" t="s">
        <v>188</v>
      </c>
      <c r="AE7" s="8" t="s">
        <v>189</v>
      </c>
      <c r="AF7" s="8" t="s">
        <v>190</v>
      </c>
      <c r="AG7" s="8" t="s">
        <v>191</v>
      </c>
      <c r="AH7" s="8" t="s">
        <v>192</v>
      </c>
      <c r="AI7" s="8" t="s">
        <v>193</v>
      </c>
      <c r="AJ7" s="8" t="s">
        <v>194</v>
      </c>
      <c r="AK7" s="8" t="s">
        <v>195</v>
      </c>
      <c r="AL7" s="8" t="s">
        <v>196</v>
      </c>
      <c r="AM7" s="8" t="s">
        <v>197</v>
      </c>
      <c r="AN7" s="8" t="s">
        <v>198</v>
      </c>
      <c r="AO7" s="8" t="s">
        <v>199</v>
      </c>
      <c r="AP7" s="8" t="s">
        <v>200</v>
      </c>
      <c r="AQ7" s="8" t="s">
        <v>201</v>
      </c>
      <c r="AR7" s="8" t="s">
        <v>202</v>
      </c>
      <c r="AS7" s="8" t="s">
        <v>203</v>
      </c>
      <c r="AT7" s="8" t="s">
        <v>204</v>
      </c>
      <c r="AU7" s="8" t="s">
        <v>205</v>
      </c>
      <c r="AV7" s="8" t="s">
        <v>206</v>
      </c>
      <c r="AW7" s="8" t="s">
        <v>207</v>
      </c>
      <c r="AX7" s="8" t="s">
        <v>208</v>
      </c>
      <c r="AY7" s="8" t="s">
        <v>209</v>
      </c>
      <c r="AZ7" s="8" t="s">
        <v>210</v>
      </c>
      <c r="BA7" s="8" t="s">
        <v>211</v>
      </c>
      <c r="BB7" s="8" t="s">
        <v>212</v>
      </c>
      <c r="BC7" s="8" t="s">
        <v>213</v>
      </c>
      <c r="BD7" s="8" t="s">
        <v>214</v>
      </c>
      <c r="BE7" s="8" t="s">
        <v>215</v>
      </c>
      <c r="BF7" s="8" t="s">
        <v>216</v>
      </c>
    </row>
    <row r="8" spans="1:58">
      <c r="A8" t="str">
        <f t="shared" ref="A8:A39" si="0">B8&amp;" "&amp;C8&amp;" "&amp;D8&amp;" "&amp;E8</f>
        <v>2021/11/21.A 001 8080 10288 46x2 1-1 1066 Z</v>
      </c>
      <c r="B8" s="1" t="s">
        <v>217</v>
      </c>
      <c r="C8" t="str">
        <f>"001"</f>
        <v>001</v>
      </c>
      <c r="D8" t="str">
        <f>"8080 10288 46x2 1-1"</f>
        <v>8080 10288 46x2 1-1</v>
      </c>
      <c r="E8" t="str">
        <f>"1066 Z"</f>
        <v>1066 Z</v>
      </c>
      <c r="F8" s="5">
        <f>IF($H8=0,0,(1000*$J8)/$H8)</f>
        <v>800.08649583738782</v>
      </c>
      <c r="G8" s="6">
        <f>IF($H8=0,0,(100*$H8)/($H8+$I8))</f>
        <v>86.067083333333343</v>
      </c>
      <c r="H8" s="6">
        <v>619.68299999999999</v>
      </c>
      <c r="I8" s="6">
        <v>100.31699999999999</v>
      </c>
      <c r="J8" s="6">
        <v>495.8</v>
      </c>
      <c r="K8" s="6">
        <v>143.1</v>
      </c>
      <c r="L8" s="6">
        <v>2278823.4900000002</v>
      </c>
      <c r="M8" s="6">
        <v>37181</v>
      </c>
      <c r="N8" s="6">
        <f>IF(M8="","",IF(M8=0,0,L8/M8))</f>
        <v>61.290000000000006</v>
      </c>
      <c r="O8" s="5">
        <v>5</v>
      </c>
      <c r="P8" s="6">
        <v>1.383</v>
      </c>
      <c r="Q8" s="5">
        <v>21</v>
      </c>
      <c r="R8" s="6">
        <v>36.866999999999997</v>
      </c>
      <c r="S8" s="7">
        <f>IF($H8=0,0,(60*Q8)/$H8)</f>
        <v>2.0332976699376939</v>
      </c>
      <c r="T8" s="7">
        <f>IF($H8=0,0,(60*24*Q8)/$H8)</f>
        <v>48.799144078504654</v>
      </c>
      <c r="U8" s="7">
        <f>IF($J8=0,0,(100*Q8)/$J8)</f>
        <v>4.2355788624445339</v>
      </c>
      <c r="V8" s="5">
        <v>53</v>
      </c>
      <c r="W8" s="6">
        <v>59.267000000000003</v>
      </c>
      <c r="X8" s="7">
        <f>IF($H8=0,0,(60*V8)/$H8)</f>
        <v>5.1316560241284659</v>
      </c>
      <c r="Y8" s="7">
        <f>IF($H8=0,0,(60*24*V8)/$H8)</f>
        <v>123.15974457908318</v>
      </c>
      <c r="Z8" s="7">
        <f>IF($J8=0,0,(100*V8)/$J8)</f>
        <v>10.689794271883823</v>
      </c>
      <c r="AA8" s="5">
        <v>3</v>
      </c>
      <c r="AB8" s="6">
        <v>2.8</v>
      </c>
      <c r="AC8" s="5">
        <v>0</v>
      </c>
      <c r="AD8" s="7">
        <f>IF($H8=0,0,(60*AC8)/$H8)</f>
        <v>0</v>
      </c>
      <c r="AE8" s="7">
        <f>IF($H8=0,0,(60*24*AC8)/$H8)</f>
        <v>0</v>
      </c>
      <c r="AF8" s="7">
        <f>IF($J8=0,0,(100*AC8)/$J8)</f>
        <v>0</v>
      </c>
      <c r="AG8" s="5">
        <v>82</v>
      </c>
      <c r="AH8" s="6">
        <v>100.31699999999999</v>
      </c>
      <c r="AI8" s="5">
        <v>74</v>
      </c>
      <c r="AJ8" s="7">
        <f>IF($H8=0,0,(60*AI8)/$H8)</f>
        <v>7.1649536940661598</v>
      </c>
      <c r="AK8" s="7">
        <f>IF($H8=0,0,(60*24*AI8)/$H8)</f>
        <v>171.95888865758783</v>
      </c>
      <c r="AL8" s="7">
        <f>IF($J8=0,0,(100*AI8)/$J8)</f>
        <v>14.925373134328359</v>
      </c>
      <c r="AM8" s="5">
        <v>32</v>
      </c>
      <c r="AN8" s="6">
        <v>35.216999999999999</v>
      </c>
      <c r="AO8" s="7">
        <f>IF($H8=0,0,(60*AM8)/$H8)</f>
        <v>3.098358354190772</v>
      </c>
      <c r="AP8" s="7">
        <f>IF($H8=0,0,(60*24*AM8)/$H8)</f>
        <v>74.360600500578528</v>
      </c>
      <c r="AQ8" s="7">
        <f>IF($J8=0,0,(100*AM8)/$J8)</f>
        <v>6.4542154094392901</v>
      </c>
      <c r="AR8" s="5">
        <v>14</v>
      </c>
      <c r="AS8" s="6">
        <v>14.7</v>
      </c>
      <c r="AT8" s="7">
        <f>IF($H8=0,0,(60*AR8)/$H8)</f>
        <v>1.3555317799584627</v>
      </c>
      <c r="AU8" s="7">
        <f>IF($H8=0,0,(60*24*AR8)/$H8)</f>
        <v>32.532762719003102</v>
      </c>
      <c r="AV8" s="7">
        <f>IF($J8=0,0,(100*AR8)/$J8)</f>
        <v>2.8237192416296892</v>
      </c>
      <c r="AW8" s="5">
        <v>3</v>
      </c>
      <c r="AX8" s="6">
        <v>5.633</v>
      </c>
      <c r="AY8" s="7">
        <f>IF($H8=0,0,(60*AW8)/$H8)</f>
        <v>0.29047109570538487</v>
      </c>
      <c r="AZ8" s="7">
        <f>IF($H8=0,0,(60*24*AW8)/$H8)</f>
        <v>6.9713062969292361</v>
      </c>
      <c r="BA8" s="7">
        <f>IF($J8=0,0,(100*AW8)/$J8)</f>
        <v>0.60508269463493347</v>
      </c>
      <c r="BB8" s="5">
        <v>4</v>
      </c>
      <c r="BC8" s="6">
        <v>3.7170000000000001</v>
      </c>
      <c r="BD8" s="7">
        <f>IF($H8=0,0,(60*BB8)/$H8)</f>
        <v>0.3872947942738465</v>
      </c>
      <c r="BE8" s="7">
        <f>IF($H8=0,0,(60*24*BB8)/$H8)</f>
        <v>9.295075062572316</v>
      </c>
      <c r="BF8" s="7">
        <f>IF($J8=0,0,(100*BB8)/$J8)</f>
        <v>0.80677692617991126</v>
      </c>
    </row>
    <row r="9" spans="1:58">
      <c r="A9" t="str">
        <f t="shared" si="0"/>
        <v>2021/11/21.A 002 8080 8080 86 1-1 1059 Z</v>
      </c>
      <c r="B9" s="1" t="s">
        <v>217</v>
      </c>
      <c r="C9" t="str">
        <f>"002"</f>
        <v>002</v>
      </c>
      <c r="D9" t="str">
        <f>"8080 8080 86 1-1"</f>
        <v>8080 8080 86 1-1</v>
      </c>
      <c r="E9" t="str">
        <f>"1059 Z"</f>
        <v>1059 Z</v>
      </c>
      <c r="H9" s="6">
        <v>552.20000000000005</v>
      </c>
      <c r="I9" s="6">
        <v>167.8</v>
      </c>
      <c r="J9" s="6">
        <v>437.7</v>
      </c>
      <c r="K9" s="6">
        <v>138.9</v>
      </c>
      <c r="L9" s="6">
        <v>1885542.12</v>
      </c>
      <c r="M9" s="6">
        <v>33132</v>
      </c>
      <c r="N9" s="6"/>
      <c r="O9" s="5">
        <v>4</v>
      </c>
      <c r="P9" s="6">
        <v>1.25</v>
      </c>
      <c r="Q9" s="5">
        <v>35</v>
      </c>
      <c r="R9" s="6">
        <v>69.617000000000004</v>
      </c>
      <c r="V9" s="5">
        <v>78</v>
      </c>
      <c r="W9" s="6">
        <v>95.266999999999996</v>
      </c>
      <c r="AA9" s="5">
        <v>2</v>
      </c>
      <c r="AB9" s="6">
        <v>1.667</v>
      </c>
      <c r="AC9" s="5">
        <v>0</v>
      </c>
      <c r="AG9" s="5">
        <v>119</v>
      </c>
      <c r="AH9" s="6">
        <v>167.80099999999999</v>
      </c>
      <c r="AI9" s="5">
        <v>113</v>
      </c>
      <c r="AM9" s="5">
        <v>11</v>
      </c>
      <c r="AN9" s="6">
        <v>6.8170000000000002</v>
      </c>
      <c r="AR9" s="5">
        <v>14</v>
      </c>
      <c r="AS9" s="6">
        <v>12.85</v>
      </c>
      <c r="AW9" s="5">
        <v>34</v>
      </c>
      <c r="AX9" s="6">
        <v>54.283000000000001</v>
      </c>
      <c r="BB9" s="5">
        <v>19</v>
      </c>
      <c r="BC9" s="6">
        <v>21.317</v>
      </c>
    </row>
    <row r="10" spans="1:58">
      <c r="A10" t="str">
        <f t="shared" si="0"/>
        <v>2021/11/21.A 003 8080 8080 86 1-1 105 Z</v>
      </c>
      <c r="B10" s="1" t="s">
        <v>217</v>
      </c>
      <c r="C10" t="str">
        <f>"003"</f>
        <v>003</v>
      </c>
      <c r="D10" t="str">
        <f>"8080 8080 86 1-1"</f>
        <v>8080 8080 86 1-1</v>
      </c>
      <c r="E10" t="str">
        <f>"105 Z"</f>
        <v>105 Z</v>
      </c>
      <c r="H10" s="6">
        <v>603.04999999999995</v>
      </c>
      <c r="I10" s="6">
        <v>116.95</v>
      </c>
      <c r="J10" s="6">
        <v>481.7</v>
      </c>
      <c r="K10" s="6">
        <v>152.9</v>
      </c>
      <c r="L10" s="6">
        <v>2189433.33</v>
      </c>
      <c r="M10" s="6">
        <v>36183</v>
      </c>
      <c r="N10" s="6"/>
      <c r="O10" s="5">
        <v>6</v>
      </c>
      <c r="P10" s="6">
        <v>1.95</v>
      </c>
      <c r="Q10" s="5">
        <v>40</v>
      </c>
      <c r="R10" s="6">
        <v>62.433</v>
      </c>
      <c r="V10" s="5">
        <v>57</v>
      </c>
      <c r="W10" s="6">
        <v>45.283000000000001</v>
      </c>
      <c r="AA10" s="5">
        <v>2</v>
      </c>
      <c r="AB10" s="6">
        <v>7.2839999999999998</v>
      </c>
      <c r="AC10" s="5">
        <v>1</v>
      </c>
      <c r="AG10" s="5">
        <v>105</v>
      </c>
      <c r="AH10" s="6">
        <v>116.95</v>
      </c>
      <c r="AI10" s="5">
        <v>98</v>
      </c>
      <c r="AM10" s="5">
        <v>15</v>
      </c>
      <c r="AN10" s="6">
        <v>8.4670000000000005</v>
      </c>
      <c r="AR10" s="5">
        <v>34</v>
      </c>
      <c r="AS10" s="6">
        <v>29.466999999999999</v>
      </c>
      <c r="AW10" s="5">
        <v>7</v>
      </c>
      <c r="AX10" s="6">
        <v>6.9829999999999997</v>
      </c>
      <c r="BB10" s="5">
        <v>1</v>
      </c>
      <c r="BC10" s="6">
        <v>0.36699999999999999</v>
      </c>
    </row>
    <row r="11" spans="1:58">
      <c r="A11" t="str">
        <f t="shared" si="0"/>
        <v>2021/11/21.A 004 8080 10288 46x2 1-1 17 Z</v>
      </c>
      <c r="B11" s="1" t="s">
        <v>217</v>
      </c>
      <c r="C11" t="str">
        <f>"004"</f>
        <v>004</v>
      </c>
      <c r="D11" t="str">
        <f>"8080 10288 46x2 1-1"</f>
        <v>8080 10288 46x2 1-1</v>
      </c>
      <c r="E11" t="str">
        <f>"17 Z"</f>
        <v>17 Z</v>
      </c>
      <c r="H11" s="6">
        <v>600.16700000000003</v>
      </c>
      <c r="I11" s="6">
        <v>119.833</v>
      </c>
      <c r="J11" s="6">
        <v>480.6</v>
      </c>
      <c r="K11" s="6">
        <v>138.69999999999999</v>
      </c>
      <c r="L11" s="6">
        <v>2216775.6</v>
      </c>
      <c r="M11" s="6">
        <v>36010</v>
      </c>
      <c r="N11" s="6"/>
      <c r="O11" s="5">
        <v>4</v>
      </c>
      <c r="P11" s="6">
        <v>0.93300000000000005</v>
      </c>
      <c r="Q11" s="5">
        <v>36</v>
      </c>
      <c r="R11" s="6">
        <v>69.7</v>
      </c>
      <c r="V11" s="5">
        <v>48</v>
      </c>
      <c r="W11" s="6">
        <v>45.082999999999998</v>
      </c>
      <c r="AA11" s="5">
        <v>3</v>
      </c>
      <c r="AB11" s="6">
        <v>4.117</v>
      </c>
      <c r="AC11" s="5">
        <v>0</v>
      </c>
      <c r="AG11" s="5">
        <v>91</v>
      </c>
      <c r="AH11" s="6">
        <v>119.833</v>
      </c>
      <c r="AI11" s="5">
        <v>84</v>
      </c>
      <c r="AM11" s="5">
        <v>9</v>
      </c>
      <c r="AN11" s="6">
        <v>9.8330000000000002</v>
      </c>
      <c r="AR11" s="5">
        <v>20</v>
      </c>
      <c r="AS11" s="6">
        <v>15.15</v>
      </c>
      <c r="AW11" s="5">
        <v>9</v>
      </c>
      <c r="AX11" s="6">
        <v>8.25</v>
      </c>
      <c r="BB11" s="5">
        <v>10</v>
      </c>
      <c r="BC11" s="6">
        <v>11.85</v>
      </c>
    </row>
    <row r="12" spans="1:58">
      <c r="A12" t="str">
        <f t="shared" si="0"/>
        <v>2021/11/21.A 005 6060 18590 118 strip 1168 Z</v>
      </c>
      <c r="B12" s="1" t="s">
        <v>217</v>
      </c>
      <c r="C12" t="str">
        <f>"005"</f>
        <v>005</v>
      </c>
      <c r="D12" t="str">
        <f>"6060 18590 118 strip"</f>
        <v>6060 18590 118 strip</v>
      </c>
      <c r="E12" t="str">
        <f>"1168 Z"</f>
        <v>1168 Z</v>
      </c>
      <c r="H12" s="6">
        <v>512.15</v>
      </c>
      <c r="I12" s="6">
        <v>205.7</v>
      </c>
      <c r="J12" s="6">
        <v>345.5</v>
      </c>
      <c r="K12" s="6">
        <v>108.5</v>
      </c>
      <c r="L12" s="6">
        <v>2462622.06</v>
      </c>
      <c r="M12" s="6">
        <v>30729</v>
      </c>
      <c r="N12" s="6"/>
      <c r="O12" s="5">
        <v>2</v>
      </c>
      <c r="P12" s="6">
        <v>1.5669999999999999</v>
      </c>
      <c r="Q12" s="5">
        <v>19</v>
      </c>
      <c r="R12" s="6">
        <v>60.75</v>
      </c>
      <c r="V12" s="5">
        <v>36</v>
      </c>
      <c r="W12" s="6">
        <v>33.683</v>
      </c>
      <c r="AA12" s="5">
        <v>4</v>
      </c>
      <c r="AB12" s="6">
        <v>109.7</v>
      </c>
      <c r="AC12" s="5">
        <v>0</v>
      </c>
      <c r="AG12" s="5">
        <v>61</v>
      </c>
      <c r="AH12" s="6">
        <v>205.7</v>
      </c>
      <c r="AI12" s="5">
        <v>55</v>
      </c>
      <c r="AM12" s="5">
        <v>10</v>
      </c>
      <c r="AN12" s="6">
        <v>5.9829999999999997</v>
      </c>
      <c r="AR12" s="5">
        <v>15</v>
      </c>
      <c r="AS12" s="6">
        <v>11.717000000000001</v>
      </c>
      <c r="AW12" s="5">
        <v>10</v>
      </c>
      <c r="AX12" s="6">
        <v>13.867000000000001</v>
      </c>
      <c r="BB12" s="5">
        <v>1</v>
      </c>
      <c r="BC12" s="6">
        <v>2.117</v>
      </c>
    </row>
    <row r="13" spans="1:58">
      <c r="A13" t="str">
        <f t="shared" si="0"/>
        <v>2021/11/21.A 006 4040 10080 124 1-1 1042 Z</v>
      </c>
      <c r="B13" s="1" t="s">
        <v>217</v>
      </c>
      <c r="C13" t="str">
        <f>"006"</f>
        <v>006</v>
      </c>
      <c r="D13" t="str">
        <f>"4040 10080 124 1-1"</f>
        <v>4040 10080 124 1-1</v>
      </c>
      <c r="E13" t="str">
        <f>"1042 Z"</f>
        <v>1042 Z</v>
      </c>
      <c r="H13" s="6">
        <v>646.58299999999997</v>
      </c>
      <c r="I13" s="6">
        <v>73.8</v>
      </c>
      <c r="J13" s="6">
        <v>435</v>
      </c>
      <c r="K13" s="6">
        <v>129.19999999999999</v>
      </c>
      <c r="L13" s="6">
        <v>4305469.0999999996</v>
      </c>
      <c r="M13" s="6">
        <v>38795</v>
      </c>
      <c r="N13" s="6"/>
      <c r="O13" s="5">
        <v>5</v>
      </c>
      <c r="P13" s="6">
        <v>2.2170000000000001</v>
      </c>
      <c r="Q13" s="5">
        <v>16</v>
      </c>
      <c r="R13" s="6">
        <v>30.667000000000002</v>
      </c>
      <c r="V13" s="5">
        <v>34</v>
      </c>
      <c r="W13" s="6">
        <v>37.783000000000001</v>
      </c>
      <c r="AA13" s="5">
        <v>5</v>
      </c>
      <c r="AB13" s="6">
        <v>3.1339999999999999</v>
      </c>
      <c r="AC13" s="5">
        <v>0</v>
      </c>
      <c r="AG13" s="5">
        <v>60</v>
      </c>
      <c r="AH13" s="6">
        <v>73.801000000000002</v>
      </c>
      <c r="AI13" s="5">
        <v>50</v>
      </c>
      <c r="AM13" s="5">
        <v>17</v>
      </c>
      <c r="AN13" s="6">
        <v>15.317</v>
      </c>
      <c r="AR13" s="5">
        <v>17</v>
      </c>
      <c r="AS13" s="6">
        <v>22.117000000000001</v>
      </c>
      <c r="AW13" s="5">
        <v>0</v>
      </c>
      <c r="AX13" s="6">
        <v>0</v>
      </c>
      <c r="BB13" s="5">
        <v>0</v>
      </c>
      <c r="BC13" s="6">
        <v>0.35</v>
      </c>
    </row>
    <row r="14" spans="1:58">
      <c r="A14" t="str">
        <f t="shared" si="0"/>
        <v>2021/11/21.A 007 6060 18587 126 4-1 1014 Z</v>
      </c>
      <c r="B14" s="1" t="s">
        <v>217</v>
      </c>
      <c r="C14" t="str">
        <f>"007"</f>
        <v>007</v>
      </c>
      <c r="D14" t="str">
        <f>"6060 18587 126 4-1"</f>
        <v>6060 18587 126 4-1</v>
      </c>
      <c r="E14" t="str">
        <f>"1014 Z"</f>
        <v>1014 Z</v>
      </c>
      <c r="H14" s="6">
        <v>468.41699999999997</v>
      </c>
      <c r="I14" s="6">
        <v>251.583</v>
      </c>
      <c r="J14" s="6">
        <v>263.89999999999998</v>
      </c>
      <c r="K14" s="6">
        <v>77</v>
      </c>
      <c r="L14" s="6">
        <v>2489821.9500000002</v>
      </c>
      <c r="M14" s="6">
        <v>28105</v>
      </c>
      <c r="N14" s="6"/>
      <c r="O14" s="5">
        <v>3</v>
      </c>
      <c r="P14" s="6">
        <v>1</v>
      </c>
      <c r="Q14" s="5">
        <v>73</v>
      </c>
      <c r="R14" s="6">
        <v>157.06700000000001</v>
      </c>
      <c r="V14" s="5">
        <v>48</v>
      </c>
      <c r="W14" s="6">
        <v>48.65</v>
      </c>
      <c r="AA14" s="5">
        <v>3</v>
      </c>
      <c r="AB14" s="6">
        <v>44.866</v>
      </c>
      <c r="AC14" s="5">
        <v>0</v>
      </c>
      <c r="AG14" s="5">
        <v>127</v>
      </c>
      <c r="AH14" s="6">
        <v>251.583</v>
      </c>
      <c r="AI14" s="5">
        <v>121</v>
      </c>
      <c r="AM14" s="5">
        <v>32</v>
      </c>
      <c r="AN14" s="6">
        <v>26.132999999999999</v>
      </c>
      <c r="AR14" s="5">
        <v>12</v>
      </c>
      <c r="AS14" s="6">
        <v>16.632999999999999</v>
      </c>
      <c r="AW14" s="5">
        <v>2</v>
      </c>
      <c r="AX14" s="6">
        <v>4.6829999999999998</v>
      </c>
      <c r="BB14" s="5">
        <v>2</v>
      </c>
      <c r="BC14" s="6">
        <v>1.2</v>
      </c>
    </row>
    <row r="15" spans="1:58">
      <c r="A15" t="str">
        <f t="shared" si="0"/>
        <v>2021/11/21.A 008 6060 18587 123 4-1 317 Z</v>
      </c>
      <c r="B15" s="1" t="s">
        <v>217</v>
      </c>
      <c r="C15" t="str">
        <f>"008"</f>
        <v>008</v>
      </c>
      <c r="D15" t="str">
        <f>"6060 18587 123 4-1"</f>
        <v>6060 18587 123 4-1</v>
      </c>
      <c r="E15" t="str">
        <f>"317 Z"</f>
        <v>317 Z</v>
      </c>
      <c r="H15" s="6">
        <v>664.51700000000005</v>
      </c>
      <c r="I15" s="6">
        <v>55.482999999999997</v>
      </c>
      <c r="J15" s="6">
        <v>432.3</v>
      </c>
      <c r="K15" s="6">
        <v>126.2</v>
      </c>
      <c r="L15" s="6">
        <v>3522204.14</v>
      </c>
      <c r="M15" s="6">
        <v>39871</v>
      </c>
      <c r="N15" s="6"/>
      <c r="O15" s="5">
        <v>5</v>
      </c>
      <c r="P15" s="6">
        <v>2.0499999999999998</v>
      </c>
      <c r="Q15" s="5">
        <v>11</v>
      </c>
      <c r="R15" s="6">
        <v>21.466999999999999</v>
      </c>
      <c r="V15" s="5">
        <v>31</v>
      </c>
      <c r="W15" s="6">
        <v>28.832999999999998</v>
      </c>
      <c r="AA15" s="5">
        <v>5</v>
      </c>
      <c r="AB15" s="6">
        <v>3.1339999999999999</v>
      </c>
      <c r="AC15" s="5">
        <v>0</v>
      </c>
      <c r="AG15" s="5">
        <v>52</v>
      </c>
      <c r="AH15" s="6">
        <v>55.484000000000002</v>
      </c>
      <c r="AI15" s="5">
        <v>42</v>
      </c>
      <c r="AM15" s="5">
        <v>20</v>
      </c>
      <c r="AN15" s="6">
        <v>18.899999999999999</v>
      </c>
      <c r="AR15" s="5">
        <v>11</v>
      </c>
      <c r="AS15" s="6">
        <v>9.5830000000000002</v>
      </c>
      <c r="AW15" s="5">
        <v>0</v>
      </c>
      <c r="AX15" s="6">
        <v>0</v>
      </c>
      <c r="BB15" s="5">
        <v>0</v>
      </c>
      <c r="BC15" s="6">
        <v>0.35</v>
      </c>
    </row>
    <row r="16" spans="1:58">
      <c r="A16" t="str">
        <f t="shared" si="0"/>
        <v>2021/11/21.A 009 6060 18587 126 4-1 1151 Z</v>
      </c>
      <c r="B16" s="1" t="s">
        <v>217</v>
      </c>
      <c r="C16" t="str">
        <f>"009"</f>
        <v>009</v>
      </c>
      <c r="D16" t="str">
        <f>"6060 18587 126 4-1"</f>
        <v>6060 18587 126 4-1</v>
      </c>
      <c r="E16" t="str">
        <f>"1151 Z"</f>
        <v>1151 Z</v>
      </c>
      <c r="H16" s="6">
        <v>559.45000000000005</v>
      </c>
      <c r="I16" s="6">
        <v>160.55000000000001</v>
      </c>
      <c r="J16" s="6">
        <v>361.2</v>
      </c>
      <c r="K16" s="6">
        <v>105.5</v>
      </c>
      <c r="L16" s="6">
        <v>3329510.73</v>
      </c>
      <c r="M16" s="6">
        <v>33567</v>
      </c>
      <c r="N16" s="6"/>
      <c r="O16" s="5">
        <v>4</v>
      </c>
      <c r="P16" s="6">
        <v>1.6830000000000001</v>
      </c>
      <c r="Q16" s="5">
        <v>32</v>
      </c>
      <c r="R16" s="6">
        <v>93.45</v>
      </c>
      <c r="V16" s="5">
        <v>56</v>
      </c>
      <c r="W16" s="6">
        <v>64.016999999999996</v>
      </c>
      <c r="AA16" s="5">
        <v>1</v>
      </c>
      <c r="AB16" s="6">
        <v>1.4</v>
      </c>
      <c r="AC16" s="5">
        <v>0</v>
      </c>
      <c r="AG16" s="5">
        <v>93</v>
      </c>
      <c r="AH16" s="6">
        <v>160.55000000000001</v>
      </c>
      <c r="AI16" s="5">
        <v>88</v>
      </c>
      <c r="AM16" s="5">
        <v>20</v>
      </c>
      <c r="AN16" s="6">
        <v>17.899999999999999</v>
      </c>
      <c r="AR16" s="5">
        <v>29</v>
      </c>
      <c r="AS16" s="6">
        <v>36.116999999999997</v>
      </c>
      <c r="AW16" s="5">
        <v>2</v>
      </c>
      <c r="AX16" s="6">
        <v>4.25</v>
      </c>
      <c r="BB16" s="5">
        <v>5</v>
      </c>
      <c r="BC16" s="6">
        <v>5.75</v>
      </c>
    </row>
    <row r="17" spans="1:55">
      <c r="A17" t="str">
        <f t="shared" si="0"/>
        <v>2021/11/21.A 010 4040 13079 67x59 4-1 1174 Z</v>
      </c>
      <c r="B17" s="1" t="s">
        <v>217</v>
      </c>
      <c r="C17" t="str">
        <f>"010"</f>
        <v>010</v>
      </c>
      <c r="D17" t="str">
        <f>"4040 13079 67x59 4-1"</f>
        <v>4040 13079 67x59 4-1</v>
      </c>
      <c r="E17" t="str">
        <f>"1174 Z"</f>
        <v>1174 Z</v>
      </c>
      <c r="H17" s="6">
        <v>637.04999999999995</v>
      </c>
      <c r="I17" s="6">
        <v>82.95</v>
      </c>
      <c r="J17" s="6">
        <v>421.8</v>
      </c>
      <c r="K17" s="6">
        <v>135.6</v>
      </c>
      <c r="L17" s="6">
        <v>3688519.5</v>
      </c>
      <c r="M17" s="6">
        <v>38223</v>
      </c>
      <c r="N17" s="6"/>
      <c r="O17" s="5">
        <v>5</v>
      </c>
      <c r="P17" s="6">
        <v>2.5670000000000002</v>
      </c>
      <c r="Q17" s="5">
        <v>15</v>
      </c>
      <c r="R17" s="6">
        <v>37.049999999999997</v>
      </c>
      <c r="V17" s="5">
        <v>31</v>
      </c>
      <c r="W17" s="6">
        <v>37.15</v>
      </c>
      <c r="AA17" s="5">
        <v>3</v>
      </c>
      <c r="AB17" s="6">
        <v>6.1829999999999998</v>
      </c>
      <c r="AC17" s="5">
        <v>0</v>
      </c>
      <c r="AG17" s="5">
        <v>54</v>
      </c>
      <c r="AH17" s="6">
        <v>82.95</v>
      </c>
      <c r="AI17" s="5">
        <v>46</v>
      </c>
      <c r="AM17" s="5">
        <v>12</v>
      </c>
      <c r="AN17" s="6">
        <v>11.717000000000001</v>
      </c>
      <c r="AR17" s="5">
        <v>9</v>
      </c>
      <c r="AS17" s="6">
        <v>15.117000000000001</v>
      </c>
      <c r="AW17" s="5">
        <v>7</v>
      </c>
      <c r="AX17" s="6">
        <v>6.3170000000000002</v>
      </c>
      <c r="BB17" s="5">
        <v>3</v>
      </c>
      <c r="BC17" s="6">
        <v>4</v>
      </c>
    </row>
    <row r="18" spans="1:55">
      <c r="A18" t="str">
        <f t="shared" si="0"/>
        <v>2021/11/21.A 011 4040 11083 123 1-1 1036 Z</v>
      </c>
      <c r="B18" s="1" t="s">
        <v>217</v>
      </c>
      <c r="C18" t="str">
        <f>"011"</f>
        <v>011</v>
      </c>
      <c r="D18" t="str">
        <f>"4040 11083 123 1-1"</f>
        <v>4040 11083 123 1-1</v>
      </c>
      <c r="E18" t="str">
        <f>"1036 Z"</f>
        <v>1036 Z</v>
      </c>
      <c r="H18" s="6">
        <v>644.23299999999995</v>
      </c>
      <c r="I18" s="6">
        <v>71.367000000000004</v>
      </c>
      <c r="J18" s="6">
        <v>432.9</v>
      </c>
      <c r="K18" s="6">
        <v>127.7</v>
      </c>
      <c r="L18" s="6">
        <v>4494687.12</v>
      </c>
      <c r="M18" s="6">
        <v>38654</v>
      </c>
      <c r="N18" s="6"/>
      <c r="O18" s="5">
        <v>5</v>
      </c>
      <c r="P18" s="6">
        <v>1.75</v>
      </c>
      <c r="Q18" s="5">
        <v>15</v>
      </c>
      <c r="R18" s="6">
        <v>25.667000000000002</v>
      </c>
      <c r="V18" s="5">
        <v>37</v>
      </c>
      <c r="W18" s="6">
        <v>40.167000000000002</v>
      </c>
      <c r="AA18" s="5">
        <v>6</v>
      </c>
      <c r="AB18" s="6">
        <v>3.7839999999999998</v>
      </c>
      <c r="AC18" s="5">
        <v>0</v>
      </c>
      <c r="AG18" s="5">
        <v>63</v>
      </c>
      <c r="AH18" s="6">
        <v>71.367999999999995</v>
      </c>
      <c r="AI18" s="5">
        <v>52</v>
      </c>
      <c r="AM18" s="5">
        <v>23</v>
      </c>
      <c r="AN18" s="6">
        <v>26.567</v>
      </c>
      <c r="AR18" s="5">
        <v>13</v>
      </c>
      <c r="AS18" s="6">
        <v>11.317</v>
      </c>
      <c r="AW18" s="5">
        <v>0</v>
      </c>
      <c r="AX18" s="6">
        <v>0</v>
      </c>
      <c r="BB18" s="5">
        <v>1</v>
      </c>
      <c r="BC18" s="6">
        <v>2.2829999999999999</v>
      </c>
    </row>
    <row r="19" spans="1:55">
      <c r="A19" t="str">
        <f t="shared" si="0"/>
        <v>2021/11/21.A 012 6060 164113 124 33mm 1001 Z</v>
      </c>
      <c r="B19" s="1" t="s">
        <v>217</v>
      </c>
      <c r="C19" t="str">
        <f>"012"</f>
        <v>012</v>
      </c>
      <c r="D19" t="str">
        <f>"6060 164113 124 33mm"</f>
        <v>6060 164113 124 33mm</v>
      </c>
      <c r="E19" t="str">
        <f>"1001 Z"</f>
        <v>1001 Z</v>
      </c>
      <c r="H19" s="6">
        <v>652.86699999999996</v>
      </c>
      <c r="I19" s="6">
        <v>62.183</v>
      </c>
      <c r="J19" s="6">
        <v>414.4</v>
      </c>
      <c r="K19" s="6">
        <v>117.1</v>
      </c>
      <c r="L19" s="6">
        <v>3325702.8</v>
      </c>
      <c r="M19" s="6">
        <v>39172</v>
      </c>
      <c r="N19" s="6"/>
      <c r="O19" s="5">
        <v>6</v>
      </c>
      <c r="P19" s="6">
        <v>2.1669999999999998</v>
      </c>
      <c r="Q19" s="5">
        <v>12</v>
      </c>
      <c r="R19" s="6">
        <v>23.4</v>
      </c>
      <c r="V19" s="5">
        <v>34</v>
      </c>
      <c r="W19" s="6">
        <v>33.482999999999997</v>
      </c>
      <c r="AA19" s="5">
        <v>5</v>
      </c>
      <c r="AB19" s="6">
        <v>3.1339999999999999</v>
      </c>
      <c r="AC19" s="5">
        <v>0</v>
      </c>
      <c r="AG19" s="5">
        <v>57</v>
      </c>
      <c r="AH19" s="6">
        <v>62.183999999999997</v>
      </c>
      <c r="AI19" s="5">
        <v>46</v>
      </c>
      <c r="AM19" s="5">
        <v>20</v>
      </c>
      <c r="AN19" s="6">
        <v>20.216999999999999</v>
      </c>
      <c r="AR19" s="5">
        <v>14</v>
      </c>
      <c r="AS19" s="6">
        <v>12.917</v>
      </c>
      <c r="AW19" s="5">
        <v>0</v>
      </c>
      <c r="AX19" s="6">
        <v>0</v>
      </c>
      <c r="BB19" s="5">
        <v>0</v>
      </c>
      <c r="BC19" s="6">
        <v>0.35</v>
      </c>
    </row>
    <row r="20" spans="1:55">
      <c r="A20" t="str">
        <f t="shared" si="0"/>
        <v>2021/11/21.A 013 8080 9088 46x2 1-1 1079Z</v>
      </c>
      <c r="B20" s="1" t="s">
        <v>217</v>
      </c>
      <c r="C20" t="str">
        <f>"013"</f>
        <v>013</v>
      </c>
      <c r="D20" t="str">
        <f>"8080 9088 46x2 1-1"</f>
        <v>8080 9088 46x2 1-1</v>
      </c>
      <c r="E20" t="str">
        <f>"1079Z"</f>
        <v>1079Z</v>
      </c>
      <c r="H20" s="6">
        <v>598.70000000000005</v>
      </c>
      <c r="I20" s="6">
        <v>121.3</v>
      </c>
      <c r="J20" s="6">
        <v>432</v>
      </c>
      <c r="K20" s="6">
        <v>124.7</v>
      </c>
      <c r="L20" s="6">
        <v>2216387.4</v>
      </c>
      <c r="M20" s="6">
        <v>35922</v>
      </c>
      <c r="N20" s="6"/>
      <c r="O20" s="5">
        <v>1</v>
      </c>
      <c r="P20" s="6">
        <v>1.2170000000000001</v>
      </c>
      <c r="Q20" s="5">
        <v>22</v>
      </c>
      <c r="R20" s="6">
        <v>56.482999999999997</v>
      </c>
      <c r="V20" s="5">
        <v>61</v>
      </c>
      <c r="W20" s="6">
        <v>53.366999999999997</v>
      </c>
      <c r="AA20" s="5">
        <v>3</v>
      </c>
      <c r="AB20" s="6">
        <v>10.234</v>
      </c>
      <c r="AC20" s="5">
        <v>3</v>
      </c>
      <c r="AG20" s="5">
        <v>87</v>
      </c>
      <c r="AH20" s="6">
        <v>121.301</v>
      </c>
      <c r="AI20" s="5">
        <v>86</v>
      </c>
      <c r="AM20" s="5">
        <v>25</v>
      </c>
      <c r="AN20" s="6">
        <v>21.266999999999999</v>
      </c>
      <c r="AR20" s="5">
        <v>18</v>
      </c>
      <c r="AS20" s="6">
        <v>19.766999999999999</v>
      </c>
      <c r="AW20" s="5">
        <v>13</v>
      </c>
      <c r="AX20" s="6">
        <v>9.0169999999999995</v>
      </c>
      <c r="BB20" s="5">
        <v>5</v>
      </c>
      <c r="BC20" s="6">
        <v>3.3170000000000002</v>
      </c>
    </row>
    <row r="21" spans="1:55">
      <c r="A21" t="str">
        <f t="shared" si="0"/>
        <v>2021/11/21.A 014 8080 10288 46x2 1-1 1054 Z</v>
      </c>
      <c r="B21" s="1" t="s">
        <v>217</v>
      </c>
      <c r="C21" t="str">
        <f>"014"</f>
        <v>014</v>
      </c>
      <c r="D21" t="str">
        <f>"8080 10288 46x2 1-1"</f>
        <v>8080 10288 46x2 1-1</v>
      </c>
      <c r="E21" t="str">
        <f>"1054 Z"</f>
        <v>1054 Z</v>
      </c>
      <c r="H21" s="6">
        <v>644.66700000000003</v>
      </c>
      <c r="I21" s="6">
        <v>75.332999999999998</v>
      </c>
      <c r="J21" s="6">
        <v>515.5</v>
      </c>
      <c r="K21" s="6">
        <v>148.80000000000001</v>
      </c>
      <c r="L21" s="6">
        <v>2468944.4</v>
      </c>
      <c r="M21" s="6">
        <v>38680</v>
      </c>
      <c r="N21" s="6"/>
      <c r="O21" s="5">
        <v>4</v>
      </c>
      <c r="P21" s="6">
        <v>1.2</v>
      </c>
      <c r="Q21" s="5">
        <v>13</v>
      </c>
      <c r="R21" s="6">
        <v>25.65</v>
      </c>
      <c r="V21" s="5">
        <v>43</v>
      </c>
      <c r="W21" s="6">
        <v>39.15</v>
      </c>
      <c r="AA21" s="5">
        <v>8</v>
      </c>
      <c r="AB21" s="6">
        <v>9.3330000000000002</v>
      </c>
      <c r="AC21" s="5">
        <v>0</v>
      </c>
      <c r="AG21" s="5">
        <v>68</v>
      </c>
      <c r="AH21" s="6">
        <v>75.332999999999998</v>
      </c>
      <c r="AI21" s="5">
        <v>56</v>
      </c>
      <c r="AM21" s="5">
        <v>20</v>
      </c>
      <c r="AN21" s="6">
        <v>19.783000000000001</v>
      </c>
      <c r="AR21" s="5">
        <v>10</v>
      </c>
      <c r="AS21" s="6">
        <v>7.2</v>
      </c>
      <c r="AW21" s="5">
        <v>6</v>
      </c>
      <c r="AX21" s="6">
        <v>5.867</v>
      </c>
      <c r="BB21" s="5">
        <v>7</v>
      </c>
      <c r="BC21" s="6">
        <v>6.3</v>
      </c>
    </row>
    <row r="22" spans="1:55">
      <c r="A22" t="str">
        <f t="shared" si="0"/>
        <v>2021/11/21.A 015 4040 127121 106 2-1 1053</v>
      </c>
      <c r="B22" s="1" t="s">
        <v>217</v>
      </c>
      <c r="C22" t="str">
        <f>"015"</f>
        <v>015</v>
      </c>
      <c r="D22" t="str">
        <f>"4040 127121 106 2-1"</f>
        <v>4040 127121 106 2-1</v>
      </c>
      <c r="E22" t="str">
        <f>"1053"</f>
        <v>1053</v>
      </c>
      <c r="H22" s="6">
        <v>625.96699999999998</v>
      </c>
      <c r="I22" s="6">
        <v>94.05</v>
      </c>
      <c r="J22" s="6">
        <v>385</v>
      </c>
      <c r="K22" s="6">
        <v>81.900000000000006</v>
      </c>
      <c r="L22" s="6">
        <v>2445776.96</v>
      </c>
      <c r="M22" s="6">
        <v>37558</v>
      </c>
      <c r="N22" s="6"/>
      <c r="O22" s="5">
        <v>9</v>
      </c>
      <c r="P22" s="6">
        <v>6.1</v>
      </c>
      <c r="Q22" s="5">
        <v>8</v>
      </c>
      <c r="R22" s="6">
        <v>10.9</v>
      </c>
      <c r="V22" s="5">
        <v>26</v>
      </c>
      <c r="W22" s="6">
        <v>22.05</v>
      </c>
      <c r="AA22" s="5">
        <v>4</v>
      </c>
      <c r="AB22" s="6">
        <v>55.000999999999998</v>
      </c>
      <c r="AC22" s="5">
        <v>1</v>
      </c>
      <c r="AG22" s="5">
        <v>47</v>
      </c>
      <c r="AH22" s="6">
        <v>94.051000000000002</v>
      </c>
      <c r="AI22" s="5">
        <v>35</v>
      </c>
      <c r="AM22" s="5">
        <v>12</v>
      </c>
      <c r="AN22" s="6">
        <v>8.2330000000000005</v>
      </c>
      <c r="AR22" s="5">
        <v>6</v>
      </c>
      <c r="AS22" s="6">
        <v>5.2670000000000003</v>
      </c>
      <c r="AW22" s="5">
        <v>4</v>
      </c>
      <c r="AX22" s="6">
        <v>5.85</v>
      </c>
      <c r="BB22" s="5">
        <v>4</v>
      </c>
      <c r="BC22" s="6">
        <v>2.7</v>
      </c>
    </row>
    <row r="23" spans="1:55">
      <c r="A23" t="str">
        <f t="shared" si="0"/>
        <v>2021/11/21.A 016 8080 9088 46x2 1-1 1084 Z</v>
      </c>
      <c r="B23" s="1" t="s">
        <v>217</v>
      </c>
      <c r="C23" t="str">
        <f>"016"</f>
        <v>016</v>
      </c>
      <c r="D23" t="str">
        <f>"8080 9088 46x2 1-1"</f>
        <v>8080 9088 46x2 1-1</v>
      </c>
      <c r="E23" t="str">
        <f>"1084 Z"</f>
        <v>1084 Z</v>
      </c>
      <c r="H23" s="6">
        <v>657.76700000000005</v>
      </c>
      <c r="I23" s="6">
        <v>62.232999999999997</v>
      </c>
      <c r="J23" s="6">
        <v>524.79999999999995</v>
      </c>
      <c r="K23" s="6">
        <v>151.5</v>
      </c>
      <c r="L23" s="6">
        <v>2477280.8199999998</v>
      </c>
      <c r="M23" s="6">
        <v>39466</v>
      </c>
      <c r="N23" s="6"/>
      <c r="O23" s="5">
        <v>4</v>
      </c>
      <c r="P23" s="6">
        <v>1.2</v>
      </c>
      <c r="Q23" s="5">
        <v>16</v>
      </c>
      <c r="R23" s="6">
        <v>26.95</v>
      </c>
      <c r="V23" s="5">
        <v>33</v>
      </c>
      <c r="W23" s="6">
        <v>20.3</v>
      </c>
      <c r="AA23" s="5">
        <v>7</v>
      </c>
      <c r="AB23" s="6">
        <v>13.784000000000001</v>
      </c>
      <c r="AC23" s="5">
        <v>1</v>
      </c>
      <c r="AG23" s="5">
        <v>60</v>
      </c>
      <c r="AH23" s="6">
        <v>62.234000000000002</v>
      </c>
      <c r="AI23" s="5">
        <v>50</v>
      </c>
      <c r="AM23" s="5">
        <v>10</v>
      </c>
      <c r="AN23" s="6">
        <v>5.4169999999999998</v>
      </c>
      <c r="AR23" s="5">
        <v>19</v>
      </c>
      <c r="AS23" s="6">
        <v>9.6999999999999993</v>
      </c>
      <c r="AW23" s="5">
        <v>2</v>
      </c>
      <c r="AX23" s="6">
        <v>0.81699999999999995</v>
      </c>
      <c r="BB23" s="5">
        <v>2</v>
      </c>
      <c r="BC23" s="6">
        <v>4.367</v>
      </c>
    </row>
    <row r="24" spans="1:55">
      <c r="A24" t="str">
        <f t="shared" si="0"/>
        <v>2021/11/21.A 017 4040 10080 124 1-1 1192 Z</v>
      </c>
      <c r="B24" s="1" t="s">
        <v>217</v>
      </c>
      <c r="C24" t="str">
        <f>"017"</f>
        <v>017</v>
      </c>
      <c r="D24" t="str">
        <f>"4040 10080 124 1-1"</f>
        <v>4040 10080 124 1-1</v>
      </c>
      <c r="E24" t="str">
        <f>"1192 Z"</f>
        <v>1192 Z</v>
      </c>
      <c r="H24" s="6">
        <v>484.21699999999998</v>
      </c>
      <c r="I24" s="6">
        <v>235.78299999999999</v>
      </c>
      <c r="J24" s="6">
        <v>340.5</v>
      </c>
      <c r="K24" s="6">
        <v>109.1</v>
      </c>
      <c r="L24" s="6">
        <v>3138305.06</v>
      </c>
      <c r="M24" s="6">
        <v>29053</v>
      </c>
      <c r="N24" s="6"/>
      <c r="O24" s="5">
        <v>2</v>
      </c>
      <c r="P24" s="6">
        <v>3.4329999999999998</v>
      </c>
      <c r="Q24" s="5">
        <v>26</v>
      </c>
      <c r="R24" s="6">
        <v>82.966999999999999</v>
      </c>
      <c r="V24" s="5">
        <v>34</v>
      </c>
      <c r="W24" s="6">
        <v>38.9</v>
      </c>
      <c r="AA24" s="5">
        <v>3</v>
      </c>
      <c r="AB24" s="6">
        <v>110.483</v>
      </c>
      <c r="AC24" s="5">
        <v>0</v>
      </c>
      <c r="AG24" s="5">
        <v>65</v>
      </c>
      <c r="AH24" s="6">
        <v>235.78299999999999</v>
      </c>
      <c r="AI24" s="5">
        <v>60</v>
      </c>
      <c r="AM24" s="5">
        <v>6</v>
      </c>
      <c r="AN24" s="6">
        <v>7.05</v>
      </c>
      <c r="AR24" s="5">
        <v>14</v>
      </c>
      <c r="AS24" s="6">
        <v>13.217000000000001</v>
      </c>
      <c r="AW24" s="5">
        <v>12</v>
      </c>
      <c r="AX24" s="6">
        <v>15.7</v>
      </c>
      <c r="BB24" s="5">
        <v>2</v>
      </c>
      <c r="BC24" s="6">
        <v>2.9329999999999998</v>
      </c>
    </row>
    <row r="25" spans="1:55">
      <c r="A25" t="str">
        <f t="shared" si="0"/>
        <v>2021/11/21.A 018 4040 13079 67x59 4-1 1019 Z</v>
      </c>
      <c r="B25" s="1" t="s">
        <v>217</v>
      </c>
      <c r="C25" t="str">
        <f>"018"</f>
        <v>018</v>
      </c>
      <c r="D25" t="str">
        <f>"4040 13079 67x59 4-1"</f>
        <v>4040 13079 67x59 4-1</v>
      </c>
      <c r="E25" t="str">
        <f>"1019 Z"</f>
        <v>1019 Z</v>
      </c>
      <c r="H25" s="6">
        <v>642.20000000000005</v>
      </c>
      <c r="I25" s="6">
        <v>66.900000000000006</v>
      </c>
      <c r="J25" s="6">
        <v>418.1</v>
      </c>
      <c r="K25" s="6">
        <v>123.9</v>
      </c>
      <c r="L25" s="6">
        <v>3500246.88</v>
      </c>
      <c r="M25" s="6">
        <v>38532</v>
      </c>
      <c r="N25" s="6"/>
      <c r="O25" s="5">
        <v>5</v>
      </c>
      <c r="P25" s="6">
        <v>2.383</v>
      </c>
      <c r="Q25" s="5">
        <v>13</v>
      </c>
      <c r="R25" s="6">
        <v>26.733000000000001</v>
      </c>
      <c r="V25" s="5">
        <v>35</v>
      </c>
      <c r="W25" s="6">
        <v>32.082999999999998</v>
      </c>
      <c r="AA25" s="5">
        <v>6</v>
      </c>
      <c r="AB25" s="6">
        <v>5.7</v>
      </c>
      <c r="AC25" s="5">
        <v>0</v>
      </c>
      <c r="AG25" s="5">
        <v>59</v>
      </c>
      <c r="AH25" s="6">
        <v>66.899000000000001</v>
      </c>
      <c r="AI25" s="5">
        <v>48</v>
      </c>
      <c r="AM25" s="5">
        <v>19</v>
      </c>
      <c r="AN25" s="6">
        <v>16.233000000000001</v>
      </c>
      <c r="AR25" s="5">
        <v>16</v>
      </c>
      <c r="AS25" s="6">
        <v>15.5</v>
      </c>
      <c r="AW25" s="5">
        <v>0</v>
      </c>
      <c r="AX25" s="6">
        <v>0</v>
      </c>
      <c r="BB25" s="5">
        <v>0</v>
      </c>
      <c r="BC25" s="6">
        <v>0.35</v>
      </c>
    </row>
    <row r="26" spans="1:55">
      <c r="A26" t="str">
        <f t="shared" si="0"/>
        <v>2021/11/21.A 019 4040 13079 67x59 4-1 1157 Z</v>
      </c>
      <c r="B26" s="1" t="s">
        <v>217</v>
      </c>
      <c r="C26" t="str">
        <f>"019"</f>
        <v>019</v>
      </c>
      <c r="D26" t="str">
        <f>"4040 13079 67x59 4-1"</f>
        <v>4040 13079 67x59 4-1</v>
      </c>
      <c r="E26" t="str">
        <f>"1157 Z"</f>
        <v>1157 Z</v>
      </c>
      <c r="H26" s="6">
        <v>615.18299999999999</v>
      </c>
      <c r="I26" s="6">
        <v>104.81699999999999</v>
      </c>
      <c r="J26" s="6">
        <v>417.1</v>
      </c>
      <c r="K26" s="6">
        <v>134.1</v>
      </c>
      <c r="L26" s="6">
        <v>3756801.58</v>
      </c>
      <c r="M26" s="6">
        <v>36911</v>
      </c>
      <c r="N26" s="6"/>
      <c r="O26" s="5">
        <v>6</v>
      </c>
      <c r="P26" s="6">
        <v>6.5</v>
      </c>
      <c r="Q26" s="5">
        <v>15</v>
      </c>
      <c r="R26" s="6">
        <v>50.517000000000003</v>
      </c>
      <c r="V26" s="5">
        <v>39</v>
      </c>
      <c r="W26" s="6">
        <v>33.6</v>
      </c>
      <c r="AA26" s="5">
        <v>8</v>
      </c>
      <c r="AB26" s="6">
        <v>14.2</v>
      </c>
      <c r="AC26" s="5">
        <v>0</v>
      </c>
      <c r="AG26" s="5">
        <v>68</v>
      </c>
      <c r="AH26" s="6">
        <v>104.81699999999999</v>
      </c>
      <c r="AI26" s="5">
        <v>54</v>
      </c>
      <c r="AM26" s="5">
        <v>20</v>
      </c>
      <c r="AN26" s="6">
        <v>17.617000000000001</v>
      </c>
      <c r="AR26" s="5">
        <v>16</v>
      </c>
      <c r="AS26" s="6">
        <v>13.05</v>
      </c>
      <c r="AW26" s="5">
        <v>1</v>
      </c>
      <c r="AX26" s="6">
        <v>0.53300000000000003</v>
      </c>
      <c r="BB26" s="5">
        <v>2</v>
      </c>
      <c r="BC26" s="6">
        <v>2.4</v>
      </c>
    </row>
    <row r="27" spans="1:55">
      <c r="A27" t="str">
        <f t="shared" si="0"/>
        <v>2021/11/21.A 020 6060 18587 126 4-1 1002 Z</v>
      </c>
      <c r="B27" s="1" t="s">
        <v>217</v>
      </c>
      <c r="C27" t="str">
        <f>"020"</f>
        <v>020</v>
      </c>
      <c r="D27" t="str">
        <f>"6060 18587 126 4-1"</f>
        <v>6060 18587 126 4-1</v>
      </c>
      <c r="E27" t="str">
        <f>"1002 Z"</f>
        <v>1002 Z</v>
      </c>
      <c r="H27" s="6">
        <v>470.43299999999999</v>
      </c>
      <c r="I27" s="6">
        <v>249.56700000000001</v>
      </c>
      <c r="J27" s="6">
        <v>280.8</v>
      </c>
      <c r="K27" s="6">
        <v>82</v>
      </c>
      <c r="L27" s="6">
        <v>2427153.7400000002</v>
      </c>
      <c r="M27" s="6">
        <v>28226</v>
      </c>
      <c r="N27" s="6"/>
      <c r="O27" s="5">
        <v>4</v>
      </c>
      <c r="P27" s="6">
        <v>10.782999999999999</v>
      </c>
      <c r="Q27" s="5">
        <v>59</v>
      </c>
      <c r="R27" s="6">
        <v>167.03299999999999</v>
      </c>
      <c r="V27" s="5">
        <v>72</v>
      </c>
      <c r="W27" s="6">
        <v>65.683000000000007</v>
      </c>
      <c r="AA27" s="5">
        <v>8</v>
      </c>
      <c r="AB27" s="6">
        <v>6.0670000000000002</v>
      </c>
      <c r="AC27" s="5">
        <v>0</v>
      </c>
      <c r="AG27" s="5">
        <v>143</v>
      </c>
      <c r="AH27" s="6">
        <v>249.566</v>
      </c>
      <c r="AI27" s="5">
        <v>131</v>
      </c>
      <c r="AM27" s="5">
        <v>29</v>
      </c>
      <c r="AN27" s="6">
        <v>23.05</v>
      </c>
      <c r="AR27" s="5">
        <v>31</v>
      </c>
      <c r="AS27" s="6">
        <v>30.15</v>
      </c>
      <c r="AW27" s="5">
        <v>10</v>
      </c>
      <c r="AX27" s="6">
        <v>9.4329999999999998</v>
      </c>
      <c r="BB27" s="5">
        <v>2</v>
      </c>
      <c r="BC27" s="6">
        <v>3.05</v>
      </c>
    </row>
    <row r="28" spans="1:55">
      <c r="A28" t="str">
        <f t="shared" si="0"/>
        <v>2021/11/21.A 021 6060 18587 123 4-1 1161 R</v>
      </c>
      <c r="B28" s="1" t="s">
        <v>217</v>
      </c>
      <c r="C28" t="str">
        <f>"021"</f>
        <v>021</v>
      </c>
      <c r="D28" t="str">
        <f>"6060 18587 123 4-1"</f>
        <v>6060 18587 123 4-1</v>
      </c>
      <c r="E28" t="str">
        <f>"1161 R"</f>
        <v>1161 R</v>
      </c>
      <c r="H28" s="6">
        <v>603.76700000000005</v>
      </c>
      <c r="I28" s="6">
        <v>116.233</v>
      </c>
      <c r="J28" s="6">
        <v>389.7</v>
      </c>
      <c r="K28" s="6">
        <v>113.8</v>
      </c>
      <c r="L28" s="6">
        <v>3358874.72</v>
      </c>
      <c r="M28" s="6">
        <v>36226</v>
      </c>
      <c r="N28" s="6"/>
      <c r="O28" s="5">
        <v>6</v>
      </c>
      <c r="P28" s="6">
        <v>6.4829999999999997</v>
      </c>
      <c r="Q28" s="5">
        <v>29</v>
      </c>
      <c r="R28" s="6">
        <v>62.9</v>
      </c>
      <c r="V28" s="5">
        <v>68</v>
      </c>
      <c r="W28" s="6">
        <v>39</v>
      </c>
      <c r="AA28" s="5">
        <v>10</v>
      </c>
      <c r="AB28" s="6">
        <v>7.85</v>
      </c>
      <c r="AC28" s="5">
        <v>0</v>
      </c>
      <c r="AG28" s="5">
        <v>113</v>
      </c>
      <c r="AH28" s="6">
        <v>116.233</v>
      </c>
      <c r="AI28" s="5">
        <v>97</v>
      </c>
      <c r="AM28" s="5">
        <v>22</v>
      </c>
      <c r="AN28" s="6">
        <v>10.85</v>
      </c>
      <c r="AR28" s="5">
        <v>44</v>
      </c>
      <c r="AS28" s="6">
        <v>27.183</v>
      </c>
      <c r="AW28" s="5">
        <v>1</v>
      </c>
      <c r="AX28" s="6">
        <v>0.76700000000000002</v>
      </c>
      <c r="BB28" s="5">
        <v>1</v>
      </c>
      <c r="BC28" s="6">
        <v>0.2</v>
      </c>
    </row>
    <row r="29" spans="1:55">
      <c r="A29" t="str">
        <f t="shared" si="0"/>
        <v>2021/11/21.A 022 6060 18587 126 4-1 1154 Z</v>
      </c>
      <c r="B29" s="1" t="s">
        <v>217</v>
      </c>
      <c r="C29" t="str">
        <f>"022"</f>
        <v>022</v>
      </c>
      <c r="D29" t="str">
        <f>"6060 18587 126 4-1"</f>
        <v>6060 18587 126 4-1</v>
      </c>
      <c r="E29" t="str">
        <f>"1154 Z"</f>
        <v>1154 Z</v>
      </c>
      <c r="H29" s="6">
        <v>582.65</v>
      </c>
      <c r="I29" s="6">
        <v>137.35</v>
      </c>
      <c r="J29" s="6">
        <v>376</v>
      </c>
      <c r="K29" s="6">
        <v>109.8</v>
      </c>
      <c r="L29" s="6">
        <v>3188959.98</v>
      </c>
      <c r="M29" s="6">
        <v>34959</v>
      </c>
      <c r="N29" s="6"/>
      <c r="O29" s="5">
        <v>4</v>
      </c>
      <c r="P29" s="6">
        <v>12.217000000000001</v>
      </c>
      <c r="Q29" s="5">
        <v>33</v>
      </c>
      <c r="R29" s="6">
        <v>75.082999999999998</v>
      </c>
      <c r="V29" s="5">
        <v>65</v>
      </c>
      <c r="W29" s="6">
        <v>46.917000000000002</v>
      </c>
      <c r="AA29" s="5">
        <v>1</v>
      </c>
      <c r="AB29" s="6">
        <v>3.133</v>
      </c>
      <c r="AC29" s="5">
        <v>0</v>
      </c>
      <c r="AG29" s="5">
        <v>103</v>
      </c>
      <c r="AH29" s="6">
        <v>137.35</v>
      </c>
      <c r="AI29" s="5">
        <v>98</v>
      </c>
      <c r="AM29" s="5">
        <v>24</v>
      </c>
      <c r="AN29" s="6">
        <v>15.25</v>
      </c>
      <c r="AR29" s="5">
        <v>26</v>
      </c>
      <c r="AS29" s="6">
        <v>18.850000000000001</v>
      </c>
      <c r="AW29" s="5">
        <v>3</v>
      </c>
      <c r="AX29" s="6">
        <v>2.133</v>
      </c>
      <c r="BB29" s="5">
        <v>12</v>
      </c>
      <c r="BC29" s="6">
        <v>10.683</v>
      </c>
    </row>
    <row r="30" spans="1:55">
      <c r="A30" t="str">
        <f t="shared" si="0"/>
        <v>2021/11/21.A 023 6060 18587 126 4-1 1028 Z</v>
      </c>
      <c r="B30" s="1" t="s">
        <v>217</v>
      </c>
      <c r="C30" t="str">
        <f>"023"</f>
        <v>023</v>
      </c>
      <c r="D30" t="str">
        <f>"6060 18587 126 4-1"</f>
        <v>6060 18587 126 4-1</v>
      </c>
      <c r="E30" t="str">
        <f>"1028 Z"</f>
        <v>1028 Z</v>
      </c>
      <c r="H30" s="6">
        <v>590.73299999999995</v>
      </c>
      <c r="I30" s="6">
        <v>129.267</v>
      </c>
      <c r="J30" s="6">
        <v>353.8</v>
      </c>
      <c r="K30" s="6">
        <v>103.3</v>
      </c>
      <c r="L30" s="6">
        <v>3352647.96</v>
      </c>
      <c r="M30" s="6">
        <v>35444</v>
      </c>
      <c r="N30" s="6"/>
      <c r="O30" s="5">
        <v>3</v>
      </c>
      <c r="P30" s="6">
        <v>1.2</v>
      </c>
      <c r="Q30" s="5">
        <v>48</v>
      </c>
      <c r="R30" s="6">
        <v>94.016999999999996</v>
      </c>
      <c r="V30" s="5">
        <v>53</v>
      </c>
      <c r="W30" s="6">
        <v>34.049999999999997</v>
      </c>
      <c r="AA30" s="5">
        <v>0</v>
      </c>
      <c r="AB30" s="6">
        <v>0</v>
      </c>
      <c r="AC30" s="5">
        <v>0</v>
      </c>
      <c r="AG30" s="5">
        <v>104</v>
      </c>
      <c r="AH30" s="6">
        <v>129.267</v>
      </c>
      <c r="AI30" s="5">
        <v>101</v>
      </c>
      <c r="AM30" s="5">
        <v>20</v>
      </c>
      <c r="AN30" s="6">
        <v>16.399999999999999</v>
      </c>
      <c r="AR30" s="5">
        <v>33</v>
      </c>
      <c r="AS30" s="6">
        <v>17.567</v>
      </c>
      <c r="AW30" s="5">
        <v>0</v>
      </c>
      <c r="AX30" s="6">
        <v>0</v>
      </c>
      <c r="BB30" s="5">
        <v>0</v>
      </c>
      <c r="BC30" s="6">
        <v>8.3000000000000004E-2</v>
      </c>
    </row>
    <row r="31" spans="1:55">
      <c r="A31" t="str">
        <f t="shared" si="0"/>
        <v>2021/11/21.A 024 6060 18587 123 4-1 1044 R</v>
      </c>
      <c r="B31" s="1" t="s">
        <v>217</v>
      </c>
      <c r="C31" t="str">
        <f>"024"</f>
        <v>024</v>
      </c>
      <c r="D31" t="str">
        <f>"6060 18587 123 4-1"</f>
        <v>6060 18587 123 4-1</v>
      </c>
      <c r="E31" t="str">
        <f>"1044 R"</f>
        <v>1044 R</v>
      </c>
      <c r="H31" s="6">
        <v>576.91700000000003</v>
      </c>
      <c r="I31" s="6">
        <v>143.083</v>
      </c>
      <c r="J31" s="6">
        <v>369.6</v>
      </c>
      <c r="K31" s="6">
        <v>107.9</v>
      </c>
      <c r="L31" s="6">
        <v>3165887.9</v>
      </c>
      <c r="M31" s="6">
        <v>34615</v>
      </c>
      <c r="N31" s="6"/>
      <c r="O31" s="5">
        <v>3</v>
      </c>
      <c r="P31" s="6">
        <v>1.2669999999999999</v>
      </c>
      <c r="Q31" s="5">
        <v>38</v>
      </c>
      <c r="R31" s="6">
        <v>73.099999999999994</v>
      </c>
      <c r="V31" s="5">
        <v>67</v>
      </c>
      <c r="W31" s="6">
        <v>66.617000000000004</v>
      </c>
      <c r="AA31" s="5">
        <v>1</v>
      </c>
      <c r="AB31" s="6">
        <v>2.1</v>
      </c>
      <c r="AC31" s="5">
        <v>0</v>
      </c>
      <c r="AG31" s="5">
        <v>109</v>
      </c>
      <c r="AH31" s="6">
        <v>143.084</v>
      </c>
      <c r="AI31" s="5">
        <v>105</v>
      </c>
      <c r="AM31" s="5">
        <v>28</v>
      </c>
      <c r="AN31" s="6">
        <v>20</v>
      </c>
      <c r="AR31" s="5">
        <v>10</v>
      </c>
      <c r="AS31" s="6">
        <v>4.5330000000000004</v>
      </c>
      <c r="AW31" s="5">
        <v>28</v>
      </c>
      <c r="AX31" s="6">
        <v>41.7</v>
      </c>
      <c r="BB31" s="5">
        <v>1</v>
      </c>
      <c r="BC31" s="6">
        <v>0.38300000000000001</v>
      </c>
    </row>
    <row r="32" spans="1:55">
      <c r="A32" t="str">
        <f t="shared" si="0"/>
        <v>2021/11/21.A 25 4040 10080 124 1-1 1169 Z</v>
      </c>
      <c r="B32" s="1" t="s">
        <v>217</v>
      </c>
      <c r="C32" t="str">
        <f>"25"</f>
        <v>25</v>
      </c>
      <c r="D32" t="str">
        <f>"4040 10080 124 1-1"</f>
        <v>4040 10080 124 1-1</v>
      </c>
      <c r="E32" t="str">
        <f>"1169 Z"</f>
        <v>1169 Z</v>
      </c>
      <c r="H32" s="6">
        <v>667.26700000000005</v>
      </c>
      <c r="I32" s="6">
        <v>52.732999999999997</v>
      </c>
      <c r="J32" s="6">
        <v>532.5</v>
      </c>
      <c r="K32" s="6">
        <v>170.1</v>
      </c>
      <c r="L32" s="6">
        <v>4628561.96</v>
      </c>
      <c r="M32" s="6">
        <v>40036</v>
      </c>
      <c r="N32" s="6"/>
      <c r="O32" s="5">
        <v>6</v>
      </c>
      <c r="P32" s="6">
        <v>3.0830000000000002</v>
      </c>
      <c r="Q32" s="5">
        <v>19</v>
      </c>
      <c r="R32" s="6">
        <v>26.817</v>
      </c>
      <c r="V32" s="5">
        <v>28</v>
      </c>
      <c r="W32" s="6">
        <v>20.582999999999998</v>
      </c>
      <c r="AA32" s="5">
        <v>2</v>
      </c>
      <c r="AB32" s="6">
        <v>2.25</v>
      </c>
      <c r="AC32" s="5">
        <v>0</v>
      </c>
      <c r="AG32" s="5">
        <v>55</v>
      </c>
      <c r="AH32" s="6">
        <v>52.732999999999997</v>
      </c>
      <c r="AI32" s="5">
        <v>47</v>
      </c>
      <c r="AM32" s="5">
        <v>20</v>
      </c>
      <c r="AN32" s="6">
        <v>15.2</v>
      </c>
      <c r="AR32" s="5">
        <v>4</v>
      </c>
      <c r="AS32" s="6">
        <v>2.383</v>
      </c>
      <c r="AW32" s="5">
        <v>2</v>
      </c>
      <c r="AX32" s="6">
        <v>1.633</v>
      </c>
      <c r="BB32" s="5">
        <v>2</v>
      </c>
      <c r="BC32" s="6">
        <v>1.367</v>
      </c>
    </row>
    <row r="33" spans="1:55">
      <c r="A33" t="str">
        <f t="shared" si="0"/>
        <v>2021/11/21.A 26 6060 173120 108 1170Z</v>
      </c>
      <c r="B33" s="1" t="s">
        <v>217</v>
      </c>
      <c r="C33" t="str">
        <f>"26"</f>
        <v>26</v>
      </c>
      <c r="D33" t="str">
        <f>"6060 173120 108"</f>
        <v>6060 173120 108</v>
      </c>
      <c r="E33" t="str">
        <f>"1170Z"</f>
        <v>1170Z</v>
      </c>
      <c r="H33" s="6">
        <v>543.63300000000004</v>
      </c>
      <c r="I33" s="6">
        <v>176.36699999999999</v>
      </c>
      <c r="J33" s="6">
        <v>271.5</v>
      </c>
      <c r="K33" s="6">
        <v>57.7</v>
      </c>
      <c r="L33" s="6">
        <v>1880427.7</v>
      </c>
      <c r="M33" s="6">
        <v>32618</v>
      </c>
      <c r="N33" s="6"/>
      <c r="O33" s="5">
        <v>8</v>
      </c>
      <c r="P33" s="6">
        <v>3.1</v>
      </c>
      <c r="Q33" s="5">
        <v>59</v>
      </c>
      <c r="R33" s="6">
        <v>119.35</v>
      </c>
      <c r="V33" s="5">
        <v>68</v>
      </c>
      <c r="W33" s="6">
        <v>53.917000000000002</v>
      </c>
      <c r="AA33" s="5">
        <v>0</v>
      </c>
      <c r="AB33" s="6">
        <v>0</v>
      </c>
      <c r="AC33" s="5">
        <v>0</v>
      </c>
      <c r="AG33" s="5">
        <v>135</v>
      </c>
      <c r="AH33" s="6">
        <v>176.36699999999999</v>
      </c>
      <c r="AI33" s="5">
        <v>127</v>
      </c>
      <c r="AM33" s="5">
        <v>32</v>
      </c>
      <c r="AN33" s="6">
        <v>21.966999999999999</v>
      </c>
      <c r="AR33" s="5">
        <v>32</v>
      </c>
      <c r="AS33" s="6">
        <v>26.283000000000001</v>
      </c>
      <c r="AW33" s="5">
        <v>1</v>
      </c>
      <c r="AX33" s="6">
        <v>1.6830000000000001</v>
      </c>
      <c r="BB33" s="5">
        <v>3</v>
      </c>
      <c r="BC33" s="6">
        <v>3.9830000000000001</v>
      </c>
    </row>
    <row r="34" spans="1:55">
      <c r="A34" t="str">
        <f t="shared" si="0"/>
        <v>2021/11/21.A 27 4040 10080 124 1-1 1016 Z</v>
      </c>
      <c r="B34" s="1" t="s">
        <v>217</v>
      </c>
      <c r="C34" t="str">
        <f>"27"</f>
        <v>27</v>
      </c>
      <c r="D34" t="str">
        <f>"4040 10080 124 1-1"</f>
        <v>4040 10080 124 1-1</v>
      </c>
      <c r="E34" t="str">
        <f>"1016 Z"</f>
        <v>1016 Z</v>
      </c>
      <c r="H34" s="6">
        <v>665.31700000000001</v>
      </c>
      <c r="I34" s="6">
        <v>54.683</v>
      </c>
      <c r="J34" s="6">
        <v>511.5</v>
      </c>
      <c r="K34" s="6">
        <v>163.5</v>
      </c>
      <c r="L34" s="6">
        <v>4178321.73</v>
      </c>
      <c r="M34" s="6">
        <v>39919</v>
      </c>
      <c r="N34" s="6"/>
      <c r="O34" s="5">
        <v>5</v>
      </c>
      <c r="P34" s="6">
        <v>1.633</v>
      </c>
      <c r="Q34" s="5">
        <v>23</v>
      </c>
      <c r="R34" s="6">
        <v>31.266999999999999</v>
      </c>
      <c r="V34" s="5">
        <v>33</v>
      </c>
      <c r="W34" s="6">
        <v>21.783000000000001</v>
      </c>
      <c r="AA34" s="5">
        <v>0</v>
      </c>
      <c r="AB34" s="6">
        <v>0</v>
      </c>
      <c r="AC34" s="5">
        <v>0</v>
      </c>
      <c r="AG34" s="5">
        <v>61</v>
      </c>
      <c r="AH34" s="6">
        <v>54.683</v>
      </c>
      <c r="AI34" s="5">
        <v>56</v>
      </c>
      <c r="AM34" s="5">
        <v>19</v>
      </c>
      <c r="AN34" s="6">
        <v>13.317</v>
      </c>
      <c r="AR34" s="5">
        <v>12</v>
      </c>
      <c r="AS34" s="6">
        <v>6.5670000000000002</v>
      </c>
      <c r="AW34" s="5">
        <v>1</v>
      </c>
      <c r="AX34" s="6">
        <v>0.7</v>
      </c>
      <c r="BB34" s="5">
        <v>1</v>
      </c>
      <c r="BC34" s="6">
        <v>1.2</v>
      </c>
    </row>
    <row r="35" spans="1:55">
      <c r="A35" t="str">
        <f t="shared" si="0"/>
        <v>2021/11/21.A 28 4040 11082 124 1-1 1040</v>
      </c>
      <c r="B35" s="1" t="s">
        <v>217</v>
      </c>
      <c r="C35" t="str">
        <f>"28"</f>
        <v>28</v>
      </c>
      <c r="D35" t="str">
        <f>"4040 11082 124 1-1"</f>
        <v>4040 11082 124 1-1</v>
      </c>
      <c r="E35" t="str">
        <f>"1040"</f>
        <v>1040</v>
      </c>
      <c r="H35" s="6">
        <v>645.76700000000005</v>
      </c>
      <c r="I35" s="6">
        <v>74.233000000000004</v>
      </c>
      <c r="J35" s="6">
        <v>466.5</v>
      </c>
      <c r="K35" s="6">
        <v>146.30000000000001</v>
      </c>
      <c r="L35" s="6">
        <v>4066392.7</v>
      </c>
      <c r="M35" s="6">
        <v>38746</v>
      </c>
      <c r="N35" s="6"/>
      <c r="O35" s="5">
        <v>8</v>
      </c>
      <c r="P35" s="6">
        <v>6.3</v>
      </c>
      <c r="Q35" s="5">
        <v>22</v>
      </c>
      <c r="R35" s="6">
        <v>27.067</v>
      </c>
      <c r="V35" s="5">
        <v>47</v>
      </c>
      <c r="W35" s="6">
        <v>29.15</v>
      </c>
      <c r="AA35" s="5">
        <v>12</v>
      </c>
      <c r="AB35" s="6">
        <v>11.715999999999999</v>
      </c>
      <c r="AC35" s="5">
        <v>0</v>
      </c>
      <c r="AG35" s="5">
        <v>89</v>
      </c>
      <c r="AH35" s="6">
        <v>74.233000000000004</v>
      </c>
      <c r="AI35" s="5">
        <v>69</v>
      </c>
      <c r="AM35" s="5">
        <v>18</v>
      </c>
      <c r="AN35" s="6">
        <v>10.617000000000001</v>
      </c>
      <c r="AR35" s="5">
        <v>25</v>
      </c>
      <c r="AS35" s="6">
        <v>14.85</v>
      </c>
      <c r="AW35" s="5">
        <v>0</v>
      </c>
      <c r="AX35" s="6">
        <v>0.15</v>
      </c>
      <c r="BB35" s="5">
        <v>4</v>
      </c>
      <c r="BC35" s="6">
        <v>3.5329999999999999</v>
      </c>
    </row>
    <row r="36" spans="1:55">
      <c r="A36" t="str">
        <f t="shared" si="0"/>
        <v>2021/11/21.A 29 4040 10080 124 1-1 1196 Z</v>
      </c>
      <c r="B36" s="1" t="s">
        <v>217</v>
      </c>
      <c r="C36" t="str">
        <f>"29"</f>
        <v>29</v>
      </c>
      <c r="D36" t="str">
        <f>"4040 10080 124 1-1"</f>
        <v>4040 10080 124 1-1</v>
      </c>
      <c r="E36" t="str">
        <f>"1196 Z"</f>
        <v>1196 Z</v>
      </c>
      <c r="H36" s="6">
        <v>622.95000000000005</v>
      </c>
      <c r="I36" s="6">
        <v>97.05</v>
      </c>
      <c r="J36" s="6">
        <v>429</v>
      </c>
      <c r="K36" s="6">
        <v>138</v>
      </c>
      <c r="L36" s="6">
        <v>3633418.17</v>
      </c>
      <c r="M36" s="6">
        <v>37377</v>
      </c>
      <c r="N36" s="6"/>
      <c r="O36" s="5">
        <v>9</v>
      </c>
      <c r="P36" s="6">
        <v>5.35</v>
      </c>
      <c r="Q36" s="5">
        <v>35</v>
      </c>
      <c r="R36" s="6">
        <v>46.3</v>
      </c>
      <c r="V36" s="5">
        <v>42</v>
      </c>
      <c r="W36" s="6">
        <v>45.4</v>
      </c>
      <c r="AA36" s="5">
        <v>0</v>
      </c>
      <c r="AB36" s="6">
        <v>0</v>
      </c>
      <c r="AC36" s="5">
        <v>0</v>
      </c>
      <c r="AG36" s="5">
        <v>86</v>
      </c>
      <c r="AH36" s="6">
        <v>97.05</v>
      </c>
      <c r="AI36" s="5">
        <v>77</v>
      </c>
      <c r="AM36" s="5">
        <v>11</v>
      </c>
      <c r="AN36" s="6">
        <v>9.75</v>
      </c>
      <c r="AR36" s="5">
        <v>4</v>
      </c>
      <c r="AS36" s="6">
        <v>10.967000000000001</v>
      </c>
      <c r="AW36" s="5">
        <v>14</v>
      </c>
      <c r="AX36" s="6">
        <v>10.4</v>
      </c>
      <c r="BB36" s="5">
        <v>13</v>
      </c>
      <c r="BC36" s="6">
        <v>14.282999999999999</v>
      </c>
    </row>
    <row r="37" spans="1:55">
      <c r="A37" t="str">
        <f t="shared" si="0"/>
        <v>2021/11/21.A 30 6060 18587 126 4-1 1009 Z</v>
      </c>
      <c r="B37" s="1" t="s">
        <v>217</v>
      </c>
      <c r="C37" t="str">
        <f>"30"</f>
        <v>30</v>
      </c>
      <c r="D37" t="str">
        <f>"6060 18587 126 4-1"</f>
        <v>6060 18587 126 4-1</v>
      </c>
      <c r="E37" t="str">
        <f>"1009 Z"</f>
        <v>1009 Z</v>
      </c>
      <c r="H37" s="6">
        <v>572.51700000000005</v>
      </c>
      <c r="I37" s="6">
        <v>147.483</v>
      </c>
      <c r="J37" s="6">
        <v>342.3</v>
      </c>
      <c r="K37" s="6">
        <v>99.9</v>
      </c>
      <c r="L37" s="6">
        <v>3285329.64</v>
      </c>
      <c r="M37" s="6">
        <v>34351</v>
      </c>
      <c r="N37" s="6"/>
      <c r="O37" s="5">
        <v>5</v>
      </c>
      <c r="P37" s="6">
        <v>3.5329999999999999</v>
      </c>
      <c r="Q37" s="5">
        <v>57</v>
      </c>
      <c r="R37" s="6">
        <v>74.132999999999996</v>
      </c>
      <c r="V37" s="5">
        <v>113</v>
      </c>
      <c r="W37" s="6">
        <v>59.883000000000003</v>
      </c>
      <c r="AA37" s="5">
        <v>8</v>
      </c>
      <c r="AB37" s="6">
        <v>9.9329999999999998</v>
      </c>
      <c r="AC37" s="5">
        <v>0</v>
      </c>
      <c r="AG37" s="5">
        <v>183</v>
      </c>
      <c r="AH37" s="6">
        <v>147.482</v>
      </c>
      <c r="AI37" s="5">
        <v>170</v>
      </c>
      <c r="AM37" s="5">
        <v>45</v>
      </c>
      <c r="AN37" s="6">
        <v>25.1</v>
      </c>
      <c r="AR37" s="5">
        <v>66</v>
      </c>
      <c r="AS37" s="6">
        <v>34.183</v>
      </c>
      <c r="AW37" s="5">
        <v>2</v>
      </c>
      <c r="AX37" s="6">
        <v>0.6</v>
      </c>
      <c r="BB37" s="5">
        <v>0</v>
      </c>
      <c r="BC37" s="6">
        <v>0</v>
      </c>
    </row>
    <row r="38" spans="1:55">
      <c r="A38" t="str">
        <f t="shared" si="0"/>
        <v>2021/11/21.A 31 6060 135115 102 1-1 1060 Z</v>
      </c>
      <c r="B38" s="1" t="s">
        <v>217</v>
      </c>
      <c r="C38" t="str">
        <f>"31"</f>
        <v>31</v>
      </c>
      <c r="D38" t="str">
        <f>"6060 135115 102 1-1"</f>
        <v>6060 135115 102 1-1</v>
      </c>
      <c r="E38" t="str">
        <f>"1060 Z"</f>
        <v>1060 Z</v>
      </c>
      <c r="H38" s="6">
        <v>676.6</v>
      </c>
      <c r="I38" s="6">
        <v>43.4</v>
      </c>
      <c r="J38" s="6">
        <v>427.1</v>
      </c>
      <c r="K38" s="6">
        <v>95.6</v>
      </c>
      <c r="L38" s="6">
        <v>2494218.2400000002</v>
      </c>
      <c r="M38" s="6">
        <v>40596</v>
      </c>
      <c r="N38" s="6"/>
      <c r="O38" s="5">
        <v>5</v>
      </c>
      <c r="P38" s="6">
        <v>3.9169999999999998</v>
      </c>
      <c r="Q38" s="5">
        <v>6</v>
      </c>
      <c r="R38" s="6">
        <v>7.0670000000000002</v>
      </c>
      <c r="V38" s="5">
        <v>50</v>
      </c>
      <c r="W38" s="6">
        <v>27.5</v>
      </c>
      <c r="AA38" s="5">
        <v>5</v>
      </c>
      <c r="AB38" s="6">
        <v>4.9160000000000004</v>
      </c>
      <c r="AC38" s="5">
        <v>0</v>
      </c>
      <c r="AG38" s="5">
        <v>66</v>
      </c>
      <c r="AH38" s="6">
        <v>43.4</v>
      </c>
      <c r="AI38" s="5">
        <v>56</v>
      </c>
      <c r="AM38" s="5">
        <v>10</v>
      </c>
      <c r="AN38" s="6">
        <v>6.2169999999999996</v>
      </c>
      <c r="AR38" s="5">
        <v>29</v>
      </c>
      <c r="AS38" s="6">
        <v>13.083</v>
      </c>
      <c r="AW38" s="5">
        <v>11</v>
      </c>
      <c r="AX38" s="6">
        <v>5.55</v>
      </c>
      <c r="BB38" s="5">
        <v>0</v>
      </c>
      <c r="BC38" s="6">
        <v>2.65</v>
      </c>
    </row>
    <row r="39" spans="1:55">
      <c r="A39" t="str">
        <f t="shared" si="0"/>
        <v>2021/11/21.A 32 4040 14085 104 4-1 1080 Z</v>
      </c>
      <c r="B39" s="1" t="s">
        <v>217</v>
      </c>
      <c r="C39" t="str">
        <f>"32"</f>
        <v>32</v>
      </c>
      <c r="D39" t="str">
        <f>"4040 14085 104 4-1"</f>
        <v>4040 14085 104 4-1</v>
      </c>
      <c r="E39" t="str">
        <f>"1080 Z"</f>
        <v>1080 Z</v>
      </c>
      <c r="H39" s="6">
        <v>658.75</v>
      </c>
      <c r="I39" s="6">
        <v>61.25</v>
      </c>
      <c r="J39" s="6">
        <v>425.9</v>
      </c>
      <c r="K39" s="6">
        <v>128</v>
      </c>
      <c r="L39" s="6">
        <v>2782560</v>
      </c>
      <c r="M39" s="6">
        <v>39525</v>
      </c>
      <c r="N39" s="6"/>
      <c r="O39" s="5">
        <v>5</v>
      </c>
      <c r="P39" s="6">
        <v>5.0170000000000003</v>
      </c>
      <c r="Q39" s="5">
        <v>7</v>
      </c>
      <c r="R39" s="6">
        <v>11.45</v>
      </c>
      <c r="V39" s="5">
        <v>57</v>
      </c>
      <c r="W39" s="6">
        <v>39.183</v>
      </c>
      <c r="AA39" s="5">
        <v>4</v>
      </c>
      <c r="AB39" s="6">
        <v>5.6</v>
      </c>
      <c r="AC39" s="5">
        <v>1</v>
      </c>
      <c r="AG39" s="5">
        <v>73</v>
      </c>
      <c r="AH39" s="6">
        <v>61.25</v>
      </c>
      <c r="AI39" s="5">
        <v>65</v>
      </c>
      <c r="AM39" s="5">
        <v>19</v>
      </c>
      <c r="AN39" s="6">
        <v>14.882999999999999</v>
      </c>
      <c r="AR39" s="5">
        <v>36</v>
      </c>
      <c r="AS39" s="6">
        <v>23.582999999999998</v>
      </c>
      <c r="AW39" s="5">
        <v>2</v>
      </c>
      <c r="AX39" s="6">
        <v>0.71699999999999997</v>
      </c>
      <c r="BB39" s="5">
        <v>0</v>
      </c>
      <c r="BC39" s="6">
        <v>0</v>
      </c>
    </row>
    <row r="40" spans="1:55">
      <c r="A40" t="str">
        <f t="shared" ref="A40:A71" si="1">B40&amp;" "&amp;C40&amp;" "&amp;D40&amp;" "&amp;E40</f>
        <v>2021/11/21.A 33 4040 127121 106 2-1 1087 Z</v>
      </c>
      <c r="B40" s="1" t="s">
        <v>217</v>
      </c>
      <c r="C40" t="str">
        <f>"33"</f>
        <v>33</v>
      </c>
      <c r="D40" t="str">
        <f>"4040 127121 106 2-1"</f>
        <v>4040 127121 106 2-1</v>
      </c>
      <c r="E40" t="str">
        <f>"1087 Z"</f>
        <v>1087 Z</v>
      </c>
      <c r="H40" s="6">
        <v>675.75</v>
      </c>
      <c r="I40" s="6">
        <v>44.25</v>
      </c>
      <c r="J40" s="6">
        <v>414.4</v>
      </c>
      <c r="K40" s="6">
        <v>87.7</v>
      </c>
      <c r="L40" s="6">
        <v>2538117</v>
      </c>
      <c r="M40" s="6">
        <v>40545</v>
      </c>
      <c r="N40" s="6"/>
      <c r="O40" s="5">
        <v>4</v>
      </c>
      <c r="P40" s="6">
        <v>2.367</v>
      </c>
      <c r="Q40" s="5">
        <v>14</v>
      </c>
      <c r="R40" s="6">
        <v>17.3</v>
      </c>
      <c r="V40" s="5">
        <v>43</v>
      </c>
      <c r="W40" s="6">
        <v>23.283000000000001</v>
      </c>
      <c r="AA40" s="5">
        <v>1</v>
      </c>
      <c r="AB40" s="6">
        <v>1.3</v>
      </c>
      <c r="AC40" s="5">
        <v>0</v>
      </c>
      <c r="AG40" s="5">
        <v>62</v>
      </c>
      <c r="AH40" s="6">
        <v>44.25</v>
      </c>
      <c r="AI40" s="5">
        <v>57</v>
      </c>
      <c r="AM40" s="5">
        <v>25</v>
      </c>
      <c r="AN40" s="6">
        <v>13.667</v>
      </c>
      <c r="AR40" s="5">
        <v>16</v>
      </c>
      <c r="AS40" s="6">
        <v>9.25</v>
      </c>
      <c r="AW40" s="5">
        <v>1</v>
      </c>
      <c r="AX40" s="6">
        <v>0.2</v>
      </c>
      <c r="BB40" s="5">
        <v>1</v>
      </c>
      <c r="BC40" s="6">
        <v>0.16700000000000001</v>
      </c>
    </row>
    <row r="41" spans="1:55">
      <c r="A41" t="str">
        <f t="shared" si="1"/>
        <v>2021/11/21.A 34 8080 9088 46x2 1-1 1075 Z</v>
      </c>
      <c r="B41" s="1" t="s">
        <v>217</v>
      </c>
      <c r="C41" t="str">
        <f>"34"</f>
        <v>34</v>
      </c>
      <c r="D41" t="str">
        <f>"8080 9088 46x2 1-1"</f>
        <v>8080 9088 46x2 1-1</v>
      </c>
      <c r="E41" t="str">
        <f>"1075 Z"</f>
        <v>1075 Z</v>
      </c>
      <c r="H41" s="6">
        <v>667.81700000000001</v>
      </c>
      <c r="I41" s="6">
        <v>52.183</v>
      </c>
      <c r="J41" s="6">
        <v>539.5</v>
      </c>
      <c r="K41" s="6">
        <v>155.69999999999999</v>
      </c>
      <c r="L41" s="6">
        <v>2808035.52</v>
      </c>
      <c r="M41" s="6">
        <v>40069</v>
      </c>
      <c r="N41" s="6"/>
      <c r="O41" s="5">
        <v>3</v>
      </c>
      <c r="P41" s="6">
        <v>0.86699999999999999</v>
      </c>
      <c r="Q41" s="5">
        <v>11</v>
      </c>
      <c r="R41" s="6">
        <v>21.417000000000002</v>
      </c>
      <c r="V41" s="5">
        <v>27</v>
      </c>
      <c r="W41" s="6">
        <v>22.167000000000002</v>
      </c>
      <c r="AA41" s="5">
        <v>5</v>
      </c>
      <c r="AB41" s="6">
        <v>7.7329999999999997</v>
      </c>
      <c r="AC41" s="5">
        <v>1</v>
      </c>
      <c r="AG41" s="5">
        <v>46</v>
      </c>
      <c r="AH41" s="6">
        <v>52.183999999999997</v>
      </c>
      <c r="AI41" s="5">
        <v>39</v>
      </c>
      <c r="AM41" s="5">
        <v>9</v>
      </c>
      <c r="AN41" s="6">
        <v>4.95</v>
      </c>
      <c r="AR41" s="5">
        <v>10</v>
      </c>
      <c r="AS41" s="6">
        <v>4.367</v>
      </c>
      <c r="AW41" s="5">
        <v>4</v>
      </c>
      <c r="AX41" s="6">
        <v>4.867</v>
      </c>
      <c r="BB41" s="5">
        <v>4</v>
      </c>
      <c r="BC41" s="6">
        <v>7.9829999999999997</v>
      </c>
    </row>
    <row r="42" spans="1:55">
      <c r="A42" t="str">
        <f t="shared" si="1"/>
        <v>2021/11/21.A 35 3030 7674 72 1-1 1128 R</v>
      </c>
      <c r="B42" s="1" t="s">
        <v>217</v>
      </c>
      <c r="C42" t="str">
        <f>"35"</f>
        <v>35</v>
      </c>
      <c r="D42" t="str">
        <f>"3030 7674 72 1-1"</f>
        <v>3030 7674 72 1-1</v>
      </c>
      <c r="E42" t="str">
        <f>"1128 R"</f>
        <v>1128 R</v>
      </c>
      <c r="H42" s="6">
        <v>637.11699999999996</v>
      </c>
      <c r="I42" s="6">
        <v>82.882999999999996</v>
      </c>
      <c r="J42" s="6">
        <v>609.29999999999995</v>
      </c>
      <c r="K42" s="6">
        <v>212</v>
      </c>
      <c r="L42" s="6">
        <v>2489724.5099999998</v>
      </c>
      <c r="M42" s="6">
        <v>38227</v>
      </c>
      <c r="N42" s="6"/>
      <c r="O42" s="5">
        <v>6</v>
      </c>
      <c r="P42" s="6">
        <v>4.9169999999999998</v>
      </c>
      <c r="Q42" s="5">
        <v>23</v>
      </c>
      <c r="R42" s="6">
        <v>36.017000000000003</v>
      </c>
      <c r="V42" s="5">
        <v>39</v>
      </c>
      <c r="W42" s="6">
        <v>37.35</v>
      </c>
      <c r="AA42" s="5">
        <v>4</v>
      </c>
      <c r="AB42" s="6">
        <v>4.5999999999999996</v>
      </c>
      <c r="AC42" s="5">
        <v>0</v>
      </c>
      <c r="AG42" s="5">
        <v>72</v>
      </c>
      <c r="AH42" s="6">
        <v>82.884</v>
      </c>
      <c r="AI42" s="5">
        <v>62</v>
      </c>
      <c r="AM42" s="5">
        <v>22</v>
      </c>
      <c r="AN42" s="6">
        <v>16.233000000000001</v>
      </c>
      <c r="AR42" s="5">
        <v>11</v>
      </c>
      <c r="AS42" s="6">
        <v>7.383</v>
      </c>
      <c r="AW42" s="5">
        <v>0</v>
      </c>
      <c r="AX42" s="6">
        <v>0</v>
      </c>
      <c r="BB42" s="5">
        <v>6</v>
      </c>
      <c r="BC42" s="6">
        <v>13.733000000000001</v>
      </c>
    </row>
    <row r="43" spans="1:55">
      <c r="A43" t="str">
        <f t="shared" si="1"/>
        <v>2021/11/21.A 36 4040 11085 75 1-1 1138 Z</v>
      </c>
      <c r="B43" s="1" t="s">
        <v>217</v>
      </c>
      <c r="C43" t="str">
        <f>"36"</f>
        <v>36</v>
      </c>
      <c r="D43" t="str">
        <f>"4040 11085 75 1-1"</f>
        <v>4040 11085 75 1-1</v>
      </c>
      <c r="E43" t="str">
        <f>"1138 Z"</f>
        <v>1138 Z</v>
      </c>
      <c r="H43" s="6">
        <v>552.9</v>
      </c>
      <c r="I43" s="6">
        <v>167.1</v>
      </c>
      <c r="J43" s="6">
        <v>522.5</v>
      </c>
      <c r="K43" s="6">
        <v>158.4</v>
      </c>
      <c r="L43" s="6">
        <v>2448241.2000000002</v>
      </c>
      <c r="M43" s="6">
        <v>33174</v>
      </c>
      <c r="N43" s="6"/>
      <c r="O43" s="5">
        <v>5</v>
      </c>
      <c r="P43" s="6">
        <v>0.88300000000000001</v>
      </c>
      <c r="Q43" s="5">
        <v>30</v>
      </c>
      <c r="R43" s="6">
        <v>57.732999999999997</v>
      </c>
      <c r="V43" s="5">
        <v>25</v>
      </c>
      <c r="W43" s="6">
        <v>26.05</v>
      </c>
      <c r="AA43" s="5">
        <v>5</v>
      </c>
      <c r="AB43" s="6">
        <v>82.433999999999997</v>
      </c>
      <c r="AC43" s="5">
        <v>0</v>
      </c>
      <c r="AG43" s="5">
        <v>65</v>
      </c>
      <c r="AH43" s="6">
        <v>167.1</v>
      </c>
      <c r="AI43" s="5">
        <v>55</v>
      </c>
      <c r="AM43" s="5">
        <v>12</v>
      </c>
      <c r="AN43" s="6">
        <v>4.1500000000000004</v>
      </c>
      <c r="AR43" s="5">
        <v>12</v>
      </c>
      <c r="AS43" s="6">
        <v>21.516999999999999</v>
      </c>
      <c r="AW43" s="5">
        <v>0</v>
      </c>
      <c r="AX43" s="6">
        <v>0</v>
      </c>
      <c r="BB43" s="5">
        <v>1</v>
      </c>
      <c r="BC43" s="6">
        <v>0.38300000000000001</v>
      </c>
    </row>
    <row r="44" spans="1:55">
      <c r="A44" t="str">
        <f t="shared" si="1"/>
        <v>2021/11/21.A 37 4040 12776 77 4-1 1133 Z</v>
      </c>
      <c r="B44" s="1" t="s">
        <v>217</v>
      </c>
      <c r="C44" t="str">
        <f>"37"</f>
        <v>37</v>
      </c>
      <c r="D44" t="str">
        <f>"4040 12776 77 4-1"</f>
        <v>4040 12776 77 4-1</v>
      </c>
      <c r="E44" t="str">
        <f>"1133 Z"</f>
        <v>1133 Z</v>
      </c>
      <c r="H44" s="6">
        <v>645.71699999999998</v>
      </c>
      <c r="I44" s="6">
        <v>74.283000000000001</v>
      </c>
      <c r="J44" s="6">
        <v>603.4</v>
      </c>
      <c r="K44" s="6">
        <v>201.7</v>
      </c>
      <c r="L44" s="6">
        <v>2512096.12</v>
      </c>
      <c r="M44" s="6">
        <v>38743</v>
      </c>
      <c r="N44" s="6"/>
      <c r="O44" s="5">
        <v>6</v>
      </c>
      <c r="P44" s="6">
        <v>16.382999999999999</v>
      </c>
      <c r="Q44" s="5">
        <v>11</v>
      </c>
      <c r="R44" s="6">
        <v>16.399999999999999</v>
      </c>
      <c r="V44" s="5">
        <v>69</v>
      </c>
      <c r="W44" s="6">
        <v>40.633000000000003</v>
      </c>
      <c r="AA44" s="5">
        <v>4</v>
      </c>
      <c r="AB44" s="6">
        <v>0.86699999999999999</v>
      </c>
      <c r="AC44" s="5">
        <v>0</v>
      </c>
      <c r="AG44" s="5">
        <v>90</v>
      </c>
      <c r="AH44" s="6">
        <v>74.283000000000001</v>
      </c>
      <c r="AI44" s="5">
        <v>80</v>
      </c>
      <c r="AM44" s="5">
        <v>47</v>
      </c>
      <c r="AN44" s="6">
        <v>24.882999999999999</v>
      </c>
      <c r="AR44" s="5">
        <v>12</v>
      </c>
      <c r="AS44" s="6">
        <v>6.633</v>
      </c>
      <c r="AW44" s="5">
        <v>8</v>
      </c>
      <c r="AX44" s="6">
        <v>8.2829999999999995</v>
      </c>
      <c r="BB44" s="5">
        <v>2</v>
      </c>
      <c r="BC44" s="6">
        <v>0.83299999999999996</v>
      </c>
    </row>
    <row r="45" spans="1:55">
      <c r="A45" t="str">
        <f t="shared" si="1"/>
        <v>2021/11/21.A 38 4040 13079 59 4-1 03 Z</v>
      </c>
      <c r="B45" s="1" t="s">
        <v>217</v>
      </c>
      <c r="C45" t="str">
        <f>"38"</f>
        <v>38</v>
      </c>
      <c r="D45" t="str">
        <f>"4040 13079 59 4-1"</f>
        <v>4040 13079 59 4-1</v>
      </c>
      <c r="E45" t="str">
        <f>"03 Z"</f>
        <v>03 Z</v>
      </c>
      <c r="H45" s="6">
        <v>693.31700000000001</v>
      </c>
      <c r="I45" s="6">
        <v>26.683</v>
      </c>
      <c r="J45" s="6">
        <v>661.2</v>
      </c>
      <c r="K45" s="6">
        <v>212.6</v>
      </c>
      <c r="L45" s="6">
        <v>2417733.88</v>
      </c>
      <c r="M45" s="6">
        <v>41599</v>
      </c>
      <c r="N45" s="6"/>
      <c r="O45" s="5">
        <v>4</v>
      </c>
      <c r="P45" s="6">
        <v>1.417</v>
      </c>
      <c r="Q45" s="5">
        <v>5</v>
      </c>
      <c r="R45" s="6">
        <v>11.333</v>
      </c>
      <c r="V45" s="5">
        <v>15</v>
      </c>
      <c r="W45" s="6">
        <v>13.217000000000001</v>
      </c>
      <c r="AA45" s="5">
        <v>1</v>
      </c>
      <c r="AB45" s="6">
        <v>0.71699999999999997</v>
      </c>
      <c r="AC45" s="5">
        <v>0</v>
      </c>
      <c r="AG45" s="5">
        <v>25</v>
      </c>
      <c r="AH45" s="6">
        <v>26.684000000000001</v>
      </c>
      <c r="AI45" s="5">
        <v>20</v>
      </c>
      <c r="AM45" s="5">
        <v>5</v>
      </c>
      <c r="AN45" s="6">
        <v>4.7169999999999996</v>
      </c>
      <c r="AR45" s="5">
        <v>8</v>
      </c>
      <c r="AS45" s="6">
        <v>3.4830000000000001</v>
      </c>
      <c r="AW45" s="5">
        <v>1</v>
      </c>
      <c r="AX45" s="6">
        <v>0.46700000000000003</v>
      </c>
      <c r="BB45" s="5">
        <v>1</v>
      </c>
      <c r="BC45" s="6">
        <v>4.55</v>
      </c>
    </row>
    <row r="46" spans="1:55">
      <c r="A46" t="str">
        <f t="shared" si="1"/>
        <v>2021/11/21.A 39 4040 11083 123 1-1 1020 Z</v>
      </c>
      <c r="B46" s="1" t="s">
        <v>217</v>
      </c>
      <c r="C46" t="str">
        <f>"39"</f>
        <v>39</v>
      </c>
      <c r="D46" t="str">
        <f>"4040 11083 123 1-1"</f>
        <v>4040 11083 123 1-1</v>
      </c>
      <c r="E46" t="str">
        <f>"1020 Z"</f>
        <v>1020 Z</v>
      </c>
      <c r="H46" s="6">
        <v>593.95000000000005</v>
      </c>
      <c r="I46" s="6">
        <v>126.05</v>
      </c>
      <c r="J46" s="6">
        <v>471.7</v>
      </c>
      <c r="K46" s="6">
        <v>146.19999999999999</v>
      </c>
      <c r="L46" s="6">
        <v>4219777.17</v>
      </c>
      <c r="M46" s="6">
        <v>35637</v>
      </c>
      <c r="N46" s="6"/>
      <c r="O46" s="5">
        <v>7</v>
      </c>
      <c r="P46" s="6">
        <v>2.25</v>
      </c>
      <c r="Q46" s="5">
        <v>45</v>
      </c>
      <c r="R46" s="6">
        <v>79.766999999999996</v>
      </c>
      <c r="V46" s="5">
        <v>51</v>
      </c>
      <c r="W46" s="6">
        <v>37.817</v>
      </c>
      <c r="AA46" s="5">
        <v>8</v>
      </c>
      <c r="AB46" s="6">
        <v>6.2169999999999996</v>
      </c>
      <c r="AC46" s="5">
        <v>0</v>
      </c>
      <c r="AG46" s="5">
        <v>111</v>
      </c>
      <c r="AH46" s="6">
        <v>126.051</v>
      </c>
      <c r="AI46" s="5">
        <v>96</v>
      </c>
      <c r="AM46" s="5">
        <v>12</v>
      </c>
      <c r="AN46" s="6">
        <v>5.4669999999999996</v>
      </c>
      <c r="AR46" s="5">
        <v>27</v>
      </c>
      <c r="AS46" s="6">
        <v>21</v>
      </c>
      <c r="AW46" s="5">
        <v>5</v>
      </c>
      <c r="AX46" s="6">
        <v>4.117</v>
      </c>
      <c r="BB46" s="5">
        <v>7</v>
      </c>
      <c r="BC46" s="6">
        <v>7.2329999999999997</v>
      </c>
    </row>
    <row r="47" spans="1:55">
      <c r="A47" t="str">
        <f t="shared" si="1"/>
        <v>2021/11/21.A 40 6060173120110 dobby 1007 Z</v>
      </c>
      <c r="B47" s="1" t="s">
        <v>217</v>
      </c>
      <c r="C47" t="str">
        <f>"40"</f>
        <v>40</v>
      </c>
      <c r="D47" t="str">
        <f>"6060173120110 dobby"</f>
        <v>6060173120110 dobby</v>
      </c>
      <c r="E47" t="str">
        <f>"1007 Z"</f>
        <v>1007 Z</v>
      </c>
      <c r="H47" s="6">
        <v>635.29999999999995</v>
      </c>
      <c r="I47" s="6">
        <v>84.7</v>
      </c>
      <c r="J47" s="6">
        <v>317.7</v>
      </c>
      <c r="K47" s="6">
        <v>68.099999999999994</v>
      </c>
      <c r="L47" s="6">
        <v>2433834.2999999998</v>
      </c>
      <c r="M47" s="6">
        <v>38118</v>
      </c>
      <c r="N47" s="6"/>
      <c r="O47" s="5">
        <v>5</v>
      </c>
      <c r="P47" s="6">
        <v>2.133</v>
      </c>
      <c r="Q47" s="5">
        <v>22</v>
      </c>
      <c r="R47" s="6">
        <v>40.033000000000001</v>
      </c>
      <c r="V47" s="5">
        <v>57</v>
      </c>
      <c r="W47" s="6">
        <v>39.366999999999997</v>
      </c>
      <c r="AA47" s="5">
        <v>3</v>
      </c>
      <c r="AB47" s="6">
        <v>3.1669999999999998</v>
      </c>
      <c r="AC47" s="5">
        <v>0</v>
      </c>
      <c r="AG47" s="5">
        <v>87</v>
      </c>
      <c r="AH47" s="6">
        <v>84.7</v>
      </c>
      <c r="AI47" s="5">
        <v>79</v>
      </c>
      <c r="AM47" s="5">
        <v>22</v>
      </c>
      <c r="AN47" s="6">
        <v>11.217000000000001</v>
      </c>
      <c r="AR47" s="5">
        <v>33</v>
      </c>
      <c r="AS47" s="6">
        <v>24.817</v>
      </c>
      <c r="AW47" s="5">
        <v>0</v>
      </c>
      <c r="AX47" s="6">
        <v>0</v>
      </c>
      <c r="BB47" s="5">
        <v>2</v>
      </c>
      <c r="BC47" s="6">
        <v>3.3330000000000002</v>
      </c>
    </row>
    <row r="48" spans="1:55">
      <c r="A48" t="str">
        <f t="shared" si="1"/>
        <v>2021/11/21.A 41 4040 11083 123 1-1 1024 Z</v>
      </c>
      <c r="B48" s="1" t="s">
        <v>217</v>
      </c>
      <c r="C48" t="str">
        <f>"41"</f>
        <v>41</v>
      </c>
      <c r="D48" t="str">
        <f>"4040 11083 123 1-1"</f>
        <v>4040 11083 123 1-1</v>
      </c>
      <c r="E48" t="str">
        <f>"1024 Z"</f>
        <v>1024 Z</v>
      </c>
      <c r="H48" s="6">
        <v>670.86699999999996</v>
      </c>
      <c r="I48" s="6">
        <v>49.133000000000003</v>
      </c>
      <c r="J48" s="6">
        <v>531</v>
      </c>
      <c r="K48" s="6">
        <v>164.4</v>
      </c>
      <c r="L48" s="6">
        <v>4581080.12</v>
      </c>
      <c r="M48" s="6">
        <v>40252</v>
      </c>
      <c r="N48" s="6"/>
      <c r="O48" s="5">
        <v>7</v>
      </c>
      <c r="P48" s="6">
        <v>2.2170000000000001</v>
      </c>
      <c r="Q48" s="5">
        <v>15</v>
      </c>
      <c r="R48" s="6">
        <v>28.933</v>
      </c>
      <c r="V48" s="5">
        <v>19</v>
      </c>
      <c r="W48" s="6">
        <v>15.9</v>
      </c>
      <c r="AA48" s="5">
        <v>4</v>
      </c>
      <c r="AB48" s="6">
        <v>2.0830000000000002</v>
      </c>
      <c r="AC48" s="5">
        <v>0</v>
      </c>
      <c r="AG48" s="5">
        <v>45</v>
      </c>
      <c r="AH48" s="6">
        <v>49.133000000000003</v>
      </c>
      <c r="AI48" s="5">
        <v>34</v>
      </c>
      <c r="AM48" s="5">
        <v>6</v>
      </c>
      <c r="AN48" s="6">
        <v>3.8170000000000002</v>
      </c>
      <c r="AR48" s="5">
        <v>4</v>
      </c>
      <c r="AS48" s="6">
        <v>3.9</v>
      </c>
      <c r="AW48" s="5">
        <v>5</v>
      </c>
      <c r="AX48" s="6">
        <v>3.2669999999999999</v>
      </c>
      <c r="BB48" s="5">
        <v>4</v>
      </c>
      <c r="BC48" s="6">
        <v>4.9169999999999998</v>
      </c>
    </row>
    <row r="49" spans="1:55">
      <c r="A49" t="str">
        <f t="shared" si="1"/>
        <v>2021/11/21.A 42 4040 11082 124 1-1 1025 Z</v>
      </c>
      <c r="B49" s="1" t="s">
        <v>217</v>
      </c>
      <c r="C49" t="str">
        <f>"42"</f>
        <v>42</v>
      </c>
      <c r="D49" t="str">
        <f>"4040 11082 124 1-1"</f>
        <v>4040 11082 124 1-1</v>
      </c>
      <c r="E49" t="str">
        <f>"1025 Z"</f>
        <v>1025 Z</v>
      </c>
      <c r="H49" s="6">
        <v>559.03300000000002</v>
      </c>
      <c r="I49" s="6">
        <v>160.98400000000001</v>
      </c>
      <c r="J49" s="6">
        <v>437.9</v>
      </c>
      <c r="K49" s="6">
        <v>137.30000000000001</v>
      </c>
      <c r="L49" s="6">
        <v>3899257.5</v>
      </c>
      <c r="M49" s="6">
        <v>33542</v>
      </c>
      <c r="N49" s="6"/>
      <c r="O49" s="5">
        <v>16</v>
      </c>
      <c r="P49" s="6">
        <v>8.0670000000000002</v>
      </c>
      <c r="Q49" s="5">
        <v>28</v>
      </c>
      <c r="R49" s="6">
        <v>49.216999999999999</v>
      </c>
      <c r="V49" s="5">
        <v>69</v>
      </c>
      <c r="W49" s="6">
        <v>92.417000000000002</v>
      </c>
      <c r="AA49" s="5">
        <v>5</v>
      </c>
      <c r="AB49" s="6">
        <v>11.282999999999999</v>
      </c>
      <c r="AC49" s="5">
        <v>0</v>
      </c>
      <c r="AG49" s="5">
        <v>118</v>
      </c>
      <c r="AH49" s="6">
        <v>160.98400000000001</v>
      </c>
      <c r="AI49" s="5">
        <v>97</v>
      </c>
      <c r="AM49" s="5">
        <v>28</v>
      </c>
      <c r="AN49" s="6">
        <v>42.667000000000002</v>
      </c>
      <c r="AR49" s="5">
        <v>21</v>
      </c>
      <c r="AS49" s="6">
        <v>24.082999999999998</v>
      </c>
      <c r="AW49" s="5">
        <v>13</v>
      </c>
      <c r="AX49" s="6">
        <v>16.817</v>
      </c>
      <c r="BB49" s="5">
        <v>7</v>
      </c>
      <c r="BC49" s="6">
        <v>8.85</v>
      </c>
    </row>
    <row r="50" spans="1:55">
      <c r="A50" t="str">
        <f t="shared" si="1"/>
        <v>2021/11/21.A 43 6060 164113 128 1-1 1164</v>
      </c>
      <c r="B50" s="1" t="s">
        <v>217</v>
      </c>
      <c r="C50" t="str">
        <f>"43"</f>
        <v>43</v>
      </c>
      <c r="D50" t="str">
        <f>"6060 164113 128 1-1"</f>
        <v>6060 164113 128 1-1</v>
      </c>
      <c r="E50" t="str">
        <f>"1164"</f>
        <v>1164</v>
      </c>
      <c r="H50" s="6">
        <v>581.63300000000004</v>
      </c>
      <c r="I50" s="6">
        <v>138.38300000000001</v>
      </c>
      <c r="J50" s="6">
        <v>312.10000000000002</v>
      </c>
      <c r="K50" s="6">
        <v>71.099999999999994</v>
      </c>
      <c r="L50" s="6">
        <v>3275526.28</v>
      </c>
      <c r="M50" s="6">
        <v>34898</v>
      </c>
      <c r="N50" s="6"/>
      <c r="O50" s="5">
        <v>13</v>
      </c>
      <c r="P50" s="6">
        <v>24.332999999999998</v>
      </c>
      <c r="Q50" s="5">
        <v>17</v>
      </c>
      <c r="R50" s="6">
        <v>66.617000000000004</v>
      </c>
      <c r="V50" s="5">
        <v>44</v>
      </c>
      <c r="W50" s="6">
        <v>23.966999999999999</v>
      </c>
      <c r="AA50" s="5">
        <v>2</v>
      </c>
      <c r="AB50" s="6">
        <v>23.466000000000001</v>
      </c>
      <c r="AC50" s="5">
        <v>0</v>
      </c>
      <c r="AG50" s="5">
        <v>76</v>
      </c>
      <c r="AH50" s="6">
        <v>138.38300000000001</v>
      </c>
      <c r="AI50" s="5">
        <v>61</v>
      </c>
      <c r="AM50" s="5">
        <v>25</v>
      </c>
      <c r="AN50" s="6">
        <v>12</v>
      </c>
      <c r="AR50" s="5">
        <v>16</v>
      </c>
      <c r="AS50" s="6">
        <v>9</v>
      </c>
      <c r="AW50" s="5">
        <v>1</v>
      </c>
      <c r="AX50" s="6">
        <v>0.33300000000000002</v>
      </c>
      <c r="BB50" s="5">
        <v>2</v>
      </c>
      <c r="BC50" s="6">
        <v>2.633</v>
      </c>
    </row>
    <row r="51" spans="1:55">
      <c r="A51" t="str">
        <f t="shared" si="1"/>
        <v>2021/11/21.A 44 6060 18587 123 4-1 1172</v>
      </c>
      <c r="B51" s="1" t="s">
        <v>217</v>
      </c>
      <c r="C51" t="str">
        <f>"44"</f>
        <v>44</v>
      </c>
      <c r="D51" t="str">
        <f>"6060 18587 123 4-1"</f>
        <v>6060 18587 123 4-1</v>
      </c>
      <c r="E51" t="str">
        <f>"1172"</f>
        <v>1172</v>
      </c>
      <c r="H51" s="6">
        <v>599.01700000000005</v>
      </c>
      <c r="I51" s="6">
        <v>120.983</v>
      </c>
      <c r="J51" s="6">
        <v>366.2</v>
      </c>
      <c r="K51" s="6">
        <v>106.9</v>
      </c>
      <c r="L51" s="6">
        <v>3390314.53</v>
      </c>
      <c r="M51" s="6">
        <v>35941</v>
      </c>
      <c r="N51" s="6"/>
      <c r="O51" s="5">
        <v>5</v>
      </c>
      <c r="P51" s="6">
        <v>2.2330000000000001</v>
      </c>
      <c r="Q51" s="5">
        <v>41</v>
      </c>
      <c r="R51" s="6">
        <v>82.632999999999996</v>
      </c>
      <c r="V51" s="5">
        <v>44</v>
      </c>
      <c r="W51" s="6">
        <v>34.799999999999997</v>
      </c>
      <c r="AA51" s="5">
        <v>1</v>
      </c>
      <c r="AB51" s="6">
        <v>1.3169999999999999</v>
      </c>
      <c r="AC51" s="5">
        <v>0</v>
      </c>
      <c r="AG51" s="5">
        <v>91</v>
      </c>
      <c r="AH51" s="6">
        <v>120.983</v>
      </c>
      <c r="AI51" s="5">
        <v>85</v>
      </c>
      <c r="AM51" s="5">
        <v>21</v>
      </c>
      <c r="AN51" s="6">
        <v>17.567</v>
      </c>
      <c r="AR51" s="5">
        <v>20</v>
      </c>
      <c r="AS51" s="6">
        <v>14.8</v>
      </c>
      <c r="AW51" s="5">
        <v>2</v>
      </c>
      <c r="AX51" s="6">
        <v>1.5669999999999999</v>
      </c>
      <c r="BB51" s="5">
        <v>1</v>
      </c>
      <c r="BC51" s="6">
        <v>0.86699999999999999</v>
      </c>
    </row>
    <row r="52" spans="1:55">
      <c r="A52" t="str">
        <f t="shared" si="1"/>
        <v>2021/11/21.A 45 8080 8080 86 1-1 1073 Z</v>
      </c>
      <c r="B52" s="1" t="s">
        <v>217</v>
      </c>
      <c r="C52" t="str">
        <f>"45"</f>
        <v>45</v>
      </c>
      <c r="D52" t="str">
        <f>"8080 8080 86 1-1"</f>
        <v>8080 8080 86 1-1</v>
      </c>
      <c r="E52" t="str">
        <f>"1073 Z"</f>
        <v>1073 Z</v>
      </c>
      <c r="H52" s="6">
        <v>621.11699999999996</v>
      </c>
      <c r="I52" s="6">
        <v>98.882999999999996</v>
      </c>
      <c r="J52" s="6">
        <v>494.8</v>
      </c>
      <c r="K52" s="6">
        <v>157.19999999999999</v>
      </c>
      <c r="L52" s="6">
        <v>2381733.9700000002</v>
      </c>
      <c r="M52" s="6">
        <v>37267</v>
      </c>
      <c r="N52" s="6"/>
      <c r="O52" s="5">
        <v>3</v>
      </c>
      <c r="P52" s="6">
        <v>1.333</v>
      </c>
      <c r="Q52" s="5">
        <v>29</v>
      </c>
      <c r="R52" s="6">
        <v>53.35</v>
      </c>
      <c r="V52" s="5">
        <v>61</v>
      </c>
      <c r="W52" s="6">
        <v>37.933</v>
      </c>
      <c r="AA52" s="5">
        <v>6</v>
      </c>
      <c r="AB52" s="6">
        <v>6.2670000000000003</v>
      </c>
      <c r="AC52" s="5">
        <v>2</v>
      </c>
      <c r="AG52" s="5">
        <v>99</v>
      </c>
      <c r="AH52" s="6">
        <v>98.882999999999996</v>
      </c>
      <c r="AI52" s="5">
        <v>92</v>
      </c>
      <c r="AM52" s="5">
        <v>32</v>
      </c>
      <c r="AN52" s="6">
        <v>21.016999999999999</v>
      </c>
      <c r="AR52" s="5">
        <v>20</v>
      </c>
      <c r="AS52" s="6">
        <v>10.632999999999999</v>
      </c>
      <c r="AW52" s="5">
        <v>3</v>
      </c>
      <c r="AX52" s="6">
        <v>2.1829999999999998</v>
      </c>
      <c r="BB52" s="5">
        <v>6</v>
      </c>
      <c r="BC52" s="6">
        <v>4.0999999999999996</v>
      </c>
    </row>
    <row r="53" spans="1:55">
      <c r="A53" t="str">
        <f t="shared" si="1"/>
        <v>2021/11/21.A 46 4040 127121 106 2-1 1049 Z</v>
      </c>
      <c r="B53" s="1" t="s">
        <v>217</v>
      </c>
      <c r="C53" t="str">
        <f>"46"</f>
        <v>46</v>
      </c>
      <c r="D53" t="str">
        <f>"4040 127121 106 2-1"</f>
        <v>4040 127121 106 2-1</v>
      </c>
      <c r="E53" t="str">
        <f>"1049 Z"</f>
        <v>1049 Z</v>
      </c>
      <c r="H53" s="6">
        <v>660.46699999999998</v>
      </c>
      <c r="I53" s="6">
        <v>59.533000000000001</v>
      </c>
      <c r="J53" s="6">
        <v>408</v>
      </c>
      <c r="K53" s="6">
        <v>86.4</v>
      </c>
      <c r="L53" s="6">
        <v>2646754.12</v>
      </c>
      <c r="M53" s="6">
        <v>39628</v>
      </c>
      <c r="N53" s="6"/>
      <c r="O53" s="5">
        <v>7</v>
      </c>
      <c r="P53" s="6">
        <v>5.0830000000000002</v>
      </c>
      <c r="Q53" s="5">
        <v>21</v>
      </c>
      <c r="R53" s="6">
        <v>31.466999999999999</v>
      </c>
      <c r="V53" s="5">
        <v>26</v>
      </c>
      <c r="W53" s="6">
        <v>22.9</v>
      </c>
      <c r="AA53" s="5">
        <v>1</v>
      </c>
      <c r="AB53" s="6">
        <v>8.3000000000000004E-2</v>
      </c>
      <c r="AC53" s="5">
        <v>0</v>
      </c>
      <c r="AG53" s="5">
        <v>55</v>
      </c>
      <c r="AH53" s="6">
        <v>59.533000000000001</v>
      </c>
      <c r="AI53" s="5">
        <v>47</v>
      </c>
      <c r="AM53" s="5">
        <v>14</v>
      </c>
      <c r="AN53" s="6">
        <v>9.6</v>
      </c>
      <c r="AR53" s="5">
        <v>11</v>
      </c>
      <c r="AS53" s="6">
        <v>13.067</v>
      </c>
      <c r="AW53" s="5">
        <v>0</v>
      </c>
      <c r="AX53" s="6">
        <v>0</v>
      </c>
      <c r="BB53" s="5">
        <v>1</v>
      </c>
      <c r="BC53" s="6">
        <v>0.23300000000000001</v>
      </c>
    </row>
    <row r="54" spans="1:55">
      <c r="A54" t="str">
        <f t="shared" si="1"/>
        <v>2021/11/21.A 47 8080 10288 46x2 1-1 1071 Z</v>
      </c>
      <c r="B54" s="1" t="s">
        <v>217</v>
      </c>
      <c r="C54" t="str">
        <f>"47"</f>
        <v>47</v>
      </c>
      <c r="D54" t="str">
        <f>"8080 10288 46x2 1-1"</f>
        <v>8080 10288 46x2 1-1</v>
      </c>
      <c r="E54" t="str">
        <f>"1071 Z"</f>
        <v>1071 Z</v>
      </c>
      <c r="H54" s="6">
        <v>631.83299999999997</v>
      </c>
      <c r="I54" s="6">
        <v>88.167000000000002</v>
      </c>
      <c r="J54" s="6">
        <v>503.9</v>
      </c>
      <c r="K54" s="6">
        <v>145.4</v>
      </c>
      <c r="L54" s="6">
        <v>2341700.7000000002</v>
      </c>
      <c r="M54" s="6">
        <v>37910</v>
      </c>
      <c r="N54" s="6"/>
      <c r="O54" s="5">
        <v>8</v>
      </c>
      <c r="P54" s="6">
        <v>5.8</v>
      </c>
      <c r="Q54" s="5">
        <v>15</v>
      </c>
      <c r="R54" s="6">
        <v>30.3</v>
      </c>
      <c r="V54" s="5">
        <v>62</v>
      </c>
      <c r="W54" s="6">
        <v>42.866999999999997</v>
      </c>
      <c r="AA54" s="5">
        <v>11</v>
      </c>
      <c r="AB54" s="6">
        <v>9.1999999999999993</v>
      </c>
      <c r="AC54" s="5">
        <v>0</v>
      </c>
      <c r="AG54" s="5">
        <v>96</v>
      </c>
      <c r="AH54" s="6">
        <v>88.167000000000002</v>
      </c>
      <c r="AI54" s="5">
        <v>77</v>
      </c>
      <c r="AM54" s="5">
        <v>21</v>
      </c>
      <c r="AN54" s="6">
        <v>12.4</v>
      </c>
      <c r="AR54" s="5">
        <v>36</v>
      </c>
      <c r="AS54" s="6">
        <v>25.716999999999999</v>
      </c>
      <c r="AW54" s="5">
        <v>1</v>
      </c>
      <c r="AX54" s="6">
        <v>2.2330000000000001</v>
      </c>
      <c r="BB54" s="5">
        <v>4</v>
      </c>
      <c r="BC54" s="6">
        <v>2.5169999999999999</v>
      </c>
    </row>
    <row r="55" spans="1:55">
      <c r="A55" t="str">
        <f t="shared" si="1"/>
        <v>2021/11/21.A 48 8080 9088 46x2 1-1 1086 Z</v>
      </c>
      <c r="B55" s="1" t="s">
        <v>217</v>
      </c>
      <c r="C55" t="str">
        <f>"48"</f>
        <v>48</v>
      </c>
      <c r="D55" t="str">
        <f>"8080 9088 46x2 1-1"</f>
        <v>8080 9088 46x2 1-1</v>
      </c>
      <c r="E55" t="str">
        <f>"1086 Z"</f>
        <v>1086 Z</v>
      </c>
      <c r="H55" s="6">
        <v>610.18299999999999</v>
      </c>
      <c r="I55" s="6">
        <v>109.81699999999999</v>
      </c>
      <c r="J55" s="6">
        <v>443.3</v>
      </c>
      <c r="K55" s="6">
        <v>128</v>
      </c>
      <c r="L55" s="6">
        <v>2291116.38</v>
      </c>
      <c r="M55" s="6">
        <v>36611</v>
      </c>
      <c r="N55" s="6"/>
      <c r="O55" s="5">
        <v>4</v>
      </c>
      <c r="P55" s="6">
        <v>0.78300000000000003</v>
      </c>
      <c r="Q55" s="5">
        <v>26</v>
      </c>
      <c r="R55" s="6">
        <v>69.332999999999998</v>
      </c>
      <c r="V55" s="5">
        <v>37</v>
      </c>
      <c r="W55" s="6">
        <v>38.4</v>
      </c>
      <c r="AA55" s="5">
        <v>1</v>
      </c>
      <c r="AB55" s="6">
        <v>1.3</v>
      </c>
      <c r="AC55" s="5">
        <v>0</v>
      </c>
      <c r="AG55" s="5">
        <v>68</v>
      </c>
      <c r="AH55" s="6">
        <v>109.816</v>
      </c>
      <c r="AI55" s="5">
        <v>63</v>
      </c>
      <c r="AM55" s="5">
        <v>21</v>
      </c>
      <c r="AN55" s="6">
        <v>20.317</v>
      </c>
      <c r="AR55" s="5">
        <v>15</v>
      </c>
      <c r="AS55" s="6">
        <v>16.783000000000001</v>
      </c>
      <c r="AW55" s="5">
        <v>1</v>
      </c>
      <c r="AX55" s="6">
        <v>1.3</v>
      </c>
      <c r="BB55" s="5">
        <v>0</v>
      </c>
      <c r="BC55" s="6">
        <v>0</v>
      </c>
    </row>
    <row r="56" spans="1:55">
      <c r="A56" t="str">
        <f t="shared" si="1"/>
        <v>2021/11/21.A 49 3030 7674 72 1-1 1116 R</v>
      </c>
      <c r="B56" s="1" t="s">
        <v>217</v>
      </c>
      <c r="C56" t="str">
        <f>"49"</f>
        <v>49</v>
      </c>
      <c r="D56" t="str">
        <f>"3030 7674 72 1-1"</f>
        <v>3030 7674 72 1-1</v>
      </c>
      <c r="E56" t="str">
        <f>"1116 R"</f>
        <v>1116 R</v>
      </c>
      <c r="H56" s="6">
        <v>670.48299999999995</v>
      </c>
      <c r="I56" s="6">
        <v>49.517000000000003</v>
      </c>
      <c r="J56" s="6">
        <v>641.70000000000005</v>
      </c>
      <c r="K56" s="6">
        <v>223.3</v>
      </c>
      <c r="L56" s="6">
        <v>2243973.62</v>
      </c>
      <c r="M56" s="6">
        <v>40229</v>
      </c>
      <c r="N56" s="6"/>
      <c r="O56" s="5">
        <v>5</v>
      </c>
      <c r="P56" s="6">
        <v>1.2829999999999999</v>
      </c>
      <c r="Q56" s="5">
        <v>14</v>
      </c>
      <c r="R56" s="6">
        <v>22.25</v>
      </c>
      <c r="V56" s="5">
        <v>21</v>
      </c>
      <c r="W56" s="6">
        <v>20.966999999999999</v>
      </c>
      <c r="AA56" s="5">
        <v>4</v>
      </c>
      <c r="AB56" s="6">
        <v>5.0170000000000003</v>
      </c>
      <c r="AC56" s="5">
        <v>0</v>
      </c>
      <c r="AG56" s="5">
        <v>44</v>
      </c>
      <c r="AH56" s="6">
        <v>49.517000000000003</v>
      </c>
      <c r="AI56" s="5">
        <v>35</v>
      </c>
      <c r="AM56" s="5">
        <v>8</v>
      </c>
      <c r="AN56" s="6">
        <v>8.85</v>
      </c>
      <c r="AR56" s="5">
        <v>6</v>
      </c>
      <c r="AS56" s="6">
        <v>3.9169999999999998</v>
      </c>
      <c r="AW56" s="5">
        <v>6</v>
      </c>
      <c r="AX56" s="6">
        <v>7.7329999999999997</v>
      </c>
      <c r="BB56" s="5">
        <v>1</v>
      </c>
      <c r="BC56" s="6">
        <v>0.46700000000000003</v>
      </c>
    </row>
    <row r="57" spans="1:55">
      <c r="A57" t="str">
        <f t="shared" si="1"/>
        <v>2021/11/21.A 50 6060 135115 65 1-1 06 R</v>
      </c>
      <c r="B57" s="1" t="s">
        <v>217</v>
      </c>
      <c r="C57" t="str">
        <f>"50"</f>
        <v>50</v>
      </c>
      <c r="D57" t="str">
        <f>"6060 135115 65 1-1"</f>
        <v>6060 135115 65 1-1</v>
      </c>
      <c r="E57" t="str">
        <f>"06 R"</f>
        <v>06 R</v>
      </c>
      <c r="H57" s="6">
        <v>642.23299999999995</v>
      </c>
      <c r="I57" s="6">
        <v>77.766999999999996</v>
      </c>
      <c r="J57" s="6">
        <v>607.79999999999995</v>
      </c>
      <c r="K57" s="6">
        <v>136</v>
      </c>
      <c r="L57" s="6">
        <v>2065807.74</v>
      </c>
      <c r="M57" s="6">
        <v>38534</v>
      </c>
      <c r="N57" s="6"/>
      <c r="O57" s="5">
        <v>7</v>
      </c>
      <c r="P57" s="6">
        <v>1.5669999999999999</v>
      </c>
      <c r="Q57" s="5">
        <v>10</v>
      </c>
      <c r="R57" s="6">
        <v>36.799999999999997</v>
      </c>
      <c r="V57" s="5">
        <v>36</v>
      </c>
      <c r="W57" s="6">
        <v>31.317</v>
      </c>
      <c r="AA57" s="5">
        <v>5</v>
      </c>
      <c r="AB57" s="6">
        <v>8.0830000000000002</v>
      </c>
      <c r="AC57" s="5">
        <v>3</v>
      </c>
      <c r="AG57" s="5">
        <v>58</v>
      </c>
      <c r="AH57" s="6">
        <v>77.766999999999996</v>
      </c>
      <c r="AI57" s="5">
        <v>49</v>
      </c>
      <c r="AM57" s="5">
        <v>17</v>
      </c>
      <c r="AN57" s="6">
        <v>10.833</v>
      </c>
      <c r="AR57" s="5">
        <v>13</v>
      </c>
      <c r="AS57" s="6">
        <v>16.5</v>
      </c>
      <c r="AW57" s="5">
        <v>2</v>
      </c>
      <c r="AX57" s="6">
        <v>1.133</v>
      </c>
      <c r="BB57" s="5">
        <v>4</v>
      </c>
      <c r="BC57" s="6">
        <v>2.85</v>
      </c>
    </row>
    <row r="58" spans="1:55">
      <c r="A58" t="str">
        <f t="shared" si="1"/>
        <v>2021/11/21.A 51 3030 7674 77 1-1 1122 R</v>
      </c>
      <c r="B58" s="1" t="s">
        <v>217</v>
      </c>
      <c r="C58" t="str">
        <f>"51"</f>
        <v>51</v>
      </c>
      <c r="D58" t="str">
        <f>"3030 7674 77 1-1"</f>
        <v>3030 7674 77 1-1</v>
      </c>
      <c r="E58" t="str">
        <f>"1122 R"</f>
        <v>1122 R</v>
      </c>
      <c r="H58" s="6">
        <v>634.79999999999995</v>
      </c>
      <c r="I58" s="6">
        <v>85.2</v>
      </c>
      <c r="J58" s="6">
        <v>604.70000000000005</v>
      </c>
      <c r="K58" s="6">
        <v>210.4</v>
      </c>
      <c r="L58" s="6">
        <v>2101314.96</v>
      </c>
      <c r="M58" s="6">
        <v>38088</v>
      </c>
      <c r="N58" s="6"/>
      <c r="O58" s="5">
        <v>5</v>
      </c>
      <c r="P58" s="6">
        <v>1.117</v>
      </c>
      <c r="Q58" s="5">
        <v>25</v>
      </c>
      <c r="R58" s="6">
        <v>51.6</v>
      </c>
      <c r="V58" s="5">
        <v>37</v>
      </c>
      <c r="W58" s="6">
        <v>30.35</v>
      </c>
      <c r="AA58" s="5">
        <v>4</v>
      </c>
      <c r="AB58" s="6">
        <v>2.133</v>
      </c>
      <c r="AC58" s="5">
        <v>0</v>
      </c>
      <c r="AG58" s="5">
        <v>71</v>
      </c>
      <c r="AH58" s="6">
        <v>85.2</v>
      </c>
      <c r="AI58" s="5">
        <v>62</v>
      </c>
      <c r="AM58" s="5">
        <v>25</v>
      </c>
      <c r="AN58" s="6">
        <v>18.216999999999999</v>
      </c>
      <c r="AR58" s="5">
        <v>6</v>
      </c>
      <c r="AS58" s="6">
        <v>6.7329999999999997</v>
      </c>
      <c r="AW58" s="5">
        <v>4</v>
      </c>
      <c r="AX58" s="6">
        <v>2.1669999999999998</v>
      </c>
      <c r="BB58" s="5">
        <v>2</v>
      </c>
      <c r="BC58" s="6">
        <v>3.2330000000000001</v>
      </c>
    </row>
    <row r="59" spans="1:55">
      <c r="A59" t="str">
        <f t="shared" si="1"/>
        <v>2021/11/21.A 52 3030 7674 72 1-1 1132 R</v>
      </c>
      <c r="B59" s="1" t="s">
        <v>217</v>
      </c>
      <c r="C59" t="str">
        <f>"52"</f>
        <v>52</v>
      </c>
      <c r="D59" t="str">
        <f>"3030 7674 72 1-1"</f>
        <v>3030 7674 72 1-1</v>
      </c>
      <c r="E59" t="str">
        <f>"1132 R"</f>
        <v>1132 R</v>
      </c>
      <c r="H59" s="6">
        <v>619.51700000000005</v>
      </c>
      <c r="I59" s="6">
        <v>100.483</v>
      </c>
      <c r="J59" s="6">
        <v>517.70000000000005</v>
      </c>
      <c r="K59" s="6">
        <v>180.2</v>
      </c>
      <c r="L59" s="6">
        <v>1784208</v>
      </c>
      <c r="M59" s="6">
        <v>37171</v>
      </c>
      <c r="N59" s="6"/>
      <c r="O59" s="5">
        <v>5</v>
      </c>
      <c r="P59" s="6">
        <v>1.65</v>
      </c>
      <c r="Q59" s="5">
        <v>20</v>
      </c>
      <c r="R59" s="6">
        <v>39.700000000000003</v>
      </c>
      <c r="V59" s="5">
        <v>50</v>
      </c>
      <c r="W59" s="6">
        <v>52.45</v>
      </c>
      <c r="AA59" s="5">
        <v>6</v>
      </c>
      <c r="AB59" s="6">
        <v>6.6829999999999998</v>
      </c>
      <c r="AC59" s="5">
        <v>1</v>
      </c>
      <c r="AG59" s="5">
        <v>81</v>
      </c>
      <c r="AH59" s="6">
        <v>100.483</v>
      </c>
      <c r="AI59" s="5">
        <v>71</v>
      </c>
      <c r="AM59" s="5">
        <v>25</v>
      </c>
      <c r="AN59" s="6">
        <v>23.45</v>
      </c>
      <c r="AR59" s="5">
        <v>17</v>
      </c>
      <c r="AS59" s="6">
        <v>23</v>
      </c>
      <c r="AW59" s="5">
        <v>1</v>
      </c>
      <c r="AX59" s="6">
        <v>0.76700000000000002</v>
      </c>
      <c r="BB59" s="5">
        <v>7</v>
      </c>
      <c r="BC59" s="6">
        <v>5.2329999999999997</v>
      </c>
    </row>
    <row r="60" spans="1:55">
      <c r="A60" t="str">
        <f t="shared" si="1"/>
        <v>2021/11/21.A 53 4040 11082 124 1-1 1039 R</v>
      </c>
      <c r="B60" s="1" t="s">
        <v>217</v>
      </c>
      <c r="C60" t="str">
        <f>"53"</f>
        <v>53</v>
      </c>
      <c r="D60" t="str">
        <f>"4040 11082 124 1-1"</f>
        <v>4040 11082 124 1-1</v>
      </c>
      <c r="E60" t="str">
        <f>"1039 R"</f>
        <v>1039 R</v>
      </c>
      <c r="H60" s="6">
        <v>635.73299999999995</v>
      </c>
      <c r="I60" s="6">
        <v>84.266999999999996</v>
      </c>
      <c r="J60" s="6">
        <v>494.6</v>
      </c>
      <c r="K60" s="6">
        <v>155.1</v>
      </c>
      <c r="L60" s="6">
        <v>4154644.48</v>
      </c>
      <c r="M60" s="6">
        <v>38144</v>
      </c>
      <c r="N60" s="6"/>
      <c r="O60" s="5">
        <v>9</v>
      </c>
      <c r="P60" s="6">
        <v>6.8</v>
      </c>
      <c r="Q60" s="5">
        <v>21</v>
      </c>
      <c r="R60" s="6">
        <v>32.200000000000003</v>
      </c>
      <c r="V60" s="5">
        <v>34</v>
      </c>
      <c r="W60" s="6">
        <v>24.95</v>
      </c>
      <c r="AA60" s="5">
        <v>17</v>
      </c>
      <c r="AB60" s="6">
        <v>20.317</v>
      </c>
      <c r="AC60" s="5">
        <v>0</v>
      </c>
      <c r="AG60" s="5">
        <v>81</v>
      </c>
      <c r="AH60" s="6">
        <v>84.266999999999996</v>
      </c>
      <c r="AI60" s="5">
        <v>55</v>
      </c>
      <c r="AM60" s="5">
        <v>19</v>
      </c>
      <c r="AN60" s="6">
        <v>15.382999999999999</v>
      </c>
      <c r="AR60" s="5">
        <v>10</v>
      </c>
      <c r="AS60" s="6">
        <v>4.9669999999999996</v>
      </c>
      <c r="AW60" s="5">
        <v>4</v>
      </c>
      <c r="AX60" s="6">
        <v>3.9670000000000001</v>
      </c>
      <c r="BB60" s="5">
        <v>1</v>
      </c>
      <c r="BC60" s="6">
        <v>0.63300000000000001</v>
      </c>
    </row>
    <row r="61" spans="1:55">
      <c r="A61" t="str">
        <f t="shared" si="1"/>
        <v>2021/11/21.A 54 4040 13079 67x59 4-1 1160 Z</v>
      </c>
      <c r="B61" s="1" t="s">
        <v>217</v>
      </c>
      <c r="C61" t="str">
        <f>"54"</f>
        <v>54</v>
      </c>
      <c r="D61" t="str">
        <f>"4040 13079 67x59 4-1"</f>
        <v>4040 13079 67x59 4-1</v>
      </c>
      <c r="E61" t="str">
        <f>"1160 Z"</f>
        <v>1160 Z</v>
      </c>
      <c r="H61" s="6">
        <v>370.15</v>
      </c>
      <c r="I61" s="6">
        <v>349.85</v>
      </c>
      <c r="J61" s="6">
        <v>215.3</v>
      </c>
      <c r="K61" s="6">
        <v>70.3</v>
      </c>
      <c r="L61" s="6">
        <v>2305960.4700000002</v>
      </c>
      <c r="M61" s="6">
        <v>22209</v>
      </c>
      <c r="N61" s="6"/>
      <c r="O61" s="5">
        <v>5</v>
      </c>
      <c r="P61" s="6">
        <v>52.582999999999998</v>
      </c>
      <c r="Q61" s="5">
        <v>41</v>
      </c>
      <c r="R61" s="6">
        <v>233.483</v>
      </c>
      <c r="V61" s="5">
        <v>29</v>
      </c>
      <c r="W61" s="6">
        <v>41.55</v>
      </c>
      <c r="AA61" s="5">
        <v>0</v>
      </c>
      <c r="AB61" s="6">
        <v>22.233000000000001</v>
      </c>
      <c r="AC61" s="5">
        <v>0</v>
      </c>
      <c r="AG61" s="5">
        <v>75</v>
      </c>
      <c r="AH61" s="6">
        <v>349.84899999999999</v>
      </c>
      <c r="AI61" s="5">
        <v>70</v>
      </c>
      <c r="AM61" s="5">
        <v>8</v>
      </c>
      <c r="AN61" s="6">
        <v>10.217000000000001</v>
      </c>
      <c r="AR61" s="5">
        <v>14</v>
      </c>
      <c r="AS61" s="6">
        <v>23.567</v>
      </c>
      <c r="AW61" s="5">
        <v>5</v>
      </c>
      <c r="AX61" s="6">
        <v>5.95</v>
      </c>
      <c r="BB61" s="5">
        <v>2</v>
      </c>
      <c r="BC61" s="6">
        <v>1.8169999999999999</v>
      </c>
    </row>
    <row r="62" spans="1:55">
      <c r="A62" t="str">
        <f t="shared" si="1"/>
        <v>2021/11/21.A 55 4040 10080 124 1-1 1195 Z</v>
      </c>
      <c r="B62" s="1" t="s">
        <v>217</v>
      </c>
      <c r="C62" t="str">
        <f>"55"</f>
        <v>55</v>
      </c>
      <c r="D62" t="str">
        <f>"4040 10080 124 1-1"</f>
        <v>4040 10080 124 1-1</v>
      </c>
      <c r="E62" t="str">
        <f>"1195 Z"</f>
        <v>1195 Z</v>
      </c>
      <c r="H62" s="6">
        <v>627.46699999999998</v>
      </c>
      <c r="I62" s="6">
        <v>92.533000000000001</v>
      </c>
      <c r="J62" s="6">
        <v>489.6</v>
      </c>
      <c r="K62" s="6">
        <v>156.4</v>
      </c>
      <c r="L62" s="6">
        <v>4766236.8</v>
      </c>
      <c r="M62" s="6">
        <v>37648</v>
      </c>
      <c r="N62" s="6"/>
      <c r="O62" s="5">
        <v>6</v>
      </c>
      <c r="P62" s="6">
        <v>2.6829999999999998</v>
      </c>
      <c r="Q62" s="5">
        <v>34</v>
      </c>
      <c r="R62" s="6">
        <v>54.95</v>
      </c>
      <c r="V62" s="5">
        <v>22</v>
      </c>
      <c r="W62" s="6">
        <v>20.983000000000001</v>
      </c>
      <c r="AA62" s="5">
        <v>7</v>
      </c>
      <c r="AB62" s="6">
        <v>13.916</v>
      </c>
      <c r="AC62" s="5">
        <v>0</v>
      </c>
      <c r="AG62" s="5">
        <v>69</v>
      </c>
      <c r="AH62" s="6">
        <v>92.531999999999996</v>
      </c>
      <c r="AI62" s="5">
        <v>56</v>
      </c>
      <c r="AM62" s="5">
        <v>10</v>
      </c>
      <c r="AN62" s="6">
        <v>10.766999999999999</v>
      </c>
      <c r="AR62" s="5">
        <v>7</v>
      </c>
      <c r="AS62" s="6">
        <v>6.5830000000000002</v>
      </c>
      <c r="AW62" s="5">
        <v>4</v>
      </c>
      <c r="AX62" s="6">
        <v>2.117</v>
      </c>
      <c r="BB62" s="5">
        <v>1</v>
      </c>
      <c r="BC62" s="6">
        <v>1.5169999999999999</v>
      </c>
    </row>
    <row r="63" spans="1:55">
      <c r="A63" t="str">
        <f t="shared" si="1"/>
        <v>2021/11/21.A 56 4040 10080 124 1-1 1022 Z</v>
      </c>
      <c r="B63" s="1" t="s">
        <v>217</v>
      </c>
      <c r="C63" t="str">
        <f>"56"</f>
        <v>56</v>
      </c>
      <c r="D63" t="str">
        <f>"4040 10080 124 1-1"</f>
        <v>4040 10080 124 1-1</v>
      </c>
      <c r="E63" t="str">
        <f>"1022 Z"</f>
        <v>1022 Z</v>
      </c>
      <c r="H63" s="6">
        <v>629.70000000000005</v>
      </c>
      <c r="I63" s="6">
        <v>90.3</v>
      </c>
      <c r="J63" s="6">
        <v>439.4</v>
      </c>
      <c r="K63" s="6">
        <v>140.4</v>
      </c>
      <c r="L63" s="6">
        <v>3840540.3</v>
      </c>
      <c r="M63" s="6">
        <v>37782</v>
      </c>
      <c r="N63" s="6"/>
      <c r="O63" s="5">
        <v>3</v>
      </c>
      <c r="P63" s="6">
        <v>2</v>
      </c>
      <c r="Q63" s="5">
        <v>26</v>
      </c>
      <c r="R63" s="6">
        <v>48.917000000000002</v>
      </c>
      <c r="V63" s="5">
        <v>33</v>
      </c>
      <c r="W63" s="6">
        <v>36.85</v>
      </c>
      <c r="AA63" s="5">
        <v>2</v>
      </c>
      <c r="AB63" s="6">
        <v>2.5329999999999999</v>
      </c>
      <c r="AC63" s="5">
        <v>0</v>
      </c>
      <c r="AG63" s="5">
        <v>64</v>
      </c>
      <c r="AH63" s="6">
        <v>90.3</v>
      </c>
      <c r="AI63" s="5">
        <v>59</v>
      </c>
      <c r="AM63" s="5">
        <v>10</v>
      </c>
      <c r="AN63" s="6">
        <v>9.1669999999999998</v>
      </c>
      <c r="AR63" s="5">
        <v>11</v>
      </c>
      <c r="AS63" s="6">
        <v>18.45</v>
      </c>
      <c r="AW63" s="5">
        <v>9</v>
      </c>
      <c r="AX63" s="6">
        <v>7.75</v>
      </c>
      <c r="BB63" s="5">
        <v>3</v>
      </c>
      <c r="BC63" s="6">
        <v>1.4830000000000001</v>
      </c>
    </row>
    <row r="64" spans="1:55">
      <c r="A64" t="str">
        <f t="shared" si="1"/>
        <v>2021/11/21.A 57 6060 18587 126 4-1 1043 Z</v>
      </c>
      <c r="B64" s="1" t="s">
        <v>217</v>
      </c>
      <c r="C64" t="str">
        <f>"57"</f>
        <v>57</v>
      </c>
      <c r="D64" t="str">
        <f>"6060 18587 126 4-1"</f>
        <v>6060 18587 126 4-1</v>
      </c>
      <c r="E64" t="str">
        <f>"1043 Z"</f>
        <v>1043 Z</v>
      </c>
      <c r="H64" s="6">
        <v>425.55</v>
      </c>
      <c r="I64" s="6">
        <v>294.5</v>
      </c>
      <c r="J64" s="6">
        <v>281.5</v>
      </c>
      <c r="K64" s="6">
        <v>84.7</v>
      </c>
      <c r="L64" s="6">
        <v>2337035.4900000002</v>
      </c>
      <c r="M64" s="6">
        <v>25533</v>
      </c>
      <c r="N64" s="6"/>
      <c r="O64" s="5">
        <v>16</v>
      </c>
      <c r="P64" s="6">
        <v>22.5</v>
      </c>
      <c r="Q64" s="5">
        <v>14</v>
      </c>
      <c r="R64" s="6">
        <v>44.65</v>
      </c>
      <c r="V64" s="5">
        <v>21</v>
      </c>
      <c r="W64" s="6">
        <v>11.9</v>
      </c>
      <c r="AA64" s="5">
        <v>5</v>
      </c>
      <c r="AB64" s="6">
        <v>215.45</v>
      </c>
      <c r="AC64" s="5">
        <v>0</v>
      </c>
      <c r="AG64" s="5">
        <v>56</v>
      </c>
      <c r="AH64" s="6">
        <v>294.5</v>
      </c>
      <c r="AI64" s="5">
        <v>35</v>
      </c>
      <c r="AM64" s="5">
        <v>6</v>
      </c>
      <c r="AN64" s="6">
        <v>2.4169999999999998</v>
      </c>
      <c r="AR64" s="5">
        <v>10</v>
      </c>
      <c r="AS64" s="6">
        <v>5.633</v>
      </c>
      <c r="AW64" s="5">
        <v>2</v>
      </c>
      <c r="AX64" s="6">
        <v>1.417</v>
      </c>
      <c r="BB64" s="5">
        <v>3</v>
      </c>
      <c r="BC64" s="6">
        <v>2.4329999999999998</v>
      </c>
    </row>
    <row r="65" spans="1:55">
      <c r="A65" t="str">
        <f t="shared" si="1"/>
        <v>2021/11/21.A 58 6060 18587 123 4-1 1029 R</v>
      </c>
      <c r="B65" s="1" t="s">
        <v>217</v>
      </c>
      <c r="C65" t="str">
        <f>"58"</f>
        <v>58</v>
      </c>
      <c r="D65" t="str">
        <f>"6060 18587 123 4-1"</f>
        <v>6060 18587 123 4-1</v>
      </c>
      <c r="E65" t="str">
        <f>"1029 R"</f>
        <v>1029 R</v>
      </c>
      <c r="H65" s="6">
        <v>635.86699999999996</v>
      </c>
      <c r="I65" s="6">
        <v>84.132999999999996</v>
      </c>
      <c r="J65" s="6">
        <v>412.3</v>
      </c>
      <c r="K65" s="6">
        <v>120.4</v>
      </c>
      <c r="L65" s="6">
        <v>3649238.8</v>
      </c>
      <c r="M65" s="6">
        <v>38152</v>
      </c>
      <c r="N65" s="6"/>
      <c r="O65" s="5">
        <v>4</v>
      </c>
      <c r="P65" s="6">
        <v>3.7</v>
      </c>
      <c r="Q65" s="5">
        <v>27</v>
      </c>
      <c r="R65" s="6">
        <v>56.933</v>
      </c>
      <c r="V65" s="5">
        <v>34</v>
      </c>
      <c r="W65" s="6">
        <v>21.85</v>
      </c>
      <c r="AA65" s="5">
        <v>1</v>
      </c>
      <c r="AB65" s="6">
        <v>1.65</v>
      </c>
      <c r="AC65" s="5">
        <v>0</v>
      </c>
      <c r="AG65" s="5">
        <v>66</v>
      </c>
      <c r="AH65" s="6">
        <v>84.132999999999996</v>
      </c>
      <c r="AI65" s="5">
        <v>61</v>
      </c>
      <c r="AM65" s="5">
        <v>11</v>
      </c>
      <c r="AN65" s="6">
        <v>4.9829999999999997</v>
      </c>
      <c r="AR65" s="5">
        <v>19</v>
      </c>
      <c r="AS65" s="6">
        <v>12.467000000000001</v>
      </c>
      <c r="AW65" s="5">
        <v>1</v>
      </c>
      <c r="AX65" s="6">
        <v>0.11700000000000001</v>
      </c>
      <c r="BB65" s="5">
        <v>3</v>
      </c>
      <c r="BC65" s="6">
        <v>4.2830000000000004</v>
      </c>
    </row>
    <row r="66" spans="1:55">
      <c r="A66" t="str">
        <f t="shared" si="1"/>
        <v>2021/11/21.A 59 6060 178120 100 4-1 1051 Z</v>
      </c>
      <c r="B66" s="1" t="s">
        <v>217</v>
      </c>
      <c r="C66" t="str">
        <f>"59"</f>
        <v>59</v>
      </c>
      <c r="D66" t="str">
        <f>"6060 178120 100 4-1"</f>
        <v>6060 178120 100 4-1</v>
      </c>
      <c r="E66" t="str">
        <f>"1051 Z"</f>
        <v>1051 Z</v>
      </c>
      <c r="H66" s="6">
        <v>435</v>
      </c>
      <c r="I66" s="6">
        <v>285</v>
      </c>
      <c r="J66" s="6">
        <v>301.60000000000002</v>
      </c>
      <c r="K66" s="6">
        <v>65.099999999999994</v>
      </c>
      <c r="L66" s="6">
        <v>1618200</v>
      </c>
      <c r="M66" s="6">
        <v>26100</v>
      </c>
      <c r="N66" s="6"/>
      <c r="O66" s="5">
        <v>2</v>
      </c>
      <c r="P66" s="6">
        <v>2.2170000000000001</v>
      </c>
      <c r="Q66" s="5">
        <v>33</v>
      </c>
      <c r="R66" s="6">
        <v>108.833</v>
      </c>
      <c r="V66" s="5">
        <v>24</v>
      </c>
      <c r="W66" s="6">
        <v>21.966999999999999</v>
      </c>
      <c r="AA66" s="5">
        <v>3</v>
      </c>
      <c r="AB66" s="6">
        <v>151.983</v>
      </c>
      <c r="AC66" s="5">
        <v>0</v>
      </c>
      <c r="AG66" s="5">
        <v>62</v>
      </c>
      <c r="AH66" s="6">
        <v>285</v>
      </c>
      <c r="AI66" s="5">
        <v>57</v>
      </c>
      <c r="AM66" s="5">
        <v>6</v>
      </c>
      <c r="AN66" s="6">
        <v>4.0999999999999996</v>
      </c>
      <c r="AR66" s="5">
        <v>10</v>
      </c>
      <c r="AS66" s="6">
        <v>10.167</v>
      </c>
      <c r="AW66" s="5">
        <v>4</v>
      </c>
      <c r="AX66" s="6">
        <v>5.05</v>
      </c>
      <c r="BB66" s="5">
        <v>4</v>
      </c>
      <c r="BC66" s="6">
        <v>2.65</v>
      </c>
    </row>
    <row r="67" spans="1:55">
      <c r="A67" t="str">
        <f t="shared" si="1"/>
        <v>2021/11/21.A 60 8080 10288 46x2 1-1 1067 Z</v>
      </c>
      <c r="B67" s="1" t="s">
        <v>217</v>
      </c>
      <c r="C67" t="str">
        <f>"60"</f>
        <v>60</v>
      </c>
      <c r="D67" t="str">
        <f>"8080 10288 46x2 1-1"</f>
        <v>8080 10288 46x2 1-1</v>
      </c>
      <c r="E67" t="str">
        <f>"1067 Z"</f>
        <v>1067 Z</v>
      </c>
      <c r="H67" s="6">
        <v>596.1</v>
      </c>
      <c r="I67" s="6">
        <v>123.9</v>
      </c>
      <c r="J67" s="6">
        <v>474.9</v>
      </c>
      <c r="K67" s="6">
        <v>137.1</v>
      </c>
      <c r="L67" s="6">
        <v>2283301.44</v>
      </c>
      <c r="M67" s="6">
        <v>35766</v>
      </c>
      <c r="N67" s="6"/>
      <c r="O67" s="5">
        <v>3</v>
      </c>
      <c r="P67" s="6">
        <v>2.617</v>
      </c>
      <c r="Q67" s="5">
        <v>33</v>
      </c>
      <c r="R67" s="6">
        <v>69.95</v>
      </c>
      <c r="V67" s="5">
        <v>55</v>
      </c>
      <c r="W67" s="6">
        <v>42.3</v>
      </c>
      <c r="AA67" s="5">
        <v>4</v>
      </c>
      <c r="AB67" s="6">
        <v>9.0329999999999995</v>
      </c>
      <c r="AC67" s="5">
        <v>0</v>
      </c>
      <c r="AG67" s="5">
        <v>95</v>
      </c>
      <c r="AH67" s="6">
        <v>123.9</v>
      </c>
      <c r="AI67" s="5">
        <v>88</v>
      </c>
      <c r="AM67" s="5">
        <v>24</v>
      </c>
      <c r="AN67" s="6">
        <v>14.882999999999999</v>
      </c>
      <c r="AR67" s="5">
        <v>22</v>
      </c>
      <c r="AS67" s="6">
        <v>21.033000000000001</v>
      </c>
      <c r="AW67" s="5">
        <v>5</v>
      </c>
      <c r="AX67" s="6">
        <v>3.55</v>
      </c>
      <c r="BB67" s="5">
        <v>4</v>
      </c>
      <c r="BC67" s="6">
        <v>2.8330000000000002</v>
      </c>
    </row>
    <row r="68" spans="1:55">
      <c r="A68" t="str">
        <f t="shared" si="1"/>
        <v>2021/11/21.A 61 8080 8080 86 1-1 1057 Z</v>
      </c>
      <c r="B68" s="1" t="s">
        <v>217</v>
      </c>
      <c r="C68" t="str">
        <f>"61"</f>
        <v>61</v>
      </c>
      <c r="D68" t="str">
        <f>"8080 8080 86 1-1"</f>
        <v>8080 8080 86 1-1</v>
      </c>
      <c r="E68" t="str">
        <f>"1057 Z"</f>
        <v>1057 Z</v>
      </c>
      <c r="H68" s="6">
        <v>615.6</v>
      </c>
      <c r="I68" s="6">
        <v>104.4</v>
      </c>
      <c r="J68" s="6">
        <v>490.4</v>
      </c>
      <c r="K68" s="6">
        <v>155.69999999999999</v>
      </c>
      <c r="L68" s="6">
        <v>2089838.88</v>
      </c>
      <c r="M68" s="6">
        <v>36936</v>
      </c>
      <c r="N68" s="6"/>
      <c r="O68" s="5">
        <v>4</v>
      </c>
      <c r="P68" s="6">
        <v>2.95</v>
      </c>
      <c r="Q68" s="5">
        <v>30</v>
      </c>
      <c r="R68" s="6">
        <v>47.616999999999997</v>
      </c>
      <c r="V68" s="5">
        <v>53</v>
      </c>
      <c r="W68" s="6">
        <v>48.033000000000001</v>
      </c>
      <c r="AA68" s="5">
        <v>4</v>
      </c>
      <c r="AB68" s="6">
        <v>5.8</v>
      </c>
      <c r="AC68" s="5">
        <v>0</v>
      </c>
      <c r="AG68" s="5">
        <v>91</v>
      </c>
      <c r="AH68" s="6">
        <v>104.4</v>
      </c>
      <c r="AI68" s="5">
        <v>83</v>
      </c>
      <c r="AM68" s="5">
        <v>23</v>
      </c>
      <c r="AN68" s="6">
        <v>13.717000000000001</v>
      </c>
      <c r="AR68" s="5">
        <v>27</v>
      </c>
      <c r="AS68" s="6">
        <v>28.55</v>
      </c>
      <c r="AW68" s="5">
        <v>2</v>
      </c>
      <c r="AX68" s="6">
        <v>3.1669999999999998</v>
      </c>
      <c r="BB68" s="5">
        <v>1</v>
      </c>
      <c r="BC68" s="6">
        <v>2.6</v>
      </c>
    </row>
    <row r="69" spans="1:55">
      <c r="A69" t="str">
        <f t="shared" si="1"/>
        <v>2021/11/21.A 62 8080 9088 46x2 1-1 1056 Z</v>
      </c>
      <c r="B69" s="1" t="s">
        <v>217</v>
      </c>
      <c r="C69" t="str">
        <f>"62"</f>
        <v>62</v>
      </c>
      <c r="D69" t="str">
        <f>"8080 9088 46x2 1-1"</f>
        <v>8080 9088 46x2 1-1</v>
      </c>
      <c r="E69" t="str">
        <f>"1056 Z"</f>
        <v>1056 Z</v>
      </c>
      <c r="H69" s="6">
        <v>606.93299999999999</v>
      </c>
      <c r="I69" s="6">
        <v>113.06699999999999</v>
      </c>
      <c r="J69" s="6">
        <v>481.6</v>
      </c>
      <c r="K69" s="6">
        <v>139</v>
      </c>
      <c r="L69" s="6">
        <v>2456623.36</v>
      </c>
      <c r="M69" s="6">
        <v>36416</v>
      </c>
      <c r="N69" s="6"/>
      <c r="O69" s="5">
        <v>5</v>
      </c>
      <c r="P69" s="6">
        <v>1.9830000000000001</v>
      </c>
      <c r="Q69" s="5">
        <v>24</v>
      </c>
      <c r="R69" s="6">
        <v>50.716999999999999</v>
      </c>
      <c r="V69" s="5">
        <v>68</v>
      </c>
      <c r="W69" s="6">
        <v>57.017000000000003</v>
      </c>
      <c r="AA69" s="5">
        <v>4</v>
      </c>
      <c r="AB69" s="6">
        <v>3.35</v>
      </c>
      <c r="AC69" s="5">
        <v>0</v>
      </c>
      <c r="AG69" s="5">
        <v>101</v>
      </c>
      <c r="AH69" s="6">
        <v>113.06699999999999</v>
      </c>
      <c r="AI69" s="5">
        <v>92</v>
      </c>
      <c r="AM69" s="5">
        <v>22</v>
      </c>
      <c r="AN69" s="6">
        <v>20.033000000000001</v>
      </c>
      <c r="AR69" s="5">
        <v>41</v>
      </c>
      <c r="AS69" s="6">
        <v>31.65</v>
      </c>
      <c r="AW69" s="5">
        <v>5</v>
      </c>
      <c r="AX69" s="6">
        <v>4.9169999999999998</v>
      </c>
      <c r="BB69" s="5">
        <v>0</v>
      </c>
      <c r="BC69" s="6">
        <v>0.41699999999999998</v>
      </c>
    </row>
    <row r="70" spans="1:55">
      <c r="A70" t="str">
        <f t="shared" si="1"/>
        <v>2021/11/21.A 63 3030 7674 77 1-1 1124</v>
      </c>
      <c r="B70" s="1" t="s">
        <v>217</v>
      </c>
      <c r="C70" t="str">
        <f>"63"</f>
        <v>63</v>
      </c>
      <c r="D70" t="str">
        <f>"3030 7674 77 1-1"</f>
        <v>3030 7674 77 1-1</v>
      </c>
      <c r="E70" t="str">
        <f>"1124"</f>
        <v>1124</v>
      </c>
      <c r="H70" s="6">
        <v>640.51700000000005</v>
      </c>
      <c r="I70" s="6">
        <v>79.483000000000004</v>
      </c>
      <c r="J70" s="6">
        <v>605</v>
      </c>
      <c r="K70" s="6">
        <v>209</v>
      </c>
      <c r="L70" s="6">
        <v>2337757.73</v>
      </c>
      <c r="M70" s="6">
        <v>38431</v>
      </c>
      <c r="N70" s="6"/>
      <c r="O70" s="5">
        <v>4</v>
      </c>
      <c r="P70" s="6">
        <v>1.35</v>
      </c>
      <c r="Q70" s="5">
        <v>17</v>
      </c>
      <c r="R70" s="6">
        <v>20.233000000000001</v>
      </c>
      <c r="V70" s="5">
        <v>62</v>
      </c>
      <c r="W70" s="6">
        <v>50.482999999999997</v>
      </c>
      <c r="AA70" s="5">
        <v>4</v>
      </c>
      <c r="AB70" s="6">
        <v>7.4169999999999998</v>
      </c>
      <c r="AC70" s="5">
        <v>1</v>
      </c>
      <c r="AG70" s="5">
        <v>87</v>
      </c>
      <c r="AH70" s="6">
        <v>79.483000000000004</v>
      </c>
      <c r="AI70" s="5">
        <v>80</v>
      </c>
      <c r="AM70" s="5">
        <v>11</v>
      </c>
      <c r="AN70" s="6">
        <v>11.532999999999999</v>
      </c>
      <c r="AR70" s="5">
        <v>44</v>
      </c>
      <c r="AS70" s="6">
        <v>28.6</v>
      </c>
      <c r="AW70" s="5">
        <v>4</v>
      </c>
      <c r="AX70" s="6">
        <v>5.4829999999999997</v>
      </c>
      <c r="BB70" s="5">
        <v>3</v>
      </c>
      <c r="BC70" s="6">
        <v>4.867</v>
      </c>
    </row>
    <row r="71" spans="1:55">
      <c r="A71" t="str">
        <f t="shared" si="1"/>
        <v>2021/11/21.A 64 4040 11085 75 1-1 1125 Z</v>
      </c>
      <c r="B71" s="1" t="s">
        <v>217</v>
      </c>
      <c r="C71" t="str">
        <f>"64"</f>
        <v>64</v>
      </c>
      <c r="D71" t="str">
        <f>"4040 11085 75 1-1"</f>
        <v>4040 11085 75 1-1</v>
      </c>
      <c r="E71" t="str">
        <f>"1125 Z"</f>
        <v>1125 Z</v>
      </c>
      <c r="H71" s="6">
        <v>663.26700000000005</v>
      </c>
      <c r="I71" s="6">
        <v>56.732999999999997</v>
      </c>
      <c r="J71" s="6">
        <v>622.20000000000005</v>
      </c>
      <c r="K71" s="6">
        <v>188.1</v>
      </c>
      <c r="L71" s="6">
        <v>2893169.2</v>
      </c>
      <c r="M71" s="6">
        <v>39796</v>
      </c>
      <c r="N71" s="6"/>
      <c r="O71" s="5">
        <v>9</v>
      </c>
      <c r="P71" s="6">
        <v>3.85</v>
      </c>
      <c r="Q71" s="5">
        <v>14</v>
      </c>
      <c r="R71" s="6">
        <v>20.65</v>
      </c>
      <c r="V71" s="5">
        <v>53</v>
      </c>
      <c r="W71" s="6">
        <v>29.132999999999999</v>
      </c>
      <c r="AA71" s="5">
        <v>3</v>
      </c>
      <c r="AB71" s="6">
        <v>3.1</v>
      </c>
      <c r="AC71" s="5">
        <v>0</v>
      </c>
      <c r="AG71" s="5">
        <v>79</v>
      </c>
      <c r="AH71" s="6">
        <v>56.732999999999997</v>
      </c>
      <c r="AI71" s="5">
        <v>67</v>
      </c>
      <c r="AM71" s="5">
        <v>26</v>
      </c>
      <c r="AN71" s="6">
        <v>11.067</v>
      </c>
      <c r="AR71" s="5">
        <v>7</v>
      </c>
      <c r="AS71" s="6">
        <v>3.1829999999999998</v>
      </c>
      <c r="AW71" s="5">
        <v>8</v>
      </c>
      <c r="AX71" s="6">
        <v>6.9329999999999998</v>
      </c>
      <c r="BB71" s="5">
        <v>12</v>
      </c>
      <c r="BC71" s="6">
        <v>7.95</v>
      </c>
    </row>
    <row r="72" spans="1:55">
      <c r="A72" t="str">
        <f>B72&amp;" "&amp;C72&amp;" "&amp;D72&amp;" "&amp;E72</f>
        <v>2021/11/21.A 65 3030 7674 72 1-1 1123 R</v>
      </c>
      <c r="B72" s="1" t="s">
        <v>217</v>
      </c>
      <c r="C72" t="str">
        <f>"65"</f>
        <v>65</v>
      </c>
      <c r="D72" t="str">
        <f>"3030 7674 72 1-1"</f>
        <v>3030 7674 72 1-1</v>
      </c>
      <c r="E72" t="str">
        <f>"1123 R"</f>
        <v>1123 R</v>
      </c>
      <c r="H72" s="6">
        <v>653.54999999999995</v>
      </c>
      <c r="I72" s="6">
        <v>66.45</v>
      </c>
      <c r="J72" s="6">
        <v>632.6</v>
      </c>
      <c r="K72" s="6">
        <v>218.6</v>
      </c>
      <c r="L72" s="6">
        <v>2253571.11</v>
      </c>
      <c r="M72" s="6">
        <v>39213</v>
      </c>
      <c r="N72" s="6"/>
      <c r="O72" s="5">
        <v>5</v>
      </c>
      <c r="P72" s="6">
        <v>2.133</v>
      </c>
      <c r="Q72" s="5">
        <v>13</v>
      </c>
      <c r="R72" s="6">
        <v>33.1</v>
      </c>
      <c r="V72" s="5">
        <v>31</v>
      </c>
      <c r="W72" s="6">
        <v>30.15</v>
      </c>
      <c r="AA72" s="5">
        <v>2</v>
      </c>
      <c r="AB72" s="6">
        <v>1.0669999999999999</v>
      </c>
      <c r="AC72" s="5">
        <v>0</v>
      </c>
      <c r="AG72" s="5">
        <v>51</v>
      </c>
      <c r="AH72" s="6">
        <v>66.45</v>
      </c>
      <c r="AI72" s="5">
        <v>44</v>
      </c>
      <c r="AM72" s="5">
        <v>14</v>
      </c>
      <c r="AN72" s="6">
        <v>10</v>
      </c>
      <c r="AR72" s="5">
        <v>8</v>
      </c>
      <c r="AS72" s="6">
        <v>6.9329999999999998</v>
      </c>
      <c r="AW72" s="5">
        <v>5</v>
      </c>
      <c r="AX72" s="6">
        <v>5.3330000000000002</v>
      </c>
      <c r="BB72" s="5">
        <v>4</v>
      </c>
      <c r="BC72" s="6">
        <v>7.883</v>
      </c>
    </row>
    <row r="73" spans="1:55">
      <c r="A73" t="str">
        <f>B73&amp;" "&amp;C73&amp;" "&amp;D73&amp;" "&amp;E73</f>
        <v>2021/11/21.A 66 4040 13079 59 4-1 1136 Z</v>
      </c>
      <c r="B73" s="1" t="s">
        <v>217</v>
      </c>
      <c r="C73" t="str">
        <f>"66"</f>
        <v>66</v>
      </c>
      <c r="D73" t="str">
        <f>"4040 13079 59 4-1"</f>
        <v>4040 13079 59 4-1</v>
      </c>
      <c r="E73" t="str">
        <f>"1136 Z"</f>
        <v>1136 Z</v>
      </c>
      <c r="H73" s="6">
        <v>648.68299999999999</v>
      </c>
      <c r="I73" s="6">
        <v>66.349999999999994</v>
      </c>
      <c r="J73" s="6">
        <v>618</v>
      </c>
      <c r="K73" s="6">
        <v>198.7</v>
      </c>
      <c r="L73" s="6">
        <v>2210712.7999999998</v>
      </c>
      <c r="M73" s="6">
        <v>38921</v>
      </c>
      <c r="N73" s="6"/>
      <c r="O73" s="5">
        <v>8</v>
      </c>
      <c r="P73" s="6">
        <v>4.117</v>
      </c>
      <c r="Q73" s="5">
        <v>16</v>
      </c>
      <c r="R73" s="6">
        <v>40.183</v>
      </c>
      <c r="V73" s="5">
        <v>29</v>
      </c>
      <c r="W73" s="6">
        <v>19.882999999999999</v>
      </c>
      <c r="AA73" s="5">
        <v>2</v>
      </c>
      <c r="AB73" s="6">
        <v>2.1669999999999998</v>
      </c>
      <c r="AC73" s="5">
        <v>0</v>
      </c>
      <c r="AG73" s="5">
        <v>55</v>
      </c>
      <c r="AH73" s="6">
        <v>66.349999999999994</v>
      </c>
      <c r="AI73" s="5">
        <v>45</v>
      </c>
      <c r="AM73" s="5">
        <v>12</v>
      </c>
      <c r="AN73" s="6">
        <v>6.8170000000000002</v>
      </c>
      <c r="AR73" s="5">
        <v>16</v>
      </c>
      <c r="AS73" s="6">
        <v>12.867000000000001</v>
      </c>
      <c r="AW73" s="5">
        <v>1</v>
      </c>
      <c r="AX73" s="6">
        <v>0.2</v>
      </c>
      <c r="BB73" s="5">
        <v>0</v>
      </c>
      <c r="BC73" s="6">
        <v>0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026" r:id="rId4" name="CommandButton2">
          <controlPr defaultSize="0" print="0" autoLine="0" r:id="rId5">
            <anchor>
              <from>
                <xdr:col>2</xdr:col>
                <xdr:colOff>123825</xdr:colOff>
                <xdr:row>0</xdr:row>
                <xdr:rowOff>57150</xdr:rowOff>
              </from>
              <to>
                <xdr:col>3</xdr:col>
                <xdr:colOff>1047750</xdr:colOff>
                <xdr:row>2</xdr:row>
                <xdr:rowOff>19050</xdr:rowOff>
              </to>
            </anchor>
          </controlPr>
        </control>
      </mc:Choice>
      <mc:Fallback>
        <control shapeId="1026" r:id="rId4" name="CommandButton2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BO70"/>
  <sheetViews>
    <sheetView showGridLines="0" tabSelected="1" workbookViewId="0">
      <selection sqref="A1:XFD3"/>
    </sheetView>
  </sheetViews>
  <sheetFormatPr defaultRowHeight="12.75"/>
  <cols>
    <col min="1" max="1" width="12" bestFit="1" customWidth="1"/>
    <col min="2" max="2" width="6.140625" customWidth="1"/>
    <col min="3" max="3" width="21.140625" customWidth="1"/>
    <col min="4" max="5" width="8.7109375" customWidth="1"/>
    <col min="6" max="6" width="5.42578125" customWidth="1"/>
    <col min="7" max="7" width="8.7109375" customWidth="1"/>
    <col min="8" max="8" width="7.7109375" hidden="1" customWidth="1"/>
    <col min="9" max="9" width="9.85546875" hidden="1" customWidth="1"/>
    <col min="10" max="10" width="9.85546875" customWidth="1"/>
    <col min="11" max="11" width="8" customWidth="1"/>
    <col min="12" max="12" width="13.42578125" hidden="1" customWidth="1"/>
    <col min="13" max="13" width="11.28515625" hidden="1" customWidth="1"/>
    <col min="14" max="14" width="8" customWidth="1"/>
    <col min="15" max="15" width="7" customWidth="1"/>
    <col min="16" max="16" width="6.140625" customWidth="1"/>
    <col min="17" max="18" width="7" customWidth="1"/>
    <col min="19" max="19" width="7.7109375" customWidth="1"/>
    <col min="20" max="20" width="8.7109375" hidden="1" customWidth="1"/>
    <col min="21" max="21" width="10.85546875" hidden="1" customWidth="1"/>
    <col min="22" max="22" width="12.5703125" hidden="1" customWidth="1"/>
    <col min="23" max="23" width="12.5703125" customWidth="1"/>
    <col min="24" max="25" width="7" customWidth="1"/>
    <col min="26" max="26" width="7.7109375" customWidth="1"/>
    <col min="27" max="27" width="8.7109375" hidden="1" customWidth="1"/>
    <col min="28" max="28" width="10.85546875" hidden="1" customWidth="1"/>
    <col min="29" max="29" width="12.5703125" hidden="1" customWidth="1"/>
    <col min="30" max="30" width="12.5703125" customWidth="1"/>
    <col min="31" max="32" width="9.140625" customWidth="1"/>
    <col min="33" max="33" width="10.140625" hidden="1" customWidth="1"/>
    <col min="34" max="34" width="9.140625" hidden="1" customWidth="1"/>
    <col min="35" max="35" width="10.85546875" hidden="1" customWidth="1"/>
    <col min="36" max="36" width="12.5703125" hidden="1" customWidth="1"/>
    <col min="37" max="37" width="7" customWidth="1"/>
    <col min="38" max="38" width="7.7109375" customWidth="1"/>
    <col min="39" max="39" width="7" hidden="1" customWidth="1"/>
    <col min="40" max="40" width="8.7109375" hidden="1" customWidth="1"/>
    <col min="41" max="41" width="10.85546875" hidden="1" customWidth="1"/>
    <col min="42" max="42" width="12.5703125" hidden="1" customWidth="1"/>
    <col min="43" max="44" width="7.140625" customWidth="1"/>
    <col min="45" max="45" width="8.7109375" hidden="1" customWidth="1"/>
    <col min="46" max="46" width="10.85546875" hidden="1" customWidth="1"/>
    <col min="47" max="47" width="12.5703125" hidden="1" customWidth="1"/>
    <col min="48" max="48" width="7.140625" customWidth="1"/>
    <col min="49" max="49" width="7.7109375" customWidth="1"/>
    <col min="50" max="50" width="8.7109375" hidden="1" customWidth="1"/>
    <col min="51" max="51" width="10.85546875" hidden="1" customWidth="1"/>
    <col min="52" max="52" width="12.5703125" hidden="1" customWidth="1"/>
    <col min="53" max="54" width="7.140625" customWidth="1"/>
    <col min="55" max="55" width="8.7109375" hidden="1" customWidth="1"/>
    <col min="56" max="56" width="10.85546875" hidden="1" customWidth="1"/>
    <col min="57" max="57" width="12.5703125" hidden="1" customWidth="1"/>
    <col min="58" max="59" width="7.140625" customWidth="1"/>
    <col min="60" max="60" width="8.7109375" hidden="1" customWidth="1"/>
    <col min="61" max="61" width="10.85546875" hidden="1" customWidth="1"/>
    <col min="62" max="62" width="12.5703125" hidden="1" customWidth="1"/>
    <col min="64" max="64" width="21.140625" bestFit="1" customWidth="1"/>
  </cols>
  <sheetData>
    <row r="1" spans="1:67" ht="25.5">
      <c r="A1" s="25" t="s">
        <v>4</v>
      </c>
      <c r="B1" s="26" t="s">
        <v>14</v>
      </c>
      <c r="C1" s="26" t="s">
        <v>18</v>
      </c>
      <c r="D1" s="26" t="s">
        <v>22</v>
      </c>
      <c r="E1" s="26" t="s">
        <v>24</v>
      </c>
      <c r="F1" s="26" t="s">
        <v>165</v>
      </c>
      <c r="G1" s="26" t="s">
        <v>166</v>
      </c>
      <c r="H1" s="26" t="s">
        <v>167</v>
      </c>
      <c r="I1" s="26" t="s">
        <v>168</v>
      </c>
      <c r="J1" s="64" t="s">
        <v>218</v>
      </c>
      <c r="K1" s="26" t="s">
        <v>169</v>
      </c>
      <c r="L1" s="26" t="s">
        <v>170</v>
      </c>
      <c r="M1" s="26" t="s">
        <v>171</v>
      </c>
      <c r="N1" s="26" t="s">
        <v>172</v>
      </c>
      <c r="O1" s="27" t="s">
        <v>173</v>
      </c>
      <c r="P1" s="28" t="s">
        <v>174</v>
      </c>
      <c r="Q1" s="27" t="s">
        <v>175</v>
      </c>
      <c r="R1" s="64" t="s">
        <v>219</v>
      </c>
      <c r="S1" s="28" t="s">
        <v>176</v>
      </c>
      <c r="T1" s="26" t="s">
        <v>177</v>
      </c>
      <c r="U1" s="26" t="s">
        <v>178</v>
      </c>
      <c r="V1" s="26" t="s">
        <v>179</v>
      </c>
      <c r="W1" s="69" t="s">
        <v>220</v>
      </c>
      <c r="X1" s="27" t="s">
        <v>180</v>
      </c>
      <c r="Y1" s="64" t="s">
        <v>221</v>
      </c>
      <c r="Z1" s="28" t="s">
        <v>181</v>
      </c>
      <c r="AA1" s="26" t="s">
        <v>182</v>
      </c>
      <c r="AB1" s="26" t="s">
        <v>183</v>
      </c>
      <c r="AC1" s="26" t="s">
        <v>184</v>
      </c>
      <c r="AD1" s="64" t="s">
        <v>221</v>
      </c>
      <c r="AE1" s="27" t="s">
        <v>185</v>
      </c>
      <c r="AF1" s="28" t="s">
        <v>186</v>
      </c>
      <c r="AG1" s="26" t="s">
        <v>187</v>
      </c>
      <c r="AH1" s="26" t="s">
        <v>188</v>
      </c>
      <c r="AI1" s="26" t="s">
        <v>189</v>
      </c>
      <c r="AJ1" s="26" t="s">
        <v>190</v>
      </c>
      <c r="AK1" s="27" t="s">
        <v>191</v>
      </c>
      <c r="AL1" s="46" t="s">
        <v>192</v>
      </c>
      <c r="AM1" s="28" t="s">
        <v>193</v>
      </c>
      <c r="AN1" s="29" t="s">
        <v>194</v>
      </c>
      <c r="AO1" s="46" t="s">
        <v>195</v>
      </c>
      <c r="AP1" s="46" t="s">
        <v>196</v>
      </c>
      <c r="AQ1" s="55" t="s">
        <v>197</v>
      </c>
      <c r="AR1" s="28" t="s">
        <v>198</v>
      </c>
      <c r="AS1" s="26" t="s">
        <v>199</v>
      </c>
      <c r="AT1" s="26" t="s">
        <v>200</v>
      </c>
      <c r="AU1" s="26" t="s">
        <v>201</v>
      </c>
      <c r="AV1" s="27" t="s">
        <v>202</v>
      </c>
      <c r="AW1" s="28" t="s">
        <v>203</v>
      </c>
      <c r="AX1" s="26" t="s">
        <v>204</v>
      </c>
      <c r="AY1" s="26" t="s">
        <v>205</v>
      </c>
      <c r="AZ1" s="26" t="s">
        <v>206</v>
      </c>
      <c r="BA1" s="27" t="s">
        <v>207</v>
      </c>
      <c r="BB1" s="28" t="s">
        <v>208</v>
      </c>
      <c r="BC1" s="26" t="s">
        <v>209</v>
      </c>
      <c r="BD1" s="26" t="s">
        <v>210</v>
      </c>
      <c r="BE1" s="26" t="s">
        <v>211</v>
      </c>
      <c r="BF1" s="27" t="s">
        <v>212</v>
      </c>
      <c r="BG1" s="46" t="s">
        <v>213</v>
      </c>
      <c r="BH1" s="46" t="s">
        <v>214</v>
      </c>
      <c r="BI1" s="46" t="s">
        <v>215</v>
      </c>
      <c r="BJ1" s="46" t="s">
        <v>216</v>
      </c>
      <c r="BK1" s="26" t="s">
        <v>14</v>
      </c>
      <c r="BL1" s="26" t="s">
        <v>18</v>
      </c>
      <c r="BM1" s="26" t="s">
        <v>22</v>
      </c>
      <c r="BN1" s="26" t="s">
        <v>24</v>
      </c>
      <c r="BO1" s="26" t="s">
        <v>165</v>
      </c>
    </row>
    <row r="2" spans="1:67">
      <c r="A2" s="17" t="s">
        <v>217</v>
      </c>
      <c r="B2" s="18" t="str">
        <f>"001"</f>
        <v>001</v>
      </c>
      <c r="C2" s="18" t="str">
        <f>"8080 10288 46x2 1-1"</f>
        <v>8080 10288 46x2 1-1</v>
      </c>
      <c r="D2" s="18" t="str">
        <f>"1066 Z"</f>
        <v>1066 Z</v>
      </c>
      <c r="E2" s="19">
        <f>IF($G2=0,0,(1000*$I2)/$G2)</f>
        <v>800.08649583738782</v>
      </c>
      <c r="F2" s="20">
        <f>IF($G2=0,0,(100*$G2)/($G2+$H2))</f>
        <v>86.067083333333343</v>
      </c>
      <c r="G2" s="20">
        <v>619.68299999999999</v>
      </c>
      <c r="H2" s="20">
        <v>100.31699999999999</v>
      </c>
      <c r="I2" s="20">
        <v>495.8</v>
      </c>
      <c r="J2" s="65">
        <f t="shared" ref="J2:J65" si="0">G2/60</f>
        <v>10.328049999999999</v>
      </c>
      <c r="K2" s="20">
        <v>143.1</v>
      </c>
      <c r="L2" s="20">
        <v>2278823.4900000002</v>
      </c>
      <c r="M2" s="20">
        <v>37181</v>
      </c>
      <c r="N2" s="20">
        <f>IF(M2="","",IF(M2=0,0,L2/M2))</f>
        <v>61.290000000000006</v>
      </c>
      <c r="O2" s="21">
        <v>5</v>
      </c>
      <c r="P2" s="22">
        <v>1.383</v>
      </c>
      <c r="Q2" s="21">
        <v>21</v>
      </c>
      <c r="R2" s="67">
        <f t="shared" ref="R2:R65" si="1">Q2/12</f>
        <v>1.75</v>
      </c>
      <c r="S2" s="22">
        <v>36.866999999999997</v>
      </c>
      <c r="T2" s="23">
        <f>IF($G2=0,0,(60*Q2)/$G2)</f>
        <v>2.0332976699376939</v>
      </c>
      <c r="U2" s="23">
        <f>IF($G2=0,0,(60*24*Q2)/$G2)</f>
        <v>48.799144078504654</v>
      </c>
      <c r="V2" s="23">
        <f>IF($I2=0,0,(100*Q2)/$I2)</f>
        <v>4.2355788624445339</v>
      </c>
      <c r="W2" s="70">
        <f t="shared" ref="W2:W65" si="2">+S2/Q2</f>
        <v>1.7555714285714283</v>
      </c>
      <c r="X2" s="21">
        <v>53</v>
      </c>
      <c r="Y2" s="67">
        <f t="shared" ref="Y2:Y65" si="3">+X2/12</f>
        <v>4.416666666666667</v>
      </c>
      <c r="Z2" s="22">
        <v>59.267000000000003</v>
      </c>
      <c r="AA2" s="23">
        <f t="shared" ref="AA2:AA65" si="4">IF($G2=0,0,(60*X2)/$G2)</f>
        <v>5.1316560241284659</v>
      </c>
      <c r="AB2" s="23">
        <f t="shared" ref="AB2:AB65" si="5">IF($G2=0,0,(60*24*X2)/$G2)</f>
        <v>123.15974457908318</v>
      </c>
      <c r="AC2" s="23">
        <f t="shared" ref="AC2:AC65" si="6">IF($I2=0,0,(100*X2)/$I2)</f>
        <v>10.689794271883823</v>
      </c>
      <c r="AD2" s="67">
        <f t="shared" ref="AD2:AD65" si="7">+AC2/12</f>
        <v>0.89081618932365192</v>
      </c>
      <c r="AE2" s="21">
        <v>3</v>
      </c>
      <c r="AF2" s="22">
        <v>2.8</v>
      </c>
      <c r="AG2" s="19">
        <v>0</v>
      </c>
      <c r="AH2" s="23">
        <f t="shared" ref="AH2:AH65" si="8">IF($G2=0,0,(60*AG2)/$G2)</f>
        <v>0</v>
      </c>
      <c r="AI2" s="23">
        <f t="shared" ref="AI2:AI65" si="9">IF($G2=0,0,(60*24*AG2)/$G2)</f>
        <v>0</v>
      </c>
      <c r="AJ2" s="23">
        <f t="shared" ref="AJ2:AJ65" si="10">IF($I2=0,0,(100*AG2)/$I2)</f>
        <v>0</v>
      </c>
      <c r="AK2" s="21">
        <v>82</v>
      </c>
      <c r="AL2" s="51">
        <v>100.31699999999999</v>
      </c>
      <c r="AM2" s="60">
        <v>74</v>
      </c>
      <c r="AN2" s="24">
        <f>IF($G2=0,0,(60*AM2)/$G2)</f>
        <v>7.1649536940661598</v>
      </c>
      <c r="AO2" s="47">
        <f>IF($G2=0,0,(60*24*AM2)/$G2)</f>
        <v>171.95888865758783</v>
      </c>
      <c r="AP2" s="47">
        <f>IF($I2=0,0,(100*AM2)/$I2)</f>
        <v>14.925373134328359</v>
      </c>
      <c r="AQ2" s="56">
        <v>32</v>
      </c>
      <c r="AR2" s="22">
        <v>35.216999999999999</v>
      </c>
      <c r="AS2" s="23">
        <f>IF($G2=0,0,(60*AQ2)/$G2)</f>
        <v>3.098358354190772</v>
      </c>
      <c r="AT2" s="23">
        <f>IF($G2=0,0,(60*24*AQ2)/$G2)</f>
        <v>74.360600500578528</v>
      </c>
      <c r="AU2" s="23">
        <f>IF($I2=0,0,(100*AQ2)/$I2)</f>
        <v>6.4542154094392901</v>
      </c>
      <c r="AV2" s="21">
        <v>14</v>
      </c>
      <c r="AW2" s="22">
        <v>14.7</v>
      </c>
      <c r="AX2" s="23">
        <f t="shared" ref="AX2:AX65" si="11">IF($G2=0,0,(60*AV2)/$G2)</f>
        <v>1.3555317799584627</v>
      </c>
      <c r="AY2" s="23">
        <f t="shared" ref="AY2:AY65" si="12">IF($G2=0,0,(60*24*AV2)/$G2)</f>
        <v>32.532762719003102</v>
      </c>
      <c r="AZ2" s="23">
        <f t="shared" ref="AZ2:AZ65" si="13">IF($I2=0,0,(100*AV2)/$I2)</f>
        <v>2.8237192416296892</v>
      </c>
      <c r="BA2" s="21">
        <v>3</v>
      </c>
      <c r="BB2" s="22">
        <v>5.633</v>
      </c>
      <c r="BC2" s="23">
        <f t="shared" ref="BC2:BC65" si="14">IF($G2=0,0,(60*BA2)/$G2)</f>
        <v>0.29047109570538487</v>
      </c>
      <c r="BD2" s="23">
        <f t="shared" ref="BD2:BD65" si="15">IF($G2=0,0,(60*24*BA2)/$G2)</f>
        <v>6.9713062969292361</v>
      </c>
      <c r="BE2" s="23">
        <f t="shared" ref="BE2:BE65" si="16">IF($I2=0,0,(100*BA2)/$I2)</f>
        <v>0.60508269463493347</v>
      </c>
      <c r="BF2" s="21">
        <v>4</v>
      </c>
      <c r="BG2" s="51">
        <v>3.7170000000000001</v>
      </c>
      <c r="BH2" s="47">
        <f t="shared" ref="BH2:BH65" si="17">IF($G2=0,0,(60*BF2)/$G2)</f>
        <v>0.3872947942738465</v>
      </c>
      <c r="BI2" s="47">
        <f t="shared" ref="BI2:BI65" si="18">IF($G2=0,0,(60*24*BF2)/$G2)</f>
        <v>9.295075062572316</v>
      </c>
      <c r="BJ2" s="47">
        <f t="shared" ref="BJ2:BJ65" si="19">IF($I2=0,0,(100*BF2)/$I2)</f>
        <v>0.80677692617991126</v>
      </c>
      <c r="BK2" s="18" t="str">
        <f>"001"</f>
        <v>001</v>
      </c>
      <c r="BL2" s="18" t="str">
        <f>"8080 10288 46x2 1-1"</f>
        <v>8080 10288 46x2 1-1</v>
      </c>
      <c r="BM2" s="18" t="str">
        <f>"1066 Z"</f>
        <v>1066 Z</v>
      </c>
      <c r="BN2" s="19">
        <f>IF($G2=0,0,(1000*$I2)/$G2)</f>
        <v>800.08649583738782</v>
      </c>
      <c r="BO2" s="20">
        <f>IF($G2=0,0,(100*$G2)/($G2+$H2))</f>
        <v>86.067083333333343</v>
      </c>
    </row>
    <row r="3" spans="1:67">
      <c r="A3" s="15" t="s">
        <v>217</v>
      </c>
      <c r="B3" s="9" t="str">
        <f>"002"</f>
        <v>002</v>
      </c>
      <c r="C3" s="9" t="str">
        <f>"8080 8080 86 1-1"</f>
        <v>8080 8080 86 1-1</v>
      </c>
      <c r="D3" s="9" t="str">
        <f>"1059 Z"</f>
        <v>1059 Z</v>
      </c>
      <c r="E3" s="10">
        <f t="shared" ref="E3:E66" si="20">IF($G3=0,0,(1000*$I3)/$G3)</f>
        <v>792.64759145237224</v>
      </c>
      <c r="F3" s="11">
        <f t="shared" ref="F3:F66" si="21">IF($G3=0,0,(100*$G3)/($G3+$H3))</f>
        <v>76.694444444444457</v>
      </c>
      <c r="G3" s="11">
        <v>552.20000000000005</v>
      </c>
      <c r="H3" s="11">
        <v>167.8</v>
      </c>
      <c r="I3" s="11">
        <v>437.7</v>
      </c>
      <c r="J3" s="65">
        <f t="shared" si="0"/>
        <v>9.2033333333333349</v>
      </c>
      <c r="K3" s="11">
        <v>138.9</v>
      </c>
      <c r="L3" s="11">
        <v>1885542.12</v>
      </c>
      <c r="M3" s="11">
        <v>33132</v>
      </c>
      <c r="N3" s="11">
        <f t="shared" ref="N3:N66" si="22">IF(M3="","",IF(M3=0,0,L3/M3))</f>
        <v>56.910000000000004</v>
      </c>
      <c r="O3" s="13">
        <v>4</v>
      </c>
      <c r="P3" s="14">
        <v>1.25</v>
      </c>
      <c r="Q3" s="13">
        <v>35</v>
      </c>
      <c r="R3" s="67">
        <f t="shared" si="1"/>
        <v>2.9166666666666665</v>
      </c>
      <c r="S3" s="14">
        <v>69.617000000000004</v>
      </c>
      <c r="T3" s="12">
        <f t="shared" ref="T3:T66" si="23">IF($G3=0,0,(60*Q3)/$G3)</f>
        <v>3.8029699384281055</v>
      </c>
      <c r="U3" s="12">
        <f t="shared" ref="U3:U66" si="24">IF($G3=0,0,(60*24*Q3)/$G3)</f>
        <v>91.271278522274528</v>
      </c>
      <c r="V3" s="12">
        <f t="shared" ref="V3:V66" si="25">IF($I3=0,0,(100*Q3)/$I3)</f>
        <v>7.9963445282156727</v>
      </c>
      <c r="W3" s="70">
        <f t="shared" si="2"/>
        <v>1.9890571428571431</v>
      </c>
      <c r="X3" s="13">
        <v>78</v>
      </c>
      <c r="Y3" s="67">
        <f t="shared" si="3"/>
        <v>6.5</v>
      </c>
      <c r="Z3" s="14">
        <v>95.266999999999996</v>
      </c>
      <c r="AA3" s="12">
        <f t="shared" si="4"/>
        <v>8.475190148496921</v>
      </c>
      <c r="AB3" s="12">
        <f t="shared" si="5"/>
        <v>203.4045635639261</v>
      </c>
      <c r="AC3" s="12">
        <f t="shared" si="6"/>
        <v>17.82042494859493</v>
      </c>
      <c r="AD3" s="67">
        <f t="shared" si="7"/>
        <v>1.4850354123829108</v>
      </c>
      <c r="AE3" s="13">
        <v>2</v>
      </c>
      <c r="AF3" s="14">
        <v>1.667</v>
      </c>
      <c r="AG3" s="10">
        <v>0</v>
      </c>
      <c r="AH3" s="12">
        <f t="shared" si="8"/>
        <v>0</v>
      </c>
      <c r="AI3" s="12">
        <f t="shared" si="9"/>
        <v>0</v>
      </c>
      <c r="AJ3" s="12">
        <f t="shared" si="10"/>
        <v>0</v>
      </c>
      <c r="AK3" s="13">
        <v>119</v>
      </c>
      <c r="AL3" s="52">
        <v>167.80099999999999</v>
      </c>
      <c r="AM3" s="61">
        <v>113</v>
      </c>
      <c r="AN3" s="16">
        <f t="shared" ref="AN3:AN66" si="26">IF($G3=0,0,(60*AM3)/$G3)</f>
        <v>12.278160086925027</v>
      </c>
      <c r="AO3" s="48">
        <f t="shared" ref="AO3:AO66" si="27">IF($G3=0,0,(60*24*AM3)/$G3)</f>
        <v>294.67584208620065</v>
      </c>
      <c r="AP3" s="48">
        <f t="shared" ref="AP3:AP66" si="28">IF($I3=0,0,(100*AM3)/$I3)</f>
        <v>25.816769476810602</v>
      </c>
      <c r="AQ3" s="57">
        <v>11</v>
      </c>
      <c r="AR3" s="14">
        <v>6.8170000000000002</v>
      </c>
      <c r="AS3" s="12">
        <f t="shared" ref="AS3:AS66" si="29">IF($G3=0,0,(60*AQ3)/$G3)</f>
        <v>1.1952191235059759</v>
      </c>
      <c r="AT3" s="12">
        <f t="shared" ref="AT3:AT66" si="30">IF($G3=0,0,(60*24*AQ3)/$G3)</f>
        <v>28.685258964143426</v>
      </c>
      <c r="AU3" s="12">
        <f t="shared" ref="AU3:AU66" si="31">IF($I3=0,0,(100*AQ3)/$I3)</f>
        <v>2.513136851724926</v>
      </c>
      <c r="AV3" s="13">
        <v>14</v>
      </c>
      <c r="AW3" s="14">
        <v>12.85</v>
      </c>
      <c r="AX3" s="12">
        <f t="shared" si="11"/>
        <v>1.5211879753712423</v>
      </c>
      <c r="AY3" s="12">
        <f t="shared" si="12"/>
        <v>36.508511408909811</v>
      </c>
      <c r="AZ3" s="12">
        <f t="shared" si="13"/>
        <v>3.1985378112862692</v>
      </c>
      <c r="BA3" s="13">
        <v>34</v>
      </c>
      <c r="BB3" s="14">
        <v>54.283000000000001</v>
      </c>
      <c r="BC3" s="12">
        <f t="shared" si="14"/>
        <v>3.6943136544730169</v>
      </c>
      <c r="BD3" s="12">
        <f t="shared" si="15"/>
        <v>88.663527707352401</v>
      </c>
      <c r="BE3" s="12">
        <f t="shared" si="16"/>
        <v>7.767877541695225</v>
      </c>
      <c r="BF3" s="13">
        <v>19</v>
      </c>
      <c r="BG3" s="52">
        <v>21.317</v>
      </c>
      <c r="BH3" s="48">
        <f t="shared" si="17"/>
        <v>2.0644693951466859</v>
      </c>
      <c r="BI3" s="48">
        <f t="shared" si="18"/>
        <v>49.547265483520462</v>
      </c>
      <c r="BJ3" s="48">
        <f t="shared" si="19"/>
        <v>4.3408727438885082</v>
      </c>
      <c r="BK3" s="9" t="str">
        <f>"002"</f>
        <v>002</v>
      </c>
      <c r="BL3" s="9" t="str">
        <f>"8080 8080 86 1-1"</f>
        <v>8080 8080 86 1-1</v>
      </c>
      <c r="BM3" s="9" t="str">
        <f>"1059 Z"</f>
        <v>1059 Z</v>
      </c>
      <c r="BN3" s="10">
        <f t="shared" ref="BN3:BN66" si="32">IF($G3=0,0,(1000*$I3)/$G3)</f>
        <v>792.64759145237224</v>
      </c>
      <c r="BO3" s="11">
        <f t="shared" ref="BO3:BO66" si="33">IF($G3=0,0,(100*$G3)/($G3+$H3))</f>
        <v>76.694444444444457</v>
      </c>
    </row>
    <row r="4" spans="1:67">
      <c r="A4" s="15" t="s">
        <v>217</v>
      </c>
      <c r="B4" s="9" t="str">
        <f>"003"</f>
        <v>003</v>
      </c>
      <c r="C4" s="9" t="str">
        <f>"8080 8080 86 1-1"</f>
        <v>8080 8080 86 1-1</v>
      </c>
      <c r="D4" s="9" t="str">
        <f>"105 Z"</f>
        <v>105 Z</v>
      </c>
      <c r="E4" s="10">
        <f t="shared" si="20"/>
        <v>798.77290440262004</v>
      </c>
      <c r="F4" s="11">
        <f t="shared" si="21"/>
        <v>83.756944444444429</v>
      </c>
      <c r="G4" s="11">
        <v>603.04999999999995</v>
      </c>
      <c r="H4" s="11">
        <v>116.95</v>
      </c>
      <c r="I4" s="11">
        <v>481.7</v>
      </c>
      <c r="J4" s="65">
        <f t="shared" si="0"/>
        <v>10.050833333333333</v>
      </c>
      <c r="K4" s="11">
        <v>152.9</v>
      </c>
      <c r="L4" s="11">
        <v>2189433.33</v>
      </c>
      <c r="M4" s="11">
        <v>36183</v>
      </c>
      <c r="N4" s="11">
        <f t="shared" si="22"/>
        <v>60.510000000000005</v>
      </c>
      <c r="O4" s="13">
        <v>6</v>
      </c>
      <c r="P4" s="14">
        <v>1.95</v>
      </c>
      <c r="Q4" s="13">
        <v>40</v>
      </c>
      <c r="R4" s="67">
        <f t="shared" si="1"/>
        <v>3.3333333333333335</v>
      </c>
      <c r="S4" s="14">
        <v>62.433</v>
      </c>
      <c r="T4" s="12">
        <f t="shared" si="23"/>
        <v>3.9797695050161681</v>
      </c>
      <c r="U4" s="12">
        <f t="shared" si="24"/>
        <v>95.514468120388031</v>
      </c>
      <c r="V4" s="12">
        <f t="shared" si="25"/>
        <v>8.3039236039028435</v>
      </c>
      <c r="W4" s="70">
        <f t="shared" si="2"/>
        <v>1.5608249999999999</v>
      </c>
      <c r="X4" s="13">
        <v>57</v>
      </c>
      <c r="Y4" s="67">
        <f t="shared" si="3"/>
        <v>4.75</v>
      </c>
      <c r="Z4" s="14">
        <v>45.283000000000001</v>
      </c>
      <c r="AA4" s="12">
        <f t="shared" si="4"/>
        <v>5.6711715446480397</v>
      </c>
      <c r="AB4" s="12">
        <f t="shared" si="5"/>
        <v>136.10811707155295</v>
      </c>
      <c r="AC4" s="12">
        <f t="shared" si="6"/>
        <v>11.833091135561553</v>
      </c>
      <c r="AD4" s="67">
        <f t="shared" si="7"/>
        <v>0.98609092796346276</v>
      </c>
      <c r="AE4" s="13">
        <v>2</v>
      </c>
      <c r="AF4" s="14">
        <v>7.2839999999999998</v>
      </c>
      <c r="AG4" s="10">
        <v>1</v>
      </c>
      <c r="AH4" s="12">
        <f t="shared" si="8"/>
        <v>9.94942376254042E-2</v>
      </c>
      <c r="AI4" s="12">
        <f t="shared" si="9"/>
        <v>2.3878617030097007</v>
      </c>
      <c r="AJ4" s="12">
        <f t="shared" si="10"/>
        <v>0.2075980900975711</v>
      </c>
      <c r="AK4" s="13">
        <v>105</v>
      </c>
      <c r="AL4" s="52">
        <v>116.95</v>
      </c>
      <c r="AM4" s="61">
        <v>98</v>
      </c>
      <c r="AN4" s="16">
        <f t="shared" si="26"/>
        <v>9.7504352872896121</v>
      </c>
      <c r="AO4" s="48">
        <f t="shared" si="27"/>
        <v>234.01044689495069</v>
      </c>
      <c r="AP4" s="48">
        <f t="shared" si="28"/>
        <v>20.344612829561967</v>
      </c>
      <c r="AQ4" s="57">
        <v>15</v>
      </c>
      <c r="AR4" s="14">
        <v>8.4670000000000005</v>
      </c>
      <c r="AS4" s="12">
        <f t="shared" si="29"/>
        <v>1.492413564381063</v>
      </c>
      <c r="AT4" s="12">
        <f t="shared" si="30"/>
        <v>35.817925545145513</v>
      </c>
      <c r="AU4" s="12">
        <f t="shared" si="31"/>
        <v>3.1139713514635665</v>
      </c>
      <c r="AV4" s="13">
        <v>34</v>
      </c>
      <c r="AW4" s="14">
        <v>29.466999999999999</v>
      </c>
      <c r="AX4" s="12">
        <f t="shared" si="11"/>
        <v>3.3828040792637428</v>
      </c>
      <c r="AY4" s="12">
        <f t="shared" si="12"/>
        <v>81.187297902329831</v>
      </c>
      <c r="AZ4" s="12">
        <f t="shared" si="13"/>
        <v>7.0583350633174176</v>
      </c>
      <c r="BA4" s="13">
        <v>7</v>
      </c>
      <c r="BB4" s="14">
        <v>6.9829999999999997</v>
      </c>
      <c r="BC4" s="12">
        <f t="shared" si="14"/>
        <v>0.69645966337782939</v>
      </c>
      <c r="BD4" s="12">
        <f t="shared" si="15"/>
        <v>16.715031921067904</v>
      </c>
      <c r="BE4" s="12">
        <f t="shared" si="16"/>
        <v>1.4531866306829977</v>
      </c>
      <c r="BF4" s="13">
        <v>1</v>
      </c>
      <c r="BG4" s="52">
        <v>0.36699999999999999</v>
      </c>
      <c r="BH4" s="48">
        <f t="shared" si="17"/>
        <v>9.94942376254042E-2</v>
      </c>
      <c r="BI4" s="48">
        <f t="shared" si="18"/>
        <v>2.3878617030097007</v>
      </c>
      <c r="BJ4" s="48">
        <f t="shared" si="19"/>
        <v>0.2075980900975711</v>
      </c>
      <c r="BK4" s="9" t="str">
        <f>"003"</f>
        <v>003</v>
      </c>
      <c r="BL4" s="9" t="str">
        <f>"8080 8080 86 1-1"</f>
        <v>8080 8080 86 1-1</v>
      </c>
      <c r="BM4" s="9" t="str">
        <f>"105 Z"</f>
        <v>105 Z</v>
      </c>
      <c r="BN4" s="10">
        <f t="shared" si="32"/>
        <v>798.77290440262004</v>
      </c>
      <c r="BO4" s="11">
        <f t="shared" si="33"/>
        <v>83.756944444444429</v>
      </c>
    </row>
    <row r="5" spans="1:67">
      <c r="A5" s="15" t="s">
        <v>217</v>
      </c>
      <c r="B5" s="9" t="str">
        <f>"004"</f>
        <v>004</v>
      </c>
      <c r="C5" s="9" t="str">
        <f>"8080 10288 46x2 1-1"</f>
        <v>8080 10288 46x2 1-1</v>
      </c>
      <c r="D5" s="9" t="str">
        <f>"17 Z"</f>
        <v>17 Z</v>
      </c>
      <c r="E5" s="10">
        <f t="shared" si="20"/>
        <v>800.77711703575835</v>
      </c>
      <c r="F5" s="11">
        <f t="shared" si="21"/>
        <v>83.356527777777785</v>
      </c>
      <c r="G5" s="11">
        <v>600.16700000000003</v>
      </c>
      <c r="H5" s="11">
        <v>119.833</v>
      </c>
      <c r="I5" s="11">
        <v>480.6</v>
      </c>
      <c r="J5" s="65">
        <f t="shared" si="0"/>
        <v>10.002783333333333</v>
      </c>
      <c r="K5" s="11">
        <v>138.69999999999999</v>
      </c>
      <c r="L5" s="11">
        <v>2216775.6</v>
      </c>
      <c r="M5" s="11">
        <v>36010</v>
      </c>
      <c r="N5" s="11">
        <f t="shared" si="22"/>
        <v>61.56</v>
      </c>
      <c r="O5" s="13">
        <v>4</v>
      </c>
      <c r="P5" s="14">
        <v>0.93300000000000005</v>
      </c>
      <c r="Q5" s="13">
        <v>36</v>
      </c>
      <c r="R5" s="67">
        <f t="shared" si="1"/>
        <v>3</v>
      </c>
      <c r="S5" s="14">
        <v>69.7</v>
      </c>
      <c r="T5" s="12">
        <f t="shared" si="23"/>
        <v>3.5989982788123971</v>
      </c>
      <c r="U5" s="12">
        <f t="shared" si="24"/>
        <v>86.37595869149753</v>
      </c>
      <c r="V5" s="12">
        <f t="shared" si="25"/>
        <v>7.4906367041198498</v>
      </c>
      <c r="W5" s="70">
        <f t="shared" si="2"/>
        <v>1.9361111111111111</v>
      </c>
      <c r="X5" s="13">
        <v>48</v>
      </c>
      <c r="Y5" s="67">
        <f t="shared" si="3"/>
        <v>4</v>
      </c>
      <c r="Z5" s="14">
        <v>45.082999999999998</v>
      </c>
      <c r="AA5" s="12">
        <f t="shared" si="4"/>
        <v>4.7986643717498625</v>
      </c>
      <c r="AB5" s="12">
        <f t="shared" si="5"/>
        <v>115.16794492199671</v>
      </c>
      <c r="AC5" s="12">
        <f t="shared" si="6"/>
        <v>9.9875156054931331</v>
      </c>
      <c r="AD5" s="67">
        <f t="shared" si="7"/>
        <v>0.8322929671244278</v>
      </c>
      <c r="AE5" s="13">
        <v>3</v>
      </c>
      <c r="AF5" s="14">
        <v>4.117</v>
      </c>
      <c r="AG5" s="10">
        <v>0</v>
      </c>
      <c r="AH5" s="12">
        <f t="shared" si="8"/>
        <v>0</v>
      </c>
      <c r="AI5" s="12">
        <f t="shared" si="9"/>
        <v>0</v>
      </c>
      <c r="AJ5" s="12">
        <f t="shared" si="10"/>
        <v>0</v>
      </c>
      <c r="AK5" s="13">
        <v>91</v>
      </c>
      <c r="AL5" s="52">
        <v>119.833</v>
      </c>
      <c r="AM5" s="61">
        <v>84</v>
      </c>
      <c r="AN5" s="16">
        <f t="shared" si="26"/>
        <v>8.3976626505622605</v>
      </c>
      <c r="AO5" s="48">
        <f t="shared" si="27"/>
        <v>201.54390361349422</v>
      </c>
      <c r="AP5" s="48">
        <f t="shared" si="28"/>
        <v>17.478152309612984</v>
      </c>
      <c r="AQ5" s="57">
        <v>9</v>
      </c>
      <c r="AR5" s="14">
        <v>9.8330000000000002</v>
      </c>
      <c r="AS5" s="12">
        <f t="shared" si="29"/>
        <v>0.89974956970309927</v>
      </c>
      <c r="AT5" s="12">
        <f t="shared" si="30"/>
        <v>21.593989672874383</v>
      </c>
      <c r="AU5" s="12">
        <f t="shared" si="31"/>
        <v>1.8726591760299625</v>
      </c>
      <c r="AV5" s="13">
        <v>20</v>
      </c>
      <c r="AW5" s="14">
        <v>15.15</v>
      </c>
      <c r="AX5" s="12">
        <f t="shared" si="11"/>
        <v>1.9994434882291094</v>
      </c>
      <c r="AY5" s="12">
        <f t="shared" si="12"/>
        <v>47.98664371749863</v>
      </c>
      <c r="AZ5" s="12">
        <f t="shared" si="13"/>
        <v>4.1614648356221391</v>
      </c>
      <c r="BA5" s="13">
        <v>9</v>
      </c>
      <c r="BB5" s="14">
        <v>8.25</v>
      </c>
      <c r="BC5" s="12">
        <f t="shared" si="14"/>
        <v>0.89974956970309927</v>
      </c>
      <c r="BD5" s="12">
        <f t="shared" si="15"/>
        <v>21.593989672874383</v>
      </c>
      <c r="BE5" s="12">
        <f t="shared" si="16"/>
        <v>1.8726591760299625</v>
      </c>
      <c r="BF5" s="13">
        <v>10</v>
      </c>
      <c r="BG5" s="52">
        <v>11.85</v>
      </c>
      <c r="BH5" s="48">
        <f t="shared" si="17"/>
        <v>0.99972174411455472</v>
      </c>
      <c r="BI5" s="48">
        <f t="shared" si="18"/>
        <v>23.993321858749315</v>
      </c>
      <c r="BJ5" s="48">
        <f t="shared" si="19"/>
        <v>2.0807324178110695</v>
      </c>
      <c r="BK5" s="9" t="str">
        <f>"004"</f>
        <v>004</v>
      </c>
      <c r="BL5" s="9" t="str">
        <f>"8080 10288 46x2 1-1"</f>
        <v>8080 10288 46x2 1-1</v>
      </c>
      <c r="BM5" s="9" t="str">
        <f>"17 Z"</f>
        <v>17 Z</v>
      </c>
      <c r="BN5" s="10">
        <f t="shared" si="32"/>
        <v>800.77711703575835</v>
      </c>
      <c r="BO5" s="11">
        <f t="shared" si="33"/>
        <v>83.356527777777785</v>
      </c>
    </row>
    <row r="6" spans="1:67">
      <c r="A6" s="15" t="s">
        <v>217</v>
      </c>
      <c r="B6" s="9" t="str">
        <f>"005"</f>
        <v>005</v>
      </c>
      <c r="C6" s="9" t="str">
        <f>"6060 18590 118 strip"</f>
        <v>6060 18590 118 strip</v>
      </c>
      <c r="D6" s="9" t="str">
        <f>"1168 Z"</f>
        <v>1168 Z</v>
      </c>
      <c r="E6" s="10">
        <f t="shared" si="20"/>
        <v>674.60704871619646</v>
      </c>
      <c r="F6" s="11">
        <f t="shared" si="21"/>
        <v>71.344988507348347</v>
      </c>
      <c r="G6" s="11">
        <v>512.15</v>
      </c>
      <c r="H6" s="11">
        <v>205.7</v>
      </c>
      <c r="I6" s="11">
        <v>345.5</v>
      </c>
      <c r="J6" s="65">
        <f t="shared" si="0"/>
        <v>8.5358333333333327</v>
      </c>
      <c r="K6" s="11">
        <v>108.5</v>
      </c>
      <c r="L6" s="11">
        <v>2462622.06</v>
      </c>
      <c r="M6" s="11">
        <v>30729</v>
      </c>
      <c r="N6" s="11">
        <f t="shared" si="22"/>
        <v>80.14</v>
      </c>
      <c r="O6" s="13">
        <v>2</v>
      </c>
      <c r="P6" s="14">
        <v>1.5669999999999999</v>
      </c>
      <c r="Q6" s="13">
        <v>19</v>
      </c>
      <c r="R6" s="67">
        <f t="shared" si="1"/>
        <v>1.5833333333333333</v>
      </c>
      <c r="S6" s="14">
        <v>60.75</v>
      </c>
      <c r="T6" s="12">
        <f t="shared" si="23"/>
        <v>2.2259103778189986</v>
      </c>
      <c r="U6" s="12">
        <f t="shared" si="24"/>
        <v>53.421849067655963</v>
      </c>
      <c r="V6" s="12">
        <f t="shared" si="25"/>
        <v>5.4992764109985526</v>
      </c>
      <c r="W6" s="70">
        <f t="shared" si="2"/>
        <v>3.1973684210526314</v>
      </c>
      <c r="X6" s="13">
        <v>36</v>
      </c>
      <c r="Y6" s="67">
        <f t="shared" si="3"/>
        <v>3</v>
      </c>
      <c r="Z6" s="14">
        <v>33.683</v>
      </c>
      <c r="AA6" s="12">
        <f t="shared" si="4"/>
        <v>4.2175144000781026</v>
      </c>
      <c r="AB6" s="12">
        <f t="shared" si="5"/>
        <v>101.22034560187446</v>
      </c>
      <c r="AC6" s="12">
        <f t="shared" si="6"/>
        <v>10.419681620839363</v>
      </c>
      <c r="AD6" s="67">
        <f t="shared" si="7"/>
        <v>0.86830680173661356</v>
      </c>
      <c r="AE6" s="13">
        <v>4</v>
      </c>
      <c r="AF6" s="14">
        <v>109.7</v>
      </c>
      <c r="AG6" s="10">
        <v>0</v>
      </c>
      <c r="AH6" s="12">
        <f t="shared" si="8"/>
        <v>0</v>
      </c>
      <c r="AI6" s="12">
        <f t="shared" si="9"/>
        <v>0</v>
      </c>
      <c r="AJ6" s="12">
        <f t="shared" si="10"/>
        <v>0</v>
      </c>
      <c r="AK6" s="13">
        <v>61</v>
      </c>
      <c r="AL6" s="52">
        <v>205.7</v>
      </c>
      <c r="AM6" s="61">
        <v>55</v>
      </c>
      <c r="AN6" s="16">
        <f t="shared" si="26"/>
        <v>6.4434247778971008</v>
      </c>
      <c r="AO6" s="48">
        <f t="shared" si="27"/>
        <v>154.64219466953043</v>
      </c>
      <c r="AP6" s="48">
        <f t="shared" si="28"/>
        <v>15.918958031837915</v>
      </c>
      <c r="AQ6" s="57">
        <v>10</v>
      </c>
      <c r="AR6" s="14">
        <v>5.9829999999999997</v>
      </c>
      <c r="AS6" s="12">
        <f t="shared" si="29"/>
        <v>1.1715317777994729</v>
      </c>
      <c r="AT6" s="12">
        <f t="shared" si="30"/>
        <v>28.116762667187349</v>
      </c>
      <c r="AU6" s="12">
        <f t="shared" si="31"/>
        <v>2.8943560057887119</v>
      </c>
      <c r="AV6" s="13">
        <v>15</v>
      </c>
      <c r="AW6" s="14">
        <v>11.717000000000001</v>
      </c>
      <c r="AX6" s="12">
        <f t="shared" si="11"/>
        <v>1.7572976666992093</v>
      </c>
      <c r="AY6" s="12">
        <f t="shared" si="12"/>
        <v>42.175144000781025</v>
      </c>
      <c r="AZ6" s="12">
        <f t="shared" si="13"/>
        <v>4.3415340086830678</v>
      </c>
      <c r="BA6" s="13">
        <v>10</v>
      </c>
      <c r="BB6" s="14">
        <v>13.867000000000001</v>
      </c>
      <c r="BC6" s="12">
        <f t="shared" si="14"/>
        <v>1.1715317777994729</v>
      </c>
      <c r="BD6" s="12">
        <f t="shared" si="15"/>
        <v>28.116762667187349</v>
      </c>
      <c r="BE6" s="12">
        <f t="shared" si="16"/>
        <v>2.8943560057887119</v>
      </c>
      <c r="BF6" s="13">
        <v>1</v>
      </c>
      <c r="BG6" s="52">
        <v>2.117</v>
      </c>
      <c r="BH6" s="48">
        <f t="shared" si="17"/>
        <v>0.11715317777994728</v>
      </c>
      <c r="BI6" s="48">
        <f t="shared" si="18"/>
        <v>2.8116762667187349</v>
      </c>
      <c r="BJ6" s="48">
        <f t="shared" si="19"/>
        <v>0.28943560057887119</v>
      </c>
      <c r="BK6" s="9" t="str">
        <f>"005"</f>
        <v>005</v>
      </c>
      <c r="BL6" s="9" t="str">
        <f>"6060 18590 118 strip"</f>
        <v>6060 18590 118 strip</v>
      </c>
      <c r="BM6" s="9" t="str">
        <f>"1168 Z"</f>
        <v>1168 Z</v>
      </c>
      <c r="BN6" s="10">
        <f t="shared" si="32"/>
        <v>674.60704871619646</v>
      </c>
      <c r="BO6" s="11">
        <f t="shared" si="33"/>
        <v>71.344988507348347</v>
      </c>
    </row>
    <row r="7" spans="1:67">
      <c r="A7" s="15" t="s">
        <v>217</v>
      </c>
      <c r="B7" s="9" t="str">
        <f>"006"</f>
        <v>006</v>
      </c>
      <c r="C7" s="9" t="str">
        <f>"4040 10080 124 1-1"</f>
        <v>4040 10080 124 1-1</v>
      </c>
      <c r="D7" s="9" t="str">
        <f>"1042 Z"</f>
        <v>1042 Z</v>
      </c>
      <c r="E7" s="10">
        <f t="shared" si="20"/>
        <v>672.76745599559536</v>
      </c>
      <c r="F7" s="11">
        <f t="shared" si="21"/>
        <v>89.755449531707441</v>
      </c>
      <c r="G7" s="11">
        <v>646.58299999999997</v>
      </c>
      <c r="H7" s="11">
        <v>73.8</v>
      </c>
      <c r="I7" s="11">
        <v>435</v>
      </c>
      <c r="J7" s="65">
        <f t="shared" si="0"/>
        <v>10.776383333333333</v>
      </c>
      <c r="K7" s="11">
        <v>129.19999999999999</v>
      </c>
      <c r="L7" s="11">
        <v>4305469.0999999996</v>
      </c>
      <c r="M7" s="11">
        <v>38795</v>
      </c>
      <c r="N7" s="11">
        <f t="shared" si="22"/>
        <v>110.97999999999999</v>
      </c>
      <c r="O7" s="13">
        <v>5</v>
      </c>
      <c r="P7" s="14">
        <v>2.2170000000000001</v>
      </c>
      <c r="Q7" s="13">
        <v>16</v>
      </c>
      <c r="R7" s="67">
        <f t="shared" si="1"/>
        <v>1.3333333333333333</v>
      </c>
      <c r="S7" s="14">
        <v>30.667000000000002</v>
      </c>
      <c r="T7" s="12">
        <f t="shared" si="23"/>
        <v>1.4847281787489</v>
      </c>
      <c r="U7" s="12">
        <f t="shared" si="24"/>
        <v>35.633476289973601</v>
      </c>
      <c r="V7" s="12">
        <f t="shared" si="25"/>
        <v>3.6781609195402298</v>
      </c>
      <c r="W7" s="70">
        <f t="shared" si="2"/>
        <v>1.9166875000000001</v>
      </c>
      <c r="X7" s="13">
        <v>34</v>
      </c>
      <c r="Y7" s="67">
        <f t="shared" si="3"/>
        <v>2.8333333333333335</v>
      </c>
      <c r="Z7" s="14">
        <v>37.783000000000001</v>
      </c>
      <c r="AA7" s="12">
        <f t="shared" si="4"/>
        <v>3.1550473798414127</v>
      </c>
      <c r="AB7" s="12">
        <f t="shared" si="5"/>
        <v>75.721137116193901</v>
      </c>
      <c r="AC7" s="12">
        <f t="shared" si="6"/>
        <v>7.8160919540229887</v>
      </c>
      <c r="AD7" s="67">
        <f t="shared" si="7"/>
        <v>0.65134099616858243</v>
      </c>
      <c r="AE7" s="13">
        <v>5</v>
      </c>
      <c r="AF7" s="14">
        <v>3.1339999999999999</v>
      </c>
      <c r="AG7" s="10">
        <v>0</v>
      </c>
      <c r="AH7" s="12">
        <f t="shared" si="8"/>
        <v>0</v>
      </c>
      <c r="AI7" s="12">
        <f t="shared" si="9"/>
        <v>0</v>
      </c>
      <c r="AJ7" s="12">
        <f t="shared" si="10"/>
        <v>0</v>
      </c>
      <c r="AK7" s="13">
        <v>60</v>
      </c>
      <c r="AL7" s="52">
        <v>73.801000000000002</v>
      </c>
      <c r="AM7" s="61">
        <v>50</v>
      </c>
      <c r="AN7" s="16">
        <f t="shared" si="26"/>
        <v>4.6397755585903129</v>
      </c>
      <c r="AO7" s="48">
        <f t="shared" si="27"/>
        <v>111.3546134061675</v>
      </c>
      <c r="AP7" s="48">
        <f t="shared" si="28"/>
        <v>11.494252873563218</v>
      </c>
      <c r="AQ7" s="57">
        <v>17</v>
      </c>
      <c r="AR7" s="14">
        <v>15.317</v>
      </c>
      <c r="AS7" s="12">
        <f t="shared" si="29"/>
        <v>1.5775236899207064</v>
      </c>
      <c r="AT7" s="12">
        <f t="shared" si="30"/>
        <v>37.860568558096951</v>
      </c>
      <c r="AU7" s="12">
        <f t="shared" si="31"/>
        <v>3.9080459770114944</v>
      </c>
      <c r="AV7" s="13">
        <v>17</v>
      </c>
      <c r="AW7" s="14">
        <v>22.117000000000001</v>
      </c>
      <c r="AX7" s="12">
        <f t="shared" si="11"/>
        <v>1.5775236899207064</v>
      </c>
      <c r="AY7" s="12">
        <f t="shared" si="12"/>
        <v>37.860568558096951</v>
      </c>
      <c r="AZ7" s="12">
        <f t="shared" si="13"/>
        <v>3.9080459770114944</v>
      </c>
      <c r="BA7" s="13">
        <v>0</v>
      </c>
      <c r="BB7" s="14">
        <v>0</v>
      </c>
      <c r="BC7" s="12">
        <f t="shared" si="14"/>
        <v>0</v>
      </c>
      <c r="BD7" s="12">
        <f t="shared" si="15"/>
        <v>0</v>
      </c>
      <c r="BE7" s="12">
        <f t="shared" si="16"/>
        <v>0</v>
      </c>
      <c r="BF7" s="13">
        <v>0</v>
      </c>
      <c r="BG7" s="52">
        <v>0.35</v>
      </c>
      <c r="BH7" s="48">
        <f t="shared" si="17"/>
        <v>0</v>
      </c>
      <c r="BI7" s="48">
        <f t="shared" si="18"/>
        <v>0</v>
      </c>
      <c r="BJ7" s="48">
        <f t="shared" si="19"/>
        <v>0</v>
      </c>
      <c r="BK7" s="9" t="str">
        <f>"006"</f>
        <v>006</v>
      </c>
      <c r="BL7" s="9" t="str">
        <f>"4040 10080 124 1-1"</f>
        <v>4040 10080 124 1-1</v>
      </c>
      <c r="BM7" s="9" t="str">
        <f>"1042 Z"</f>
        <v>1042 Z</v>
      </c>
      <c r="BN7" s="10">
        <f t="shared" si="32"/>
        <v>672.76745599559536</v>
      </c>
      <c r="BO7" s="11">
        <f t="shared" si="33"/>
        <v>89.755449531707441</v>
      </c>
    </row>
    <row r="8" spans="1:67">
      <c r="A8" s="15" t="s">
        <v>217</v>
      </c>
      <c r="B8" s="9" t="str">
        <f>"007"</f>
        <v>007</v>
      </c>
      <c r="C8" s="9" t="str">
        <f>"6060 18587 126 4-1"</f>
        <v>6060 18587 126 4-1</v>
      </c>
      <c r="D8" s="9" t="str">
        <f>"1014 Z"</f>
        <v>1014 Z</v>
      </c>
      <c r="E8" s="10">
        <f t="shared" si="20"/>
        <v>563.38689671809527</v>
      </c>
      <c r="F8" s="11">
        <f t="shared" si="21"/>
        <v>65.057916666666657</v>
      </c>
      <c r="G8" s="11">
        <v>468.41699999999997</v>
      </c>
      <c r="H8" s="11">
        <v>251.583</v>
      </c>
      <c r="I8" s="11">
        <v>263.89999999999998</v>
      </c>
      <c r="J8" s="65">
        <f t="shared" si="0"/>
        <v>7.8069499999999996</v>
      </c>
      <c r="K8" s="11">
        <v>77</v>
      </c>
      <c r="L8" s="11">
        <v>2489821.9500000002</v>
      </c>
      <c r="M8" s="11">
        <v>28105</v>
      </c>
      <c r="N8" s="11">
        <f t="shared" si="22"/>
        <v>88.59</v>
      </c>
      <c r="O8" s="13">
        <v>3</v>
      </c>
      <c r="P8" s="14">
        <v>1</v>
      </c>
      <c r="Q8" s="13">
        <v>73</v>
      </c>
      <c r="R8" s="67">
        <f t="shared" si="1"/>
        <v>6.083333333333333</v>
      </c>
      <c r="S8" s="14">
        <v>157.06700000000001</v>
      </c>
      <c r="T8" s="12">
        <f t="shared" si="23"/>
        <v>9.3506426965716454</v>
      </c>
      <c r="U8" s="12">
        <f t="shared" si="24"/>
        <v>224.41542471771947</v>
      </c>
      <c r="V8" s="12">
        <f t="shared" si="25"/>
        <v>27.66199317923456</v>
      </c>
      <c r="W8" s="70">
        <f t="shared" si="2"/>
        <v>2.1516027397260276</v>
      </c>
      <c r="X8" s="13">
        <v>48</v>
      </c>
      <c r="Y8" s="67">
        <f t="shared" si="3"/>
        <v>4</v>
      </c>
      <c r="Z8" s="14">
        <v>48.65</v>
      </c>
      <c r="AA8" s="12">
        <f t="shared" si="4"/>
        <v>6.1483678004854649</v>
      </c>
      <c r="AB8" s="12">
        <f t="shared" si="5"/>
        <v>147.56082721165117</v>
      </c>
      <c r="AC8" s="12">
        <f t="shared" si="6"/>
        <v>18.188707843880259</v>
      </c>
      <c r="AD8" s="67">
        <f t="shared" si="7"/>
        <v>1.5157256536566883</v>
      </c>
      <c r="AE8" s="13">
        <v>3</v>
      </c>
      <c r="AF8" s="14">
        <v>44.866</v>
      </c>
      <c r="AG8" s="10">
        <v>0</v>
      </c>
      <c r="AH8" s="12">
        <f t="shared" si="8"/>
        <v>0</v>
      </c>
      <c r="AI8" s="12">
        <f t="shared" si="9"/>
        <v>0</v>
      </c>
      <c r="AJ8" s="12">
        <f t="shared" si="10"/>
        <v>0</v>
      </c>
      <c r="AK8" s="13">
        <v>127</v>
      </c>
      <c r="AL8" s="52">
        <v>251.583</v>
      </c>
      <c r="AM8" s="61">
        <v>121</v>
      </c>
      <c r="AN8" s="16">
        <f t="shared" si="26"/>
        <v>15.49901049705711</v>
      </c>
      <c r="AO8" s="48">
        <f t="shared" si="27"/>
        <v>371.97625192937062</v>
      </c>
      <c r="AP8" s="48">
        <f t="shared" si="28"/>
        <v>45.850701023114823</v>
      </c>
      <c r="AQ8" s="57">
        <v>32</v>
      </c>
      <c r="AR8" s="14">
        <v>26.132999999999999</v>
      </c>
      <c r="AS8" s="12">
        <f t="shared" si="29"/>
        <v>4.09891186699031</v>
      </c>
      <c r="AT8" s="12">
        <f t="shared" si="30"/>
        <v>98.373884807767439</v>
      </c>
      <c r="AU8" s="12">
        <f t="shared" si="31"/>
        <v>12.125805229253507</v>
      </c>
      <c r="AV8" s="13">
        <v>12</v>
      </c>
      <c r="AW8" s="14">
        <v>16.632999999999999</v>
      </c>
      <c r="AX8" s="12">
        <f t="shared" si="11"/>
        <v>1.5370919501213662</v>
      </c>
      <c r="AY8" s="12">
        <f t="shared" si="12"/>
        <v>36.890206802912793</v>
      </c>
      <c r="AZ8" s="12">
        <f t="shared" si="13"/>
        <v>4.5471769609700647</v>
      </c>
      <c r="BA8" s="13">
        <v>2</v>
      </c>
      <c r="BB8" s="14">
        <v>4.6829999999999998</v>
      </c>
      <c r="BC8" s="12">
        <f t="shared" si="14"/>
        <v>0.25618199168689437</v>
      </c>
      <c r="BD8" s="12">
        <f t="shared" si="15"/>
        <v>6.1483678004854649</v>
      </c>
      <c r="BE8" s="12">
        <f t="shared" si="16"/>
        <v>0.75786282682834416</v>
      </c>
      <c r="BF8" s="13">
        <v>2</v>
      </c>
      <c r="BG8" s="52">
        <v>1.2</v>
      </c>
      <c r="BH8" s="48">
        <f t="shared" si="17"/>
        <v>0.25618199168689437</v>
      </c>
      <c r="BI8" s="48">
        <f t="shared" si="18"/>
        <v>6.1483678004854649</v>
      </c>
      <c r="BJ8" s="48">
        <f t="shared" si="19"/>
        <v>0.75786282682834416</v>
      </c>
      <c r="BK8" s="9" t="str">
        <f>"007"</f>
        <v>007</v>
      </c>
      <c r="BL8" s="9" t="str">
        <f>"6060 18587 126 4-1"</f>
        <v>6060 18587 126 4-1</v>
      </c>
      <c r="BM8" s="9" t="str">
        <f>"1014 Z"</f>
        <v>1014 Z</v>
      </c>
      <c r="BN8" s="10">
        <f t="shared" si="32"/>
        <v>563.38689671809527</v>
      </c>
      <c r="BO8" s="11">
        <f t="shared" si="33"/>
        <v>65.057916666666657</v>
      </c>
    </row>
    <row r="9" spans="1:67">
      <c r="A9" s="15" t="s">
        <v>217</v>
      </c>
      <c r="B9" s="9" t="str">
        <f>"008"</f>
        <v>008</v>
      </c>
      <c r="C9" s="9" t="str">
        <f>"6060 18587 123 4-1"</f>
        <v>6060 18587 123 4-1</v>
      </c>
      <c r="D9" s="9" t="str">
        <f>"317 Z"</f>
        <v>317 Z</v>
      </c>
      <c r="E9" s="10">
        <f t="shared" si="20"/>
        <v>650.54769102972534</v>
      </c>
      <c r="F9" s="11">
        <f t="shared" si="21"/>
        <v>92.294027777777799</v>
      </c>
      <c r="G9" s="11">
        <v>664.51700000000005</v>
      </c>
      <c r="H9" s="11">
        <v>55.482999999999997</v>
      </c>
      <c r="I9" s="11">
        <v>432.3</v>
      </c>
      <c r="J9" s="65">
        <f t="shared" si="0"/>
        <v>11.075283333333335</v>
      </c>
      <c r="K9" s="11">
        <v>126.2</v>
      </c>
      <c r="L9" s="11">
        <v>3522204.14</v>
      </c>
      <c r="M9" s="11">
        <v>39871</v>
      </c>
      <c r="N9" s="11">
        <f t="shared" si="22"/>
        <v>88.34</v>
      </c>
      <c r="O9" s="13">
        <v>5</v>
      </c>
      <c r="P9" s="14">
        <v>2.0499999999999998</v>
      </c>
      <c r="Q9" s="13">
        <v>11</v>
      </c>
      <c r="R9" s="67">
        <f t="shared" si="1"/>
        <v>0.91666666666666663</v>
      </c>
      <c r="S9" s="14">
        <v>21.466999999999999</v>
      </c>
      <c r="T9" s="12">
        <f t="shared" si="23"/>
        <v>0.99320258172477149</v>
      </c>
      <c r="U9" s="12">
        <f t="shared" si="24"/>
        <v>23.836861961394515</v>
      </c>
      <c r="V9" s="12">
        <f t="shared" si="25"/>
        <v>2.5445292620865141</v>
      </c>
      <c r="W9" s="70">
        <f t="shared" si="2"/>
        <v>1.9515454545454545</v>
      </c>
      <c r="X9" s="13">
        <v>31</v>
      </c>
      <c r="Y9" s="67">
        <f t="shared" si="3"/>
        <v>2.5833333333333335</v>
      </c>
      <c r="Z9" s="14">
        <v>28.832999999999998</v>
      </c>
      <c r="AA9" s="12">
        <f t="shared" si="4"/>
        <v>2.7990254575879923</v>
      </c>
      <c r="AB9" s="12">
        <f t="shared" si="5"/>
        <v>67.176610982111811</v>
      </c>
      <c r="AC9" s="12">
        <f t="shared" si="6"/>
        <v>7.1709461022438123</v>
      </c>
      <c r="AD9" s="67">
        <f t="shared" si="7"/>
        <v>0.59757884185365107</v>
      </c>
      <c r="AE9" s="13">
        <v>5</v>
      </c>
      <c r="AF9" s="14">
        <v>3.1339999999999999</v>
      </c>
      <c r="AG9" s="10">
        <v>0</v>
      </c>
      <c r="AH9" s="12">
        <f t="shared" si="8"/>
        <v>0</v>
      </c>
      <c r="AI9" s="12">
        <f t="shared" si="9"/>
        <v>0</v>
      </c>
      <c r="AJ9" s="12">
        <f t="shared" si="10"/>
        <v>0</v>
      </c>
      <c r="AK9" s="13">
        <v>52</v>
      </c>
      <c r="AL9" s="52">
        <v>55.484000000000002</v>
      </c>
      <c r="AM9" s="61">
        <v>42</v>
      </c>
      <c r="AN9" s="16">
        <f t="shared" si="26"/>
        <v>3.7922280393127639</v>
      </c>
      <c r="AO9" s="48">
        <f t="shared" si="27"/>
        <v>91.013472943506329</v>
      </c>
      <c r="AP9" s="48">
        <f t="shared" si="28"/>
        <v>9.7154753643303255</v>
      </c>
      <c r="AQ9" s="57">
        <v>20</v>
      </c>
      <c r="AR9" s="14">
        <v>18.899999999999999</v>
      </c>
      <c r="AS9" s="12">
        <f t="shared" si="29"/>
        <v>1.8058228758632209</v>
      </c>
      <c r="AT9" s="12">
        <f t="shared" si="30"/>
        <v>43.339749020717299</v>
      </c>
      <c r="AU9" s="12">
        <f t="shared" si="31"/>
        <v>4.6264168401572983</v>
      </c>
      <c r="AV9" s="13">
        <v>11</v>
      </c>
      <c r="AW9" s="14">
        <v>9.5830000000000002</v>
      </c>
      <c r="AX9" s="12">
        <f t="shared" si="11"/>
        <v>0.99320258172477149</v>
      </c>
      <c r="AY9" s="12">
        <f t="shared" si="12"/>
        <v>23.836861961394515</v>
      </c>
      <c r="AZ9" s="12">
        <f t="shared" si="13"/>
        <v>2.5445292620865141</v>
      </c>
      <c r="BA9" s="13">
        <v>0</v>
      </c>
      <c r="BB9" s="14">
        <v>0</v>
      </c>
      <c r="BC9" s="12">
        <f t="shared" si="14"/>
        <v>0</v>
      </c>
      <c r="BD9" s="12">
        <f t="shared" si="15"/>
        <v>0</v>
      </c>
      <c r="BE9" s="12">
        <f t="shared" si="16"/>
        <v>0</v>
      </c>
      <c r="BF9" s="13">
        <v>0</v>
      </c>
      <c r="BG9" s="52">
        <v>0.35</v>
      </c>
      <c r="BH9" s="48">
        <f t="shared" si="17"/>
        <v>0</v>
      </c>
      <c r="BI9" s="48">
        <f t="shared" si="18"/>
        <v>0</v>
      </c>
      <c r="BJ9" s="48">
        <f t="shared" si="19"/>
        <v>0</v>
      </c>
      <c r="BK9" s="9" t="str">
        <f>"008"</f>
        <v>008</v>
      </c>
      <c r="BL9" s="9" t="str">
        <f>"6060 18587 123 4-1"</f>
        <v>6060 18587 123 4-1</v>
      </c>
      <c r="BM9" s="9" t="str">
        <f>"317 Z"</f>
        <v>317 Z</v>
      </c>
      <c r="BN9" s="10">
        <f t="shared" si="32"/>
        <v>650.54769102972534</v>
      </c>
      <c r="BO9" s="11">
        <f t="shared" si="33"/>
        <v>92.294027777777799</v>
      </c>
    </row>
    <row r="10" spans="1:67">
      <c r="A10" s="15" t="s">
        <v>217</v>
      </c>
      <c r="B10" s="9" t="str">
        <f>"009"</f>
        <v>009</v>
      </c>
      <c r="C10" s="9" t="str">
        <f>"6060 18587 126 4-1"</f>
        <v>6060 18587 126 4-1</v>
      </c>
      <c r="D10" s="9" t="str">
        <f>"1151 Z"</f>
        <v>1151 Z</v>
      </c>
      <c r="E10" s="10">
        <f t="shared" si="20"/>
        <v>645.6341049244794</v>
      </c>
      <c r="F10" s="11">
        <f t="shared" si="21"/>
        <v>77.7013888888889</v>
      </c>
      <c r="G10" s="11">
        <v>559.45000000000005</v>
      </c>
      <c r="H10" s="11">
        <v>160.55000000000001</v>
      </c>
      <c r="I10" s="11">
        <v>361.2</v>
      </c>
      <c r="J10" s="65">
        <f t="shared" si="0"/>
        <v>9.3241666666666667</v>
      </c>
      <c r="K10" s="11">
        <v>105.5</v>
      </c>
      <c r="L10" s="11">
        <v>3329510.73</v>
      </c>
      <c r="M10" s="11">
        <v>33567</v>
      </c>
      <c r="N10" s="11">
        <f t="shared" si="22"/>
        <v>99.19</v>
      </c>
      <c r="O10" s="13">
        <v>4</v>
      </c>
      <c r="P10" s="14">
        <v>1.6830000000000001</v>
      </c>
      <c r="Q10" s="13">
        <v>32</v>
      </c>
      <c r="R10" s="67">
        <f t="shared" si="1"/>
        <v>2.6666666666666665</v>
      </c>
      <c r="S10" s="14">
        <v>93.45</v>
      </c>
      <c r="T10" s="12">
        <f t="shared" si="23"/>
        <v>3.4319420859772989</v>
      </c>
      <c r="U10" s="12">
        <f t="shared" si="24"/>
        <v>82.36661006345517</v>
      </c>
      <c r="V10" s="12">
        <f t="shared" si="25"/>
        <v>8.8593576965669989</v>
      </c>
      <c r="W10" s="70">
        <f t="shared" si="2"/>
        <v>2.9203125000000001</v>
      </c>
      <c r="X10" s="13">
        <v>56</v>
      </c>
      <c r="Y10" s="67">
        <f t="shared" si="3"/>
        <v>4.666666666666667</v>
      </c>
      <c r="Z10" s="14">
        <v>64.016999999999996</v>
      </c>
      <c r="AA10" s="12">
        <f t="shared" si="4"/>
        <v>6.0058986504602734</v>
      </c>
      <c r="AB10" s="12">
        <f t="shared" si="5"/>
        <v>144.14156761104655</v>
      </c>
      <c r="AC10" s="12">
        <f t="shared" si="6"/>
        <v>15.503875968992249</v>
      </c>
      <c r="AD10" s="67">
        <f t="shared" si="7"/>
        <v>1.2919896640826873</v>
      </c>
      <c r="AE10" s="13">
        <v>1</v>
      </c>
      <c r="AF10" s="14">
        <v>1.4</v>
      </c>
      <c r="AG10" s="10">
        <v>0</v>
      </c>
      <c r="AH10" s="12">
        <f t="shared" si="8"/>
        <v>0</v>
      </c>
      <c r="AI10" s="12">
        <f t="shared" si="9"/>
        <v>0</v>
      </c>
      <c r="AJ10" s="12">
        <f t="shared" si="10"/>
        <v>0</v>
      </c>
      <c r="AK10" s="13">
        <v>93</v>
      </c>
      <c r="AL10" s="52">
        <v>160.55000000000001</v>
      </c>
      <c r="AM10" s="61">
        <v>88</v>
      </c>
      <c r="AN10" s="16">
        <f t="shared" si="26"/>
        <v>9.4378407364375718</v>
      </c>
      <c r="AO10" s="48">
        <f t="shared" si="27"/>
        <v>226.50817767450172</v>
      </c>
      <c r="AP10" s="48">
        <f t="shared" si="28"/>
        <v>24.363233665559246</v>
      </c>
      <c r="AQ10" s="57">
        <v>20</v>
      </c>
      <c r="AR10" s="14">
        <v>17.899999999999999</v>
      </c>
      <c r="AS10" s="12">
        <f t="shared" si="29"/>
        <v>2.1449638037358119</v>
      </c>
      <c r="AT10" s="12">
        <f t="shared" si="30"/>
        <v>51.479131289659485</v>
      </c>
      <c r="AU10" s="12">
        <f t="shared" si="31"/>
        <v>5.5370985603543748</v>
      </c>
      <c r="AV10" s="13">
        <v>29</v>
      </c>
      <c r="AW10" s="14">
        <v>36.116999999999997</v>
      </c>
      <c r="AX10" s="12">
        <f t="shared" si="11"/>
        <v>3.1101975154169272</v>
      </c>
      <c r="AY10" s="12">
        <f t="shared" si="12"/>
        <v>74.644740370006247</v>
      </c>
      <c r="AZ10" s="12">
        <f t="shared" si="13"/>
        <v>8.0287929125138433</v>
      </c>
      <c r="BA10" s="13">
        <v>2</v>
      </c>
      <c r="BB10" s="14">
        <v>4.25</v>
      </c>
      <c r="BC10" s="12">
        <f t="shared" si="14"/>
        <v>0.21449638037358118</v>
      </c>
      <c r="BD10" s="12">
        <f t="shared" si="15"/>
        <v>5.1479131289659481</v>
      </c>
      <c r="BE10" s="12">
        <f t="shared" si="16"/>
        <v>0.55370985603543743</v>
      </c>
      <c r="BF10" s="13">
        <v>5</v>
      </c>
      <c r="BG10" s="52">
        <v>5.75</v>
      </c>
      <c r="BH10" s="48">
        <f t="shared" si="17"/>
        <v>0.53624095093395296</v>
      </c>
      <c r="BI10" s="48">
        <f t="shared" si="18"/>
        <v>12.869782822414871</v>
      </c>
      <c r="BJ10" s="48">
        <f t="shared" si="19"/>
        <v>1.3842746400885937</v>
      </c>
      <c r="BK10" s="9" t="str">
        <f>"009"</f>
        <v>009</v>
      </c>
      <c r="BL10" s="9" t="str">
        <f>"6060 18587 126 4-1"</f>
        <v>6060 18587 126 4-1</v>
      </c>
      <c r="BM10" s="9" t="str">
        <f>"1151 Z"</f>
        <v>1151 Z</v>
      </c>
      <c r="BN10" s="10">
        <f t="shared" si="32"/>
        <v>645.6341049244794</v>
      </c>
      <c r="BO10" s="11">
        <f t="shared" si="33"/>
        <v>77.7013888888889</v>
      </c>
    </row>
    <row r="11" spans="1:67">
      <c r="A11" s="15" t="s">
        <v>217</v>
      </c>
      <c r="B11" s="9" t="str">
        <f>"010"</f>
        <v>010</v>
      </c>
      <c r="C11" s="9" t="str">
        <f>"4040 13079 67x59 4-1"</f>
        <v>4040 13079 67x59 4-1</v>
      </c>
      <c r="D11" s="9" t="str">
        <f>"1174 Z"</f>
        <v>1174 Z</v>
      </c>
      <c r="E11" s="10">
        <f t="shared" si="20"/>
        <v>662.11443371791859</v>
      </c>
      <c r="F11" s="11">
        <f t="shared" si="21"/>
        <v>88.479166666666657</v>
      </c>
      <c r="G11" s="11">
        <v>637.04999999999995</v>
      </c>
      <c r="H11" s="11">
        <v>82.95</v>
      </c>
      <c r="I11" s="11">
        <v>421.8</v>
      </c>
      <c r="J11" s="65">
        <f t="shared" si="0"/>
        <v>10.6175</v>
      </c>
      <c r="K11" s="11">
        <v>135.6</v>
      </c>
      <c r="L11" s="11">
        <v>3688519.5</v>
      </c>
      <c r="M11" s="11">
        <v>38223</v>
      </c>
      <c r="N11" s="11">
        <f t="shared" si="22"/>
        <v>96.5</v>
      </c>
      <c r="O11" s="13">
        <v>5</v>
      </c>
      <c r="P11" s="14">
        <v>2.5670000000000002</v>
      </c>
      <c r="Q11" s="13">
        <v>15</v>
      </c>
      <c r="R11" s="67">
        <f t="shared" si="1"/>
        <v>1.25</v>
      </c>
      <c r="S11" s="14">
        <v>37.049999999999997</v>
      </c>
      <c r="T11" s="12">
        <f t="shared" si="23"/>
        <v>1.4127619496114905</v>
      </c>
      <c r="U11" s="12">
        <f t="shared" si="24"/>
        <v>33.906286790675772</v>
      </c>
      <c r="V11" s="12">
        <f t="shared" si="25"/>
        <v>3.5561877667140824</v>
      </c>
      <c r="W11" s="70">
        <f t="shared" si="2"/>
        <v>2.4699999999999998</v>
      </c>
      <c r="X11" s="13">
        <v>31</v>
      </c>
      <c r="Y11" s="67">
        <f t="shared" si="3"/>
        <v>2.5833333333333335</v>
      </c>
      <c r="Z11" s="14">
        <v>37.15</v>
      </c>
      <c r="AA11" s="12">
        <f t="shared" si="4"/>
        <v>2.9197080291970803</v>
      </c>
      <c r="AB11" s="12">
        <f t="shared" si="5"/>
        <v>70.072992700729927</v>
      </c>
      <c r="AC11" s="12">
        <f t="shared" si="6"/>
        <v>7.3494547178757701</v>
      </c>
      <c r="AD11" s="67">
        <f t="shared" si="7"/>
        <v>0.6124545598229808</v>
      </c>
      <c r="AE11" s="13">
        <v>3</v>
      </c>
      <c r="AF11" s="14">
        <v>6.1829999999999998</v>
      </c>
      <c r="AG11" s="10">
        <v>0</v>
      </c>
      <c r="AH11" s="12">
        <f t="shared" si="8"/>
        <v>0</v>
      </c>
      <c r="AI11" s="12">
        <f t="shared" si="9"/>
        <v>0</v>
      </c>
      <c r="AJ11" s="12">
        <f t="shared" si="10"/>
        <v>0</v>
      </c>
      <c r="AK11" s="13">
        <v>54</v>
      </c>
      <c r="AL11" s="52">
        <v>82.95</v>
      </c>
      <c r="AM11" s="61">
        <v>46</v>
      </c>
      <c r="AN11" s="16">
        <f t="shared" si="26"/>
        <v>4.3324699788085708</v>
      </c>
      <c r="AO11" s="48">
        <f t="shared" si="27"/>
        <v>103.97927949140571</v>
      </c>
      <c r="AP11" s="48">
        <f t="shared" si="28"/>
        <v>10.905642484589853</v>
      </c>
      <c r="AQ11" s="57">
        <v>12</v>
      </c>
      <c r="AR11" s="14">
        <v>11.717000000000001</v>
      </c>
      <c r="AS11" s="12">
        <f t="shared" si="29"/>
        <v>1.1302095596891923</v>
      </c>
      <c r="AT11" s="12">
        <f t="shared" si="30"/>
        <v>27.125029432540618</v>
      </c>
      <c r="AU11" s="12">
        <f t="shared" si="31"/>
        <v>2.8449502133712659</v>
      </c>
      <c r="AV11" s="13">
        <v>9</v>
      </c>
      <c r="AW11" s="14">
        <v>15.117000000000001</v>
      </c>
      <c r="AX11" s="12">
        <f t="shared" si="11"/>
        <v>0.84765716976689431</v>
      </c>
      <c r="AY11" s="12">
        <f t="shared" si="12"/>
        <v>20.343772074405464</v>
      </c>
      <c r="AZ11" s="12">
        <f t="shared" si="13"/>
        <v>2.1337126600284493</v>
      </c>
      <c r="BA11" s="13">
        <v>7</v>
      </c>
      <c r="BB11" s="14">
        <v>6.3170000000000002</v>
      </c>
      <c r="BC11" s="12">
        <f t="shared" si="14"/>
        <v>0.65928890981869559</v>
      </c>
      <c r="BD11" s="12">
        <f t="shared" si="15"/>
        <v>15.822933835648694</v>
      </c>
      <c r="BE11" s="12">
        <f t="shared" si="16"/>
        <v>1.6595542911332384</v>
      </c>
      <c r="BF11" s="13">
        <v>3</v>
      </c>
      <c r="BG11" s="52">
        <v>4</v>
      </c>
      <c r="BH11" s="48">
        <f t="shared" si="17"/>
        <v>0.28255238992229809</v>
      </c>
      <c r="BI11" s="48">
        <f t="shared" si="18"/>
        <v>6.7812573581351545</v>
      </c>
      <c r="BJ11" s="48">
        <f t="shared" si="19"/>
        <v>0.71123755334281646</v>
      </c>
      <c r="BK11" s="9" t="str">
        <f>"010"</f>
        <v>010</v>
      </c>
      <c r="BL11" s="9" t="str">
        <f>"4040 13079 67x59 4-1"</f>
        <v>4040 13079 67x59 4-1</v>
      </c>
      <c r="BM11" s="9" t="str">
        <f>"1174 Z"</f>
        <v>1174 Z</v>
      </c>
      <c r="BN11" s="10">
        <f t="shared" si="32"/>
        <v>662.11443371791859</v>
      </c>
      <c r="BO11" s="11">
        <f t="shared" si="33"/>
        <v>88.479166666666657</v>
      </c>
    </row>
    <row r="12" spans="1:67">
      <c r="A12" s="15" t="s">
        <v>217</v>
      </c>
      <c r="B12" s="9" t="str">
        <f>"011"</f>
        <v>011</v>
      </c>
      <c r="C12" s="9" t="str">
        <f>"4040 11083 123 1-1"</f>
        <v>4040 11083 123 1-1</v>
      </c>
      <c r="D12" s="9" t="str">
        <f>"1036 Z"</f>
        <v>1036 Z</v>
      </c>
      <c r="E12" s="10">
        <f t="shared" si="20"/>
        <v>671.96185231119807</v>
      </c>
      <c r="F12" s="11">
        <f t="shared" si="21"/>
        <v>90.02697037451091</v>
      </c>
      <c r="G12" s="11">
        <v>644.23299999999995</v>
      </c>
      <c r="H12" s="11">
        <v>71.367000000000004</v>
      </c>
      <c r="I12" s="11">
        <v>432.9</v>
      </c>
      <c r="J12" s="65">
        <f t="shared" si="0"/>
        <v>10.737216666666665</v>
      </c>
      <c r="K12" s="11">
        <v>127.7</v>
      </c>
      <c r="L12" s="11">
        <v>4494687.12</v>
      </c>
      <c r="M12" s="11">
        <v>38654</v>
      </c>
      <c r="N12" s="11">
        <f t="shared" si="22"/>
        <v>116.28</v>
      </c>
      <c r="O12" s="13">
        <v>5</v>
      </c>
      <c r="P12" s="14">
        <v>1.75</v>
      </c>
      <c r="Q12" s="13">
        <v>15</v>
      </c>
      <c r="R12" s="67">
        <f t="shared" si="1"/>
        <v>1.25</v>
      </c>
      <c r="S12" s="14">
        <v>25.667000000000002</v>
      </c>
      <c r="T12" s="12">
        <f t="shared" si="23"/>
        <v>1.3970100879650686</v>
      </c>
      <c r="U12" s="12">
        <f t="shared" si="24"/>
        <v>33.528242111161646</v>
      </c>
      <c r="V12" s="12">
        <f t="shared" si="25"/>
        <v>3.4650034650034653</v>
      </c>
      <c r="W12" s="70">
        <f t="shared" si="2"/>
        <v>1.7111333333333334</v>
      </c>
      <c r="X12" s="13">
        <v>37</v>
      </c>
      <c r="Y12" s="67">
        <f t="shared" si="3"/>
        <v>3.0833333333333335</v>
      </c>
      <c r="Z12" s="14">
        <v>40.167000000000002</v>
      </c>
      <c r="AA12" s="12">
        <f t="shared" si="4"/>
        <v>3.4459582169805025</v>
      </c>
      <c r="AB12" s="12">
        <f t="shared" si="5"/>
        <v>82.702997207532064</v>
      </c>
      <c r="AC12" s="12">
        <f t="shared" si="6"/>
        <v>8.5470085470085468</v>
      </c>
      <c r="AD12" s="67">
        <f t="shared" si="7"/>
        <v>0.71225071225071224</v>
      </c>
      <c r="AE12" s="13">
        <v>6</v>
      </c>
      <c r="AF12" s="14">
        <v>3.7839999999999998</v>
      </c>
      <c r="AG12" s="10">
        <v>0</v>
      </c>
      <c r="AH12" s="12">
        <f t="shared" si="8"/>
        <v>0</v>
      </c>
      <c r="AI12" s="12">
        <f t="shared" si="9"/>
        <v>0</v>
      </c>
      <c r="AJ12" s="12">
        <f t="shared" si="10"/>
        <v>0</v>
      </c>
      <c r="AK12" s="13">
        <v>63</v>
      </c>
      <c r="AL12" s="52">
        <v>71.367999999999995</v>
      </c>
      <c r="AM12" s="61">
        <v>52</v>
      </c>
      <c r="AN12" s="16">
        <f t="shared" si="26"/>
        <v>4.842968304945571</v>
      </c>
      <c r="AO12" s="48">
        <f t="shared" si="27"/>
        <v>116.23123931869371</v>
      </c>
      <c r="AP12" s="48">
        <f t="shared" si="28"/>
        <v>12.012012012012013</v>
      </c>
      <c r="AQ12" s="57">
        <v>23</v>
      </c>
      <c r="AR12" s="14">
        <v>26.567</v>
      </c>
      <c r="AS12" s="12">
        <f t="shared" si="29"/>
        <v>2.1420821348797721</v>
      </c>
      <c r="AT12" s="12">
        <f t="shared" si="30"/>
        <v>51.409971237114526</v>
      </c>
      <c r="AU12" s="12">
        <f t="shared" si="31"/>
        <v>5.3130053130053136</v>
      </c>
      <c r="AV12" s="13">
        <v>13</v>
      </c>
      <c r="AW12" s="14">
        <v>11.317</v>
      </c>
      <c r="AX12" s="12">
        <f t="shared" si="11"/>
        <v>1.2107420762363927</v>
      </c>
      <c r="AY12" s="12">
        <f t="shared" si="12"/>
        <v>29.057809829673428</v>
      </c>
      <c r="AZ12" s="12">
        <f t="shared" si="13"/>
        <v>3.0030030030030033</v>
      </c>
      <c r="BA12" s="13">
        <v>0</v>
      </c>
      <c r="BB12" s="14">
        <v>0</v>
      </c>
      <c r="BC12" s="12">
        <f t="shared" si="14"/>
        <v>0</v>
      </c>
      <c r="BD12" s="12">
        <f t="shared" si="15"/>
        <v>0</v>
      </c>
      <c r="BE12" s="12">
        <f t="shared" si="16"/>
        <v>0</v>
      </c>
      <c r="BF12" s="13">
        <v>1</v>
      </c>
      <c r="BG12" s="52">
        <v>2.2829999999999999</v>
      </c>
      <c r="BH12" s="48">
        <f t="shared" si="17"/>
        <v>9.3134005864337913E-2</v>
      </c>
      <c r="BI12" s="48">
        <f t="shared" si="18"/>
        <v>2.23521614074411</v>
      </c>
      <c r="BJ12" s="48">
        <f t="shared" si="19"/>
        <v>0.23100023100023101</v>
      </c>
      <c r="BK12" s="9" t="str">
        <f>"011"</f>
        <v>011</v>
      </c>
      <c r="BL12" s="9" t="str">
        <f>"4040 11083 123 1-1"</f>
        <v>4040 11083 123 1-1</v>
      </c>
      <c r="BM12" s="9" t="str">
        <f>"1036 Z"</f>
        <v>1036 Z</v>
      </c>
      <c r="BN12" s="10">
        <f t="shared" si="32"/>
        <v>671.96185231119807</v>
      </c>
      <c r="BO12" s="11">
        <f t="shared" si="33"/>
        <v>90.02697037451091</v>
      </c>
    </row>
    <row r="13" spans="1:67">
      <c r="A13" s="15" t="s">
        <v>217</v>
      </c>
      <c r="B13" s="9" t="str">
        <f>"012"</f>
        <v>012</v>
      </c>
      <c r="C13" s="9" t="str">
        <f>"6060 164113 124 33mm"</f>
        <v>6060 164113 124 33mm</v>
      </c>
      <c r="D13" s="9" t="str">
        <f>"1001 Z"</f>
        <v>1001 Z</v>
      </c>
      <c r="E13" s="10">
        <f t="shared" si="20"/>
        <v>634.73877527888533</v>
      </c>
      <c r="F13" s="11">
        <f t="shared" si="21"/>
        <v>91.303685056989025</v>
      </c>
      <c r="G13" s="11">
        <v>652.86699999999996</v>
      </c>
      <c r="H13" s="11">
        <v>62.183</v>
      </c>
      <c r="I13" s="11">
        <v>414.4</v>
      </c>
      <c r="J13" s="65">
        <f t="shared" si="0"/>
        <v>10.881116666666665</v>
      </c>
      <c r="K13" s="11">
        <v>117.1</v>
      </c>
      <c r="L13" s="11">
        <v>3325702.8</v>
      </c>
      <c r="M13" s="11">
        <v>39172</v>
      </c>
      <c r="N13" s="11">
        <f t="shared" si="22"/>
        <v>84.899999999999991</v>
      </c>
      <c r="O13" s="13">
        <v>6</v>
      </c>
      <c r="P13" s="14">
        <v>2.1669999999999998</v>
      </c>
      <c r="Q13" s="13">
        <v>12</v>
      </c>
      <c r="R13" s="67">
        <f t="shared" si="1"/>
        <v>1</v>
      </c>
      <c r="S13" s="14">
        <v>23.4</v>
      </c>
      <c r="T13" s="12">
        <f t="shared" si="23"/>
        <v>1.1028279879362872</v>
      </c>
      <c r="U13" s="12">
        <f t="shared" si="24"/>
        <v>26.467871710470895</v>
      </c>
      <c r="V13" s="12">
        <f t="shared" si="25"/>
        <v>2.8957528957528957</v>
      </c>
      <c r="W13" s="70">
        <f t="shared" si="2"/>
        <v>1.95</v>
      </c>
      <c r="X13" s="13">
        <v>34</v>
      </c>
      <c r="Y13" s="67">
        <f t="shared" si="3"/>
        <v>2.8333333333333335</v>
      </c>
      <c r="Z13" s="14">
        <v>33.482999999999997</v>
      </c>
      <c r="AA13" s="12">
        <f t="shared" si="4"/>
        <v>3.1246792991528141</v>
      </c>
      <c r="AB13" s="12">
        <f t="shared" si="5"/>
        <v>74.99230317966753</v>
      </c>
      <c r="AC13" s="12">
        <f t="shared" si="6"/>
        <v>8.2046332046332058</v>
      </c>
      <c r="AD13" s="67">
        <f t="shared" si="7"/>
        <v>0.68371943371943378</v>
      </c>
      <c r="AE13" s="13">
        <v>5</v>
      </c>
      <c r="AF13" s="14">
        <v>3.1339999999999999</v>
      </c>
      <c r="AG13" s="10">
        <v>0</v>
      </c>
      <c r="AH13" s="12">
        <f t="shared" si="8"/>
        <v>0</v>
      </c>
      <c r="AI13" s="12">
        <f t="shared" si="9"/>
        <v>0</v>
      </c>
      <c r="AJ13" s="12">
        <f t="shared" si="10"/>
        <v>0</v>
      </c>
      <c r="AK13" s="13">
        <v>57</v>
      </c>
      <c r="AL13" s="52">
        <v>62.183999999999997</v>
      </c>
      <c r="AM13" s="61">
        <v>46</v>
      </c>
      <c r="AN13" s="16">
        <f t="shared" si="26"/>
        <v>4.2275072870891011</v>
      </c>
      <c r="AO13" s="48">
        <f t="shared" si="27"/>
        <v>101.46017489013843</v>
      </c>
      <c r="AP13" s="48">
        <f t="shared" si="28"/>
        <v>11.100386100386102</v>
      </c>
      <c r="AQ13" s="57">
        <v>20</v>
      </c>
      <c r="AR13" s="14">
        <v>20.216999999999999</v>
      </c>
      <c r="AS13" s="12">
        <f t="shared" si="29"/>
        <v>1.8380466465604788</v>
      </c>
      <c r="AT13" s="12">
        <f t="shared" si="30"/>
        <v>44.113119517451487</v>
      </c>
      <c r="AU13" s="12">
        <f t="shared" si="31"/>
        <v>4.8262548262548268</v>
      </c>
      <c r="AV13" s="13">
        <v>14</v>
      </c>
      <c r="AW13" s="14">
        <v>12.917</v>
      </c>
      <c r="AX13" s="12">
        <f t="shared" si="11"/>
        <v>1.2866326525923351</v>
      </c>
      <c r="AY13" s="12">
        <f t="shared" si="12"/>
        <v>30.879183662216043</v>
      </c>
      <c r="AZ13" s="12">
        <f t="shared" si="13"/>
        <v>3.3783783783783785</v>
      </c>
      <c r="BA13" s="13">
        <v>0</v>
      </c>
      <c r="BB13" s="14">
        <v>0</v>
      </c>
      <c r="BC13" s="12">
        <f t="shared" si="14"/>
        <v>0</v>
      </c>
      <c r="BD13" s="12">
        <f t="shared" si="15"/>
        <v>0</v>
      </c>
      <c r="BE13" s="12">
        <f t="shared" si="16"/>
        <v>0</v>
      </c>
      <c r="BF13" s="13">
        <v>0</v>
      </c>
      <c r="BG13" s="52">
        <v>0.35</v>
      </c>
      <c r="BH13" s="48">
        <f t="shared" si="17"/>
        <v>0</v>
      </c>
      <c r="BI13" s="48">
        <f t="shared" si="18"/>
        <v>0</v>
      </c>
      <c r="BJ13" s="48">
        <f t="shared" si="19"/>
        <v>0</v>
      </c>
      <c r="BK13" s="9" t="str">
        <f>"012"</f>
        <v>012</v>
      </c>
      <c r="BL13" s="9" t="str">
        <f>"6060 164113 124 33mm"</f>
        <v>6060 164113 124 33mm</v>
      </c>
      <c r="BM13" s="9" t="str">
        <f>"1001 Z"</f>
        <v>1001 Z</v>
      </c>
      <c r="BN13" s="10">
        <f t="shared" si="32"/>
        <v>634.73877527888533</v>
      </c>
      <c r="BO13" s="11">
        <f t="shared" si="33"/>
        <v>91.303685056989025</v>
      </c>
    </row>
    <row r="14" spans="1:67">
      <c r="A14" s="15" t="s">
        <v>217</v>
      </c>
      <c r="B14" s="9" t="str">
        <f>"013"</f>
        <v>013</v>
      </c>
      <c r="C14" s="9" t="str">
        <f>"8080 9088 46x2 1-1"</f>
        <v>8080 9088 46x2 1-1</v>
      </c>
      <c r="D14" s="9" t="str">
        <f>"1079Z"</f>
        <v>1079Z</v>
      </c>
      <c r="E14" s="10">
        <f t="shared" si="20"/>
        <v>721.56338733923496</v>
      </c>
      <c r="F14" s="11">
        <f t="shared" si="21"/>
        <v>83.152777777777786</v>
      </c>
      <c r="G14" s="11">
        <v>598.70000000000005</v>
      </c>
      <c r="H14" s="11">
        <v>121.3</v>
      </c>
      <c r="I14" s="11">
        <v>432</v>
      </c>
      <c r="J14" s="65">
        <f t="shared" si="0"/>
        <v>9.9783333333333335</v>
      </c>
      <c r="K14" s="11">
        <v>124.7</v>
      </c>
      <c r="L14" s="11">
        <v>2216387.4</v>
      </c>
      <c r="M14" s="11">
        <v>35922</v>
      </c>
      <c r="N14" s="11">
        <f t="shared" si="22"/>
        <v>61.699999999999996</v>
      </c>
      <c r="O14" s="13">
        <v>1</v>
      </c>
      <c r="P14" s="14">
        <v>1.2170000000000001</v>
      </c>
      <c r="Q14" s="13">
        <v>22</v>
      </c>
      <c r="R14" s="67">
        <f t="shared" si="1"/>
        <v>1.8333333333333333</v>
      </c>
      <c r="S14" s="14">
        <v>56.482999999999997</v>
      </c>
      <c r="T14" s="12">
        <f t="shared" si="23"/>
        <v>2.2047770168698846</v>
      </c>
      <c r="U14" s="12">
        <f t="shared" si="24"/>
        <v>52.914648404877227</v>
      </c>
      <c r="V14" s="12">
        <f t="shared" si="25"/>
        <v>5.0925925925925926</v>
      </c>
      <c r="W14" s="70">
        <f t="shared" si="2"/>
        <v>2.567409090909091</v>
      </c>
      <c r="X14" s="13">
        <v>61</v>
      </c>
      <c r="Y14" s="67">
        <f t="shared" si="3"/>
        <v>5.083333333333333</v>
      </c>
      <c r="Z14" s="14">
        <v>53.366999999999997</v>
      </c>
      <c r="AA14" s="12">
        <f t="shared" si="4"/>
        <v>6.1132453649574074</v>
      </c>
      <c r="AB14" s="12">
        <f t="shared" si="5"/>
        <v>146.71788875897778</v>
      </c>
      <c r="AC14" s="12">
        <f t="shared" si="6"/>
        <v>14.12037037037037</v>
      </c>
      <c r="AD14" s="67">
        <f t="shared" si="7"/>
        <v>1.1766975308641976</v>
      </c>
      <c r="AE14" s="13">
        <v>3</v>
      </c>
      <c r="AF14" s="14">
        <v>10.234</v>
      </c>
      <c r="AG14" s="10">
        <v>3</v>
      </c>
      <c r="AH14" s="12">
        <f t="shared" si="8"/>
        <v>0.30065141139134788</v>
      </c>
      <c r="AI14" s="12">
        <f t="shared" si="9"/>
        <v>7.21563387339235</v>
      </c>
      <c r="AJ14" s="12">
        <f t="shared" si="10"/>
        <v>0.69444444444444442</v>
      </c>
      <c r="AK14" s="13">
        <v>87</v>
      </c>
      <c r="AL14" s="52">
        <v>121.301</v>
      </c>
      <c r="AM14" s="61">
        <v>86</v>
      </c>
      <c r="AN14" s="16">
        <f t="shared" si="26"/>
        <v>8.6186737932186404</v>
      </c>
      <c r="AO14" s="48">
        <f t="shared" si="27"/>
        <v>206.84817103724734</v>
      </c>
      <c r="AP14" s="48">
        <f t="shared" si="28"/>
        <v>19.907407407407408</v>
      </c>
      <c r="AQ14" s="57">
        <v>25</v>
      </c>
      <c r="AR14" s="14">
        <v>21.266999999999999</v>
      </c>
      <c r="AS14" s="12">
        <f t="shared" si="29"/>
        <v>2.5054284282612325</v>
      </c>
      <c r="AT14" s="12">
        <f t="shared" si="30"/>
        <v>60.130282278269583</v>
      </c>
      <c r="AU14" s="12">
        <f t="shared" si="31"/>
        <v>5.7870370370370372</v>
      </c>
      <c r="AV14" s="13">
        <v>18</v>
      </c>
      <c r="AW14" s="14">
        <v>19.766999999999999</v>
      </c>
      <c r="AX14" s="12">
        <f t="shared" si="11"/>
        <v>1.8039084683480875</v>
      </c>
      <c r="AY14" s="12">
        <f t="shared" si="12"/>
        <v>43.293803240354094</v>
      </c>
      <c r="AZ14" s="12">
        <f t="shared" si="13"/>
        <v>4.166666666666667</v>
      </c>
      <c r="BA14" s="13">
        <v>13</v>
      </c>
      <c r="BB14" s="14">
        <v>9.0169999999999995</v>
      </c>
      <c r="BC14" s="12">
        <f t="shared" si="14"/>
        <v>1.302822782695841</v>
      </c>
      <c r="BD14" s="12">
        <f t="shared" si="15"/>
        <v>31.267746784700183</v>
      </c>
      <c r="BE14" s="12">
        <f t="shared" si="16"/>
        <v>3.0092592592592591</v>
      </c>
      <c r="BF14" s="13">
        <v>5</v>
      </c>
      <c r="BG14" s="52">
        <v>3.3170000000000002</v>
      </c>
      <c r="BH14" s="48">
        <f t="shared" si="17"/>
        <v>0.50108568565224654</v>
      </c>
      <c r="BI14" s="48">
        <f t="shared" si="18"/>
        <v>12.026056455653915</v>
      </c>
      <c r="BJ14" s="48">
        <f t="shared" si="19"/>
        <v>1.1574074074074074</v>
      </c>
      <c r="BK14" s="9" t="str">
        <f>"013"</f>
        <v>013</v>
      </c>
      <c r="BL14" s="9" t="str">
        <f>"8080 9088 46x2 1-1"</f>
        <v>8080 9088 46x2 1-1</v>
      </c>
      <c r="BM14" s="9" t="str">
        <f>"1079Z"</f>
        <v>1079Z</v>
      </c>
      <c r="BN14" s="10">
        <f t="shared" si="32"/>
        <v>721.56338733923496</v>
      </c>
      <c r="BO14" s="11">
        <f t="shared" si="33"/>
        <v>83.152777777777786</v>
      </c>
    </row>
    <row r="15" spans="1:67">
      <c r="A15" s="15" t="s">
        <v>217</v>
      </c>
      <c r="B15" s="9" t="str">
        <f>"014"</f>
        <v>014</v>
      </c>
      <c r="C15" s="9" t="str">
        <f>"8080 10288 46x2 1-1"</f>
        <v>8080 10288 46x2 1-1</v>
      </c>
      <c r="D15" s="9" t="str">
        <f>"1054 Z"</f>
        <v>1054 Z</v>
      </c>
      <c r="E15" s="10">
        <f t="shared" si="20"/>
        <v>799.63764237970918</v>
      </c>
      <c r="F15" s="11">
        <f t="shared" si="21"/>
        <v>89.537083333333342</v>
      </c>
      <c r="G15" s="11">
        <v>644.66700000000003</v>
      </c>
      <c r="H15" s="11">
        <v>75.332999999999998</v>
      </c>
      <c r="I15" s="11">
        <v>515.5</v>
      </c>
      <c r="J15" s="65">
        <f t="shared" si="0"/>
        <v>10.744450000000001</v>
      </c>
      <c r="K15" s="11">
        <v>148.80000000000001</v>
      </c>
      <c r="L15" s="11">
        <v>2468944.4</v>
      </c>
      <c r="M15" s="11">
        <v>38680</v>
      </c>
      <c r="N15" s="11">
        <f t="shared" si="22"/>
        <v>63.83</v>
      </c>
      <c r="O15" s="13">
        <v>4</v>
      </c>
      <c r="P15" s="14">
        <v>1.2</v>
      </c>
      <c r="Q15" s="13">
        <v>13</v>
      </c>
      <c r="R15" s="67">
        <f t="shared" si="1"/>
        <v>1.0833333333333333</v>
      </c>
      <c r="S15" s="14">
        <v>25.65</v>
      </c>
      <c r="T15" s="12">
        <f t="shared" si="23"/>
        <v>1.2099269855599868</v>
      </c>
      <c r="U15" s="12">
        <f t="shared" si="24"/>
        <v>29.038247653439683</v>
      </c>
      <c r="V15" s="12">
        <f t="shared" si="25"/>
        <v>2.5218234723569348</v>
      </c>
      <c r="W15" s="70">
        <f t="shared" si="2"/>
        <v>1.973076923076923</v>
      </c>
      <c r="X15" s="13">
        <v>43</v>
      </c>
      <c r="Y15" s="67">
        <f t="shared" si="3"/>
        <v>3.5833333333333335</v>
      </c>
      <c r="Z15" s="14">
        <v>39.15</v>
      </c>
      <c r="AA15" s="12">
        <f t="shared" si="4"/>
        <v>4.0020661830061099</v>
      </c>
      <c r="AB15" s="12">
        <f t="shared" si="5"/>
        <v>96.049588392146632</v>
      </c>
      <c r="AC15" s="12">
        <f t="shared" si="6"/>
        <v>8.3414161008729391</v>
      </c>
      <c r="AD15" s="67">
        <f t="shared" si="7"/>
        <v>0.69511800840607829</v>
      </c>
      <c r="AE15" s="13">
        <v>8</v>
      </c>
      <c r="AF15" s="14">
        <v>9.3330000000000002</v>
      </c>
      <c r="AG15" s="10">
        <v>0</v>
      </c>
      <c r="AH15" s="12">
        <f t="shared" si="8"/>
        <v>0</v>
      </c>
      <c r="AI15" s="12">
        <f t="shared" si="9"/>
        <v>0</v>
      </c>
      <c r="AJ15" s="12">
        <f t="shared" si="10"/>
        <v>0</v>
      </c>
      <c r="AK15" s="13">
        <v>68</v>
      </c>
      <c r="AL15" s="52">
        <v>75.332999999999998</v>
      </c>
      <c r="AM15" s="61">
        <v>56</v>
      </c>
      <c r="AN15" s="16">
        <f t="shared" si="26"/>
        <v>5.2119931685660967</v>
      </c>
      <c r="AO15" s="48">
        <f t="shared" si="27"/>
        <v>125.08783604558631</v>
      </c>
      <c r="AP15" s="48">
        <f t="shared" si="28"/>
        <v>10.863239573229874</v>
      </c>
      <c r="AQ15" s="57">
        <v>20</v>
      </c>
      <c r="AR15" s="14">
        <v>19.783000000000001</v>
      </c>
      <c r="AS15" s="12">
        <f t="shared" si="29"/>
        <v>1.8614261316307488</v>
      </c>
      <c r="AT15" s="12">
        <f t="shared" si="30"/>
        <v>44.67422715913797</v>
      </c>
      <c r="AU15" s="12">
        <f t="shared" si="31"/>
        <v>3.8797284190106693</v>
      </c>
      <c r="AV15" s="13">
        <v>10</v>
      </c>
      <c r="AW15" s="14">
        <v>7.2</v>
      </c>
      <c r="AX15" s="12">
        <f t="shared" si="11"/>
        <v>0.93071306581537439</v>
      </c>
      <c r="AY15" s="12">
        <f t="shared" si="12"/>
        <v>22.337113579568985</v>
      </c>
      <c r="AZ15" s="12">
        <f t="shared" si="13"/>
        <v>1.9398642095053347</v>
      </c>
      <c r="BA15" s="13">
        <v>6</v>
      </c>
      <c r="BB15" s="14">
        <v>5.867</v>
      </c>
      <c r="BC15" s="12">
        <f t="shared" si="14"/>
        <v>0.5584278394892247</v>
      </c>
      <c r="BD15" s="12">
        <f t="shared" si="15"/>
        <v>13.402268147741392</v>
      </c>
      <c r="BE15" s="12">
        <f t="shared" si="16"/>
        <v>1.1639185257032008</v>
      </c>
      <c r="BF15" s="13">
        <v>7</v>
      </c>
      <c r="BG15" s="52">
        <v>6.3</v>
      </c>
      <c r="BH15" s="48">
        <f t="shared" si="17"/>
        <v>0.65149914607076209</v>
      </c>
      <c r="BI15" s="48">
        <f t="shared" si="18"/>
        <v>15.635979505698289</v>
      </c>
      <c r="BJ15" s="48">
        <f t="shared" si="19"/>
        <v>1.3579049466537343</v>
      </c>
      <c r="BK15" s="9" t="str">
        <f>"014"</f>
        <v>014</v>
      </c>
      <c r="BL15" s="9" t="str">
        <f>"8080 10288 46x2 1-1"</f>
        <v>8080 10288 46x2 1-1</v>
      </c>
      <c r="BM15" s="9" t="str">
        <f>"1054 Z"</f>
        <v>1054 Z</v>
      </c>
      <c r="BN15" s="10">
        <f t="shared" si="32"/>
        <v>799.63764237970918</v>
      </c>
      <c r="BO15" s="11">
        <f t="shared" si="33"/>
        <v>89.537083333333342</v>
      </c>
    </row>
    <row r="16" spans="1:67">
      <c r="A16" s="15" t="s">
        <v>217</v>
      </c>
      <c r="B16" s="9" t="str">
        <f>"015"</f>
        <v>015</v>
      </c>
      <c r="C16" s="9" t="str">
        <f>"4040 127121 106 2-1"</f>
        <v>4040 127121 106 2-1</v>
      </c>
      <c r="D16" s="9" t="str">
        <f>"1053"</f>
        <v>1053</v>
      </c>
      <c r="E16" s="10">
        <f t="shared" si="20"/>
        <v>615.04839711997602</v>
      </c>
      <c r="F16" s="11">
        <f t="shared" si="21"/>
        <v>86.937808412856924</v>
      </c>
      <c r="G16" s="11">
        <v>625.96699999999998</v>
      </c>
      <c r="H16" s="11">
        <v>94.05</v>
      </c>
      <c r="I16" s="11">
        <v>385</v>
      </c>
      <c r="J16" s="65">
        <f t="shared" si="0"/>
        <v>10.432783333333333</v>
      </c>
      <c r="K16" s="11">
        <v>81.900000000000006</v>
      </c>
      <c r="L16" s="11">
        <v>2445776.96</v>
      </c>
      <c r="M16" s="11">
        <v>37558</v>
      </c>
      <c r="N16" s="11">
        <f t="shared" si="22"/>
        <v>65.12</v>
      </c>
      <c r="O16" s="13">
        <v>9</v>
      </c>
      <c r="P16" s="14">
        <v>6.1</v>
      </c>
      <c r="Q16" s="13">
        <v>8</v>
      </c>
      <c r="R16" s="67">
        <f t="shared" si="1"/>
        <v>0.66666666666666663</v>
      </c>
      <c r="S16" s="14">
        <v>10.9</v>
      </c>
      <c r="T16" s="12">
        <f t="shared" si="23"/>
        <v>0.76681358601971028</v>
      </c>
      <c r="U16" s="12">
        <f t="shared" si="24"/>
        <v>18.403526064473049</v>
      </c>
      <c r="V16" s="12">
        <f t="shared" si="25"/>
        <v>2.0779220779220777</v>
      </c>
      <c r="W16" s="70">
        <f t="shared" si="2"/>
        <v>1.3625</v>
      </c>
      <c r="X16" s="13">
        <v>26</v>
      </c>
      <c r="Y16" s="67">
        <f t="shared" si="3"/>
        <v>2.1666666666666665</v>
      </c>
      <c r="Z16" s="14">
        <v>22.05</v>
      </c>
      <c r="AA16" s="12">
        <f t="shared" si="4"/>
        <v>2.4921441545640586</v>
      </c>
      <c r="AB16" s="12">
        <f t="shared" si="5"/>
        <v>59.811459709537402</v>
      </c>
      <c r="AC16" s="12">
        <f t="shared" si="6"/>
        <v>6.7532467532467528</v>
      </c>
      <c r="AD16" s="67">
        <f t="shared" si="7"/>
        <v>0.5627705627705627</v>
      </c>
      <c r="AE16" s="13">
        <v>4</v>
      </c>
      <c r="AF16" s="14">
        <v>55.000999999999998</v>
      </c>
      <c r="AG16" s="10">
        <v>1</v>
      </c>
      <c r="AH16" s="12">
        <f t="shared" si="8"/>
        <v>9.5851698252463785E-2</v>
      </c>
      <c r="AI16" s="12">
        <f t="shared" si="9"/>
        <v>2.3004407580591311</v>
      </c>
      <c r="AJ16" s="12">
        <f t="shared" si="10"/>
        <v>0.25974025974025972</v>
      </c>
      <c r="AK16" s="13">
        <v>47</v>
      </c>
      <c r="AL16" s="52">
        <v>94.051000000000002</v>
      </c>
      <c r="AM16" s="61">
        <v>35</v>
      </c>
      <c r="AN16" s="16">
        <f t="shared" si="26"/>
        <v>3.3548094388362326</v>
      </c>
      <c r="AO16" s="48">
        <f t="shared" si="27"/>
        <v>80.515426532069583</v>
      </c>
      <c r="AP16" s="48">
        <f t="shared" si="28"/>
        <v>9.0909090909090917</v>
      </c>
      <c r="AQ16" s="57">
        <v>12</v>
      </c>
      <c r="AR16" s="14">
        <v>8.2330000000000005</v>
      </c>
      <c r="AS16" s="12">
        <f t="shared" si="29"/>
        <v>1.1502203790295655</v>
      </c>
      <c r="AT16" s="12">
        <f t="shared" si="30"/>
        <v>27.605289096709573</v>
      </c>
      <c r="AU16" s="12">
        <f t="shared" si="31"/>
        <v>3.116883116883117</v>
      </c>
      <c r="AV16" s="13">
        <v>6</v>
      </c>
      <c r="AW16" s="14">
        <v>5.2670000000000003</v>
      </c>
      <c r="AX16" s="12">
        <f t="shared" si="11"/>
        <v>0.57511018951478277</v>
      </c>
      <c r="AY16" s="12">
        <f t="shared" si="12"/>
        <v>13.802644548354786</v>
      </c>
      <c r="AZ16" s="12">
        <f t="shared" si="13"/>
        <v>1.5584415584415585</v>
      </c>
      <c r="BA16" s="13">
        <v>4</v>
      </c>
      <c r="BB16" s="14">
        <v>5.85</v>
      </c>
      <c r="BC16" s="12">
        <f t="shared" si="14"/>
        <v>0.38340679300985514</v>
      </c>
      <c r="BD16" s="12">
        <f t="shared" si="15"/>
        <v>9.2017630322365243</v>
      </c>
      <c r="BE16" s="12">
        <f t="shared" si="16"/>
        <v>1.0389610389610389</v>
      </c>
      <c r="BF16" s="13">
        <v>4</v>
      </c>
      <c r="BG16" s="52">
        <v>2.7</v>
      </c>
      <c r="BH16" s="48">
        <f t="shared" si="17"/>
        <v>0.38340679300985514</v>
      </c>
      <c r="BI16" s="48">
        <f t="shared" si="18"/>
        <v>9.2017630322365243</v>
      </c>
      <c r="BJ16" s="48">
        <f t="shared" si="19"/>
        <v>1.0389610389610389</v>
      </c>
      <c r="BK16" s="9" t="str">
        <f>"015"</f>
        <v>015</v>
      </c>
      <c r="BL16" s="9" t="str">
        <f>"4040 127121 106 2-1"</f>
        <v>4040 127121 106 2-1</v>
      </c>
      <c r="BM16" s="9" t="str">
        <f>"1053"</f>
        <v>1053</v>
      </c>
      <c r="BN16" s="10">
        <f t="shared" si="32"/>
        <v>615.04839711997602</v>
      </c>
      <c r="BO16" s="11">
        <f t="shared" si="33"/>
        <v>86.937808412856924</v>
      </c>
    </row>
    <row r="17" spans="1:67">
      <c r="A17" s="15" t="s">
        <v>217</v>
      </c>
      <c r="B17" s="9" t="str">
        <f>"016"</f>
        <v>016</v>
      </c>
      <c r="C17" s="9" t="str">
        <f>"8080 9088 46x2 1-1"</f>
        <v>8080 9088 46x2 1-1</v>
      </c>
      <c r="D17" s="9" t="str">
        <f>"1084 Z"</f>
        <v>1084 Z</v>
      </c>
      <c r="E17" s="10">
        <f t="shared" si="20"/>
        <v>797.85091073282786</v>
      </c>
      <c r="F17" s="11">
        <f t="shared" si="21"/>
        <v>91.356527777777799</v>
      </c>
      <c r="G17" s="11">
        <v>657.76700000000005</v>
      </c>
      <c r="H17" s="11">
        <v>62.232999999999997</v>
      </c>
      <c r="I17" s="11">
        <v>524.79999999999995</v>
      </c>
      <c r="J17" s="65">
        <f t="shared" si="0"/>
        <v>10.962783333333334</v>
      </c>
      <c r="K17" s="11">
        <v>151.5</v>
      </c>
      <c r="L17" s="11">
        <v>2477280.8199999998</v>
      </c>
      <c r="M17" s="11">
        <v>39466</v>
      </c>
      <c r="N17" s="11">
        <f t="shared" si="22"/>
        <v>62.769999999999996</v>
      </c>
      <c r="O17" s="13">
        <v>4</v>
      </c>
      <c r="P17" s="14">
        <v>1.2</v>
      </c>
      <c r="Q17" s="13">
        <v>16</v>
      </c>
      <c r="R17" s="67">
        <f t="shared" si="1"/>
        <v>1.3333333333333333</v>
      </c>
      <c r="S17" s="14">
        <v>26.95</v>
      </c>
      <c r="T17" s="12">
        <f t="shared" si="23"/>
        <v>1.4594833732917583</v>
      </c>
      <c r="U17" s="12">
        <f t="shared" si="24"/>
        <v>35.0276009590022</v>
      </c>
      <c r="V17" s="12">
        <f t="shared" si="25"/>
        <v>3.0487804878048781</v>
      </c>
      <c r="W17" s="70">
        <f t="shared" si="2"/>
        <v>1.684375</v>
      </c>
      <c r="X17" s="13">
        <v>33</v>
      </c>
      <c r="Y17" s="67">
        <f t="shared" si="3"/>
        <v>2.75</v>
      </c>
      <c r="Z17" s="14">
        <v>20.3</v>
      </c>
      <c r="AA17" s="12">
        <f t="shared" si="4"/>
        <v>3.0101844574142511</v>
      </c>
      <c r="AB17" s="12">
        <f t="shared" si="5"/>
        <v>72.244426977942027</v>
      </c>
      <c r="AC17" s="12">
        <f t="shared" si="6"/>
        <v>6.2881097560975618</v>
      </c>
      <c r="AD17" s="67">
        <f t="shared" si="7"/>
        <v>0.52400914634146345</v>
      </c>
      <c r="AE17" s="13">
        <v>7</v>
      </c>
      <c r="AF17" s="14">
        <v>13.784000000000001</v>
      </c>
      <c r="AG17" s="10">
        <v>1</v>
      </c>
      <c r="AH17" s="12">
        <f t="shared" si="8"/>
        <v>9.1217710830734891E-2</v>
      </c>
      <c r="AI17" s="12">
        <f t="shared" si="9"/>
        <v>2.1892250599376375</v>
      </c>
      <c r="AJ17" s="12">
        <f t="shared" si="10"/>
        <v>0.19054878048780488</v>
      </c>
      <c r="AK17" s="13">
        <v>60</v>
      </c>
      <c r="AL17" s="52">
        <v>62.234000000000002</v>
      </c>
      <c r="AM17" s="61">
        <v>50</v>
      </c>
      <c r="AN17" s="16">
        <f t="shared" si="26"/>
        <v>4.5608855415367442</v>
      </c>
      <c r="AO17" s="48">
        <f t="shared" si="27"/>
        <v>109.46125299688187</v>
      </c>
      <c r="AP17" s="48">
        <f t="shared" si="28"/>
        <v>9.5274390243902456</v>
      </c>
      <c r="AQ17" s="57">
        <v>10</v>
      </c>
      <c r="AR17" s="14">
        <v>5.4169999999999998</v>
      </c>
      <c r="AS17" s="12">
        <f t="shared" si="29"/>
        <v>0.91217710830734888</v>
      </c>
      <c r="AT17" s="12">
        <f t="shared" si="30"/>
        <v>21.892250599376371</v>
      </c>
      <c r="AU17" s="12">
        <f t="shared" si="31"/>
        <v>1.905487804878049</v>
      </c>
      <c r="AV17" s="13">
        <v>19</v>
      </c>
      <c r="AW17" s="14">
        <v>9.6999999999999993</v>
      </c>
      <c r="AX17" s="12">
        <f t="shared" si="11"/>
        <v>1.7331365057839629</v>
      </c>
      <c r="AY17" s="12">
        <f t="shared" si="12"/>
        <v>41.595276138815109</v>
      </c>
      <c r="AZ17" s="12">
        <f t="shared" si="13"/>
        <v>3.6204268292682928</v>
      </c>
      <c r="BA17" s="13">
        <v>2</v>
      </c>
      <c r="BB17" s="14">
        <v>0.81699999999999995</v>
      </c>
      <c r="BC17" s="12">
        <f t="shared" si="14"/>
        <v>0.18243542166146978</v>
      </c>
      <c r="BD17" s="12">
        <f t="shared" si="15"/>
        <v>4.378450119875275</v>
      </c>
      <c r="BE17" s="12">
        <f t="shared" si="16"/>
        <v>0.38109756097560976</v>
      </c>
      <c r="BF17" s="13">
        <v>2</v>
      </c>
      <c r="BG17" s="52">
        <v>4.367</v>
      </c>
      <c r="BH17" s="48">
        <f t="shared" si="17"/>
        <v>0.18243542166146978</v>
      </c>
      <c r="BI17" s="48">
        <f t="shared" si="18"/>
        <v>4.378450119875275</v>
      </c>
      <c r="BJ17" s="48">
        <f t="shared" si="19"/>
        <v>0.38109756097560976</v>
      </c>
      <c r="BK17" s="9" t="str">
        <f>"016"</f>
        <v>016</v>
      </c>
      <c r="BL17" s="9" t="str">
        <f>"8080 9088 46x2 1-1"</f>
        <v>8080 9088 46x2 1-1</v>
      </c>
      <c r="BM17" s="9" t="str">
        <f>"1084 Z"</f>
        <v>1084 Z</v>
      </c>
      <c r="BN17" s="10">
        <f t="shared" si="32"/>
        <v>797.85091073282786</v>
      </c>
      <c r="BO17" s="11">
        <f t="shared" si="33"/>
        <v>91.356527777777799</v>
      </c>
    </row>
    <row r="18" spans="1:67">
      <c r="A18" s="15" t="s">
        <v>217</v>
      </c>
      <c r="B18" s="9" t="str">
        <f>"017"</f>
        <v>017</v>
      </c>
      <c r="C18" s="9" t="str">
        <f>"4040 10080 124 1-1"</f>
        <v>4040 10080 124 1-1</v>
      </c>
      <c r="D18" s="9" t="str">
        <f>"1192 Z"</f>
        <v>1192 Z</v>
      </c>
      <c r="E18" s="10">
        <f t="shared" si="20"/>
        <v>703.19712029936989</v>
      </c>
      <c r="F18" s="11">
        <f t="shared" si="21"/>
        <v>67.252361111111114</v>
      </c>
      <c r="G18" s="11">
        <v>484.21699999999998</v>
      </c>
      <c r="H18" s="11">
        <v>235.78299999999999</v>
      </c>
      <c r="I18" s="11">
        <v>340.5</v>
      </c>
      <c r="J18" s="65">
        <f t="shared" si="0"/>
        <v>8.0702833333333324</v>
      </c>
      <c r="K18" s="11">
        <v>109.1</v>
      </c>
      <c r="L18" s="11">
        <v>3138305.06</v>
      </c>
      <c r="M18" s="11">
        <v>29053</v>
      </c>
      <c r="N18" s="11">
        <f t="shared" si="22"/>
        <v>108.02</v>
      </c>
      <c r="O18" s="13">
        <v>2</v>
      </c>
      <c r="P18" s="14">
        <v>3.4329999999999998</v>
      </c>
      <c r="Q18" s="13">
        <v>26</v>
      </c>
      <c r="R18" s="67">
        <f t="shared" si="1"/>
        <v>2.1666666666666665</v>
      </c>
      <c r="S18" s="14">
        <v>82.966999999999999</v>
      </c>
      <c r="T18" s="12">
        <f t="shared" si="23"/>
        <v>3.2216960577592277</v>
      </c>
      <c r="U18" s="12">
        <f t="shared" si="24"/>
        <v>77.320705386221476</v>
      </c>
      <c r="V18" s="12">
        <f t="shared" si="25"/>
        <v>7.6358296622613802</v>
      </c>
      <c r="W18" s="70">
        <f t="shared" si="2"/>
        <v>3.1910384615384615</v>
      </c>
      <c r="X18" s="13">
        <v>34</v>
      </c>
      <c r="Y18" s="67">
        <f t="shared" si="3"/>
        <v>2.8333333333333335</v>
      </c>
      <c r="Z18" s="14">
        <v>38.9</v>
      </c>
      <c r="AA18" s="12">
        <f t="shared" si="4"/>
        <v>4.2129871524543745</v>
      </c>
      <c r="AB18" s="12">
        <f t="shared" si="5"/>
        <v>101.111691658905</v>
      </c>
      <c r="AC18" s="12">
        <f t="shared" si="6"/>
        <v>9.9853157121879583</v>
      </c>
      <c r="AD18" s="67">
        <f t="shared" si="7"/>
        <v>0.8321096426823299</v>
      </c>
      <c r="AE18" s="13">
        <v>3</v>
      </c>
      <c r="AF18" s="14">
        <v>110.483</v>
      </c>
      <c r="AG18" s="10">
        <v>0</v>
      </c>
      <c r="AH18" s="12">
        <f t="shared" si="8"/>
        <v>0</v>
      </c>
      <c r="AI18" s="12">
        <f t="shared" si="9"/>
        <v>0</v>
      </c>
      <c r="AJ18" s="12">
        <f t="shared" si="10"/>
        <v>0</v>
      </c>
      <c r="AK18" s="13">
        <v>65</v>
      </c>
      <c r="AL18" s="52">
        <v>235.78299999999999</v>
      </c>
      <c r="AM18" s="61">
        <v>60</v>
      </c>
      <c r="AN18" s="16">
        <f t="shared" si="26"/>
        <v>7.4346832102136027</v>
      </c>
      <c r="AO18" s="48">
        <f t="shared" si="27"/>
        <v>178.43239704512646</v>
      </c>
      <c r="AP18" s="48">
        <f t="shared" si="28"/>
        <v>17.621145374449338</v>
      </c>
      <c r="AQ18" s="57">
        <v>6</v>
      </c>
      <c r="AR18" s="14">
        <v>7.05</v>
      </c>
      <c r="AS18" s="12">
        <f t="shared" si="29"/>
        <v>0.74346832102136029</v>
      </c>
      <c r="AT18" s="12">
        <f t="shared" si="30"/>
        <v>17.843239704512648</v>
      </c>
      <c r="AU18" s="12">
        <f t="shared" si="31"/>
        <v>1.7621145374449338</v>
      </c>
      <c r="AV18" s="13">
        <v>14</v>
      </c>
      <c r="AW18" s="14">
        <v>13.217000000000001</v>
      </c>
      <c r="AX18" s="12">
        <f t="shared" si="11"/>
        <v>1.7347594157165074</v>
      </c>
      <c r="AY18" s="12">
        <f t="shared" si="12"/>
        <v>41.634225977196174</v>
      </c>
      <c r="AZ18" s="12">
        <f t="shared" si="13"/>
        <v>4.1116005873715125</v>
      </c>
      <c r="BA18" s="13">
        <v>12</v>
      </c>
      <c r="BB18" s="14">
        <v>15.7</v>
      </c>
      <c r="BC18" s="12">
        <f t="shared" si="14"/>
        <v>1.4869366420427206</v>
      </c>
      <c r="BD18" s="12">
        <f t="shared" si="15"/>
        <v>35.686479409025296</v>
      </c>
      <c r="BE18" s="12">
        <f t="shared" si="16"/>
        <v>3.5242290748898677</v>
      </c>
      <c r="BF18" s="13">
        <v>2</v>
      </c>
      <c r="BG18" s="52">
        <v>2.9329999999999998</v>
      </c>
      <c r="BH18" s="48">
        <f t="shared" si="17"/>
        <v>0.24782277367378677</v>
      </c>
      <c r="BI18" s="48">
        <f t="shared" si="18"/>
        <v>5.9477465681708823</v>
      </c>
      <c r="BJ18" s="48">
        <f t="shared" si="19"/>
        <v>0.58737151248164465</v>
      </c>
      <c r="BK18" s="9" t="str">
        <f>"017"</f>
        <v>017</v>
      </c>
      <c r="BL18" s="9" t="str">
        <f>"4040 10080 124 1-1"</f>
        <v>4040 10080 124 1-1</v>
      </c>
      <c r="BM18" s="9" t="str">
        <f>"1192 Z"</f>
        <v>1192 Z</v>
      </c>
      <c r="BN18" s="10">
        <f t="shared" si="32"/>
        <v>703.19712029936989</v>
      </c>
      <c r="BO18" s="11">
        <f t="shared" si="33"/>
        <v>67.252361111111114</v>
      </c>
    </row>
    <row r="19" spans="1:67">
      <c r="A19" s="15" t="s">
        <v>217</v>
      </c>
      <c r="B19" s="9" t="str">
        <f>"018"</f>
        <v>018</v>
      </c>
      <c r="C19" s="9" t="str">
        <f>"4040 13079 67x59 4-1"</f>
        <v>4040 13079 67x59 4-1</v>
      </c>
      <c r="D19" s="9" t="str">
        <f>"1019 Z"</f>
        <v>1019 Z</v>
      </c>
      <c r="E19" s="10">
        <f t="shared" si="20"/>
        <v>651.0432886951105</v>
      </c>
      <c r="F19" s="11">
        <f t="shared" si="21"/>
        <v>90.565505570441417</v>
      </c>
      <c r="G19" s="11">
        <v>642.20000000000005</v>
      </c>
      <c r="H19" s="11">
        <v>66.900000000000006</v>
      </c>
      <c r="I19" s="11">
        <v>418.1</v>
      </c>
      <c r="J19" s="65">
        <f t="shared" si="0"/>
        <v>10.703333333333335</v>
      </c>
      <c r="K19" s="11">
        <v>123.9</v>
      </c>
      <c r="L19" s="11">
        <v>3500246.88</v>
      </c>
      <c r="M19" s="11">
        <v>38532</v>
      </c>
      <c r="N19" s="11">
        <f t="shared" si="22"/>
        <v>90.84</v>
      </c>
      <c r="O19" s="13">
        <v>5</v>
      </c>
      <c r="P19" s="14">
        <v>2.383</v>
      </c>
      <c r="Q19" s="13">
        <v>13</v>
      </c>
      <c r="R19" s="67">
        <f t="shared" si="1"/>
        <v>1.0833333333333333</v>
      </c>
      <c r="S19" s="14">
        <v>26.733000000000001</v>
      </c>
      <c r="T19" s="12">
        <f t="shared" si="23"/>
        <v>1.214574898785425</v>
      </c>
      <c r="U19" s="12">
        <f t="shared" si="24"/>
        <v>29.1497975708502</v>
      </c>
      <c r="V19" s="12">
        <f t="shared" si="25"/>
        <v>3.1093039942597462</v>
      </c>
      <c r="W19" s="70">
        <f t="shared" si="2"/>
        <v>2.0563846153846153</v>
      </c>
      <c r="X19" s="13">
        <v>35</v>
      </c>
      <c r="Y19" s="67">
        <f t="shared" si="3"/>
        <v>2.9166666666666665</v>
      </c>
      <c r="Z19" s="14">
        <v>32.082999999999998</v>
      </c>
      <c r="AA19" s="12">
        <f t="shared" si="4"/>
        <v>3.2700093428838364</v>
      </c>
      <c r="AB19" s="12">
        <f t="shared" si="5"/>
        <v>78.480224229212084</v>
      </c>
      <c r="AC19" s="12">
        <f t="shared" si="6"/>
        <v>8.3712030614685471</v>
      </c>
      <c r="AD19" s="67">
        <f t="shared" si="7"/>
        <v>0.69760025512237889</v>
      </c>
      <c r="AE19" s="13">
        <v>6</v>
      </c>
      <c r="AF19" s="14">
        <v>5.7</v>
      </c>
      <c r="AG19" s="10">
        <v>0</v>
      </c>
      <c r="AH19" s="12">
        <f t="shared" si="8"/>
        <v>0</v>
      </c>
      <c r="AI19" s="12">
        <f t="shared" si="9"/>
        <v>0</v>
      </c>
      <c r="AJ19" s="12">
        <f t="shared" si="10"/>
        <v>0</v>
      </c>
      <c r="AK19" s="13">
        <v>59</v>
      </c>
      <c r="AL19" s="52">
        <v>66.899000000000001</v>
      </c>
      <c r="AM19" s="61">
        <v>48</v>
      </c>
      <c r="AN19" s="16">
        <f t="shared" si="26"/>
        <v>4.4845842416692614</v>
      </c>
      <c r="AO19" s="48">
        <f t="shared" si="27"/>
        <v>107.63002180006228</v>
      </c>
      <c r="AP19" s="48">
        <f t="shared" si="28"/>
        <v>11.480507055728294</v>
      </c>
      <c r="AQ19" s="57">
        <v>19</v>
      </c>
      <c r="AR19" s="14">
        <v>16.233000000000001</v>
      </c>
      <c r="AS19" s="12">
        <f t="shared" si="29"/>
        <v>1.7751479289940828</v>
      </c>
      <c r="AT19" s="12">
        <f t="shared" si="30"/>
        <v>42.603550295857985</v>
      </c>
      <c r="AU19" s="12">
        <f t="shared" si="31"/>
        <v>4.5443673762257832</v>
      </c>
      <c r="AV19" s="13">
        <v>16</v>
      </c>
      <c r="AW19" s="14">
        <v>15.5</v>
      </c>
      <c r="AX19" s="12">
        <f t="shared" si="11"/>
        <v>1.4948614138897538</v>
      </c>
      <c r="AY19" s="12">
        <f t="shared" si="12"/>
        <v>35.876673933354091</v>
      </c>
      <c r="AZ19" s="12">
        <f t="shared" si="13"/>
        <v>3.8268356852427647</v>
      </c>
      <c r="BA19" s="13">
        <v>0</v>
      </c>
      <c r="BB19" s="14">
        <v>0</v>
      </c>
      <c r="BC19" s="12">
        <f t="shared" si="14"/>
        <v>0</v>
      </c>
      <c r="BD19" s="12">
        <f t="shared" si="15"/>
        <v>0</v>
      </c>
      <c r="BE19" s="12">
        <f t="shared" si="16"/>
        <v>0</v>
      </c>
      <c r="BF19" s="13">
        <v>0</v>
      </c>
      <c r="BG19" s="52">
        <v>0.35</v>
      </c>
      <c r="BH19" s="48">
        <f t="shared" si="17"/>
        <v>0</v>
      </c>
      <c r="BI19" s="48">
        <f t="shared" si="18"/>
        <v>0</v>
      </c>
      <c r="BJ19" s="48">
        <f t="shared" si="19"/>
        <v>0</v>
      </c>
      <c r="BK19" s="9" t="str">
        <f>"018"</f>
        <v>018</v>
      </c>
      <c r="BL19" s="9" t="str">
        <f>"4040 13079 67x59 4-1"</f>
        <v>4040 13079 67x59 4-1</v>
      </c>
      <c r="BM19" s="9" t="str">
        <f>"1019 Z"</f>
        <v>1019 Z</v>
      </c>
      <c r="BN19" s="10">
        <f t="shared" si="32"/>
        <v>651.0432886951105</v>
      </c>
      <c r="BO19" s="11">
        <f t="shared" si="33"/>
        <v>90.565505570441417</v>
      </c>
    </row>
    <row r="20" spans="1:67">
      <c r="A20" s="15" t="s">
        <v>217</v>
      </c>
      <c r="B20" s="9" t="str">
        <f>"019"</f>
        <v>019</v>
      </c>
      <c r="C20" s="9" t="str">
        <f>"4040 13079 67x59 4-1"</f>
        <v>4040 13079 67x59 4-1</v>
      </c>
      <c r="D20" s="9" t="str">
        <f>"1157 Z"</f>
        <v>1157 Z</v>
      </c>
      <c r="E20" s="10">
        <f t="shared" si="20"/>
        <v>678.00963290598088</v>
      </c>
      <c r="F20" s="11">
        <f t="shared" si="21"/>
        <v>85.442083333333343</v>
      </c>
      <c r="G20" s="11">
        <v>615.18299999999999</v>
      </c>
      <c r="H20" s="11">
        <v>104.81699999999999</v>
      </c>
      <c r="I20" s="11">
        <v>417.1</v>
      </c>
      <c r="J20" s="65">
        <f t="shared" si="0"/>
        <v>10.25305</v>
      </c>
      <c r="K20" s="11">
        <v>134.1</v>
      </c>
      <c r="L20" s="11">
        <v>3756801.58</v>
      </c>
      <c r="M20" s="11">
        <v>36911</v>
      </c>
      <c r="N20" s="11">
        <f t="shared" si="22"/>
        <v>101.78</v>
      </c>
      <c r="O20" s="13">
        <v>6</v>
      </c>
      <c r="P20" s="14">
        <v>6.5</v>
      </c>
      <c r="Q20" s="13">
        <v>15</v>
      </c>
      <c r="R20" s="67">
        <f t="shared" si="1"/>
        <v>1.25</v>
      </c>
      <c r="S20" s="14">
        <v>50.517000000000003</v>
      </c>
      <c r="T20" s="12">
        <f t="shared" si="23"/>
        <v>1.4629793085959788</v>
      </c>
      <c r="U20" s="12">
        <f t="shared" si="24"/>
        <v>35.111503406303491</v>
      </c>
      <c r="V20" s="12">
        <f t="shared" si="25"/>
        <v>3.5962598897146965</v>
      </c>
      <c r="W20" s="70">
        <f t="shared" si="2"/>
        <v>3.3678000000000003</v>
      </c>
      <c r="X20" s="13">
        <v>39</v>
      </c>
      <c r="Y20" s="67">
        <f t="shared" si="3"/>
        <v>3.25</v>
      </c>
      <c r="Z20" s="14">
        <v>33.6</v>
      </c>
      <c r="AA20" s="12">
        <f t="shared" si="4"/>
        <v>3.803746202349545</v>
      </c>
      <c r="AB20" s="12">
        <f t="shared" si="5"/>
        <v>91.289908856389076</v>
      </c>
      <c r="AC20" s="12">
        <f t="shared" si="6"/>
        <v>9.3502757132582115</v>
      </c>
      <c r="AD20" s="67">
        <f t="shared" si="7"/>
        <v>0.77918964277151759</v>
      </c>
      <c r="AE20" s="13">
        <v>8</v>
      </c>
      <c r="AF20" s="14">
        <v>14.2</v>
      </c>
      <c r="AG20" s="10">
        <v>0</v>
      </c>
      <c r="AH20" s="12">
        <f t="shared" si="8"/>
        <v>0</v>
      </c>
      <c r="AI20" s="12">
        <f t="shared" si="9"/>
        <v>0</v>
      </c>
      <c r="AJ20" s="12">
        <f t="shared" si="10"/>
        <v>0</v>
      </c>
      <c r="AK20" s="13">
        <v>68</v>
      </c>
      <c r="AL20" s="52">
        <v>104.81699999999999</v>
      </c>
      <c r="AM20" s="61">
        <v>54</v>
      </c>
      <c r="AN20" s="16">
        <f t="shared" si="26"/>
        <v>5.2667255109455233</v>
      </c>
      <c r="AO20" s="48">
        <f t="shared" si="27"/>
        <v>126.40141226269256</v>
      </c>
      <c r="AP20" s="48">
        <f t="shared" si="28"/>
        <v>12.946535602972908</v>
      </c>
      <c r="AQ20" s="57">
        <v>20</v>
      </c>
      <c r="AR20" s="14">
        <v>17.617000000000001</v>
      </c>
      <c r="AS20" s="12">
        <f t="shared" si="29"/>
        <v>1.9506390781279717</v>
      </c>
      <c r="AT20" s="12">
        <f t="shared" si="30"/>
        <v>46.815337875071322</v>
      </c>
      <c r="AU20" s="12">
        <f t="shared" si="31"/>
        <v>4.7950131862862619</v>
      </c>
      <c r="AV20" s="13">
        <v>16</v>
      </c>
      <c r="AW20" s="14">
        <v>13.05</v>
      </c>
      <c r="AX20" s="12">
        <f t="shared" si="11"/>
        <v>1.5605112625023774</v>
      </c>
      <c r="AY20" s="12">
        <f t="shared" si="12"/>
        <v>37.452270300057059</v>
      </c>
      <c r="AZ20" s="12">
        <f t="shared" si="13"/>
        <v>3.8360105490290097</v>
      </c>
      <c r="BA20" s="13">
        <v>1</v>
      </c>
      <c r="BB20" s="14">
        <v>0.53300000000000003</v>
      </c>
      <c r="BC20" s="12">
        <f t="shared" si="14"/>
        <v>9.7531953906398586E-2</v>
      </c>
      <c r="BD20" s="12">
        <f t="shared" si="15"/>
        <v>2.3407668937535662</v>
      </c>
      <c r="BE20" s="12">
        <f t="shared" si="16"/>
        <v>0.23975065931431311</v>
      </c>
      <c r="BF20" s="13">
        <v>2</v>
      </c>
      <c r="BG20" s="52">
        <v>2.4</v>
      </c>
      <c r="BH20" s="48">
        <f t="shared" si="17"/>
        <v>0.19506390781279717</v>
      </c>
      <c r="BI20" s="48">
        <f t="shared" si="18"/>
        <v>4.6815337875071323</v>
      </c>
      <c r="BJ20" s="48">
        <f t="shared" si="19"/>
        <v>0.47950131862862622</v>
      </c>
      <c r="BK20" s="9" t="str">
        <f>"019"</f>
        <v>019</v>
      </c>
      <c r="BL20" s="9" t="str">
        <f>"4040 13079 67x59 4-1"</f>
        <v>4040 13079 67x59 4-1</v>
      </c>
      <c r="BM20" s="9" t="str">
        <f>"1157 Z"</f>
        <v>1157 Z</v>
      </c>
      <c r="BN20" s="10">
        <f t="shared" si="32"/>
        <v>678.00963290598088</v>
      </c>
      <c r="BO20" s="11">
        <f t="shared" si="33"/>
        <v>85.442083333333343</v>
      </c>
    </row>
    <row r="21" spans="1:67">
      <c r="A21" s="15" t="s">
        <v>217</v>
      </c>
      <c r="B21" s="9" t="str">
        <f>"020"</f>
        <v>020</v>
      </c>
      <c r="C21" s="9" t="str">
        <f>"6060 18587 126 4-1"</f>
        <v>6060 18587 126 4-1</v>
      </c>
      <c r="D21" s="9" t="str">
        <f>"1002 Z"</f>
        <v>1002 Z</v>
      </c>
      <c r="E21" s="10">
        <f t="shared" si="20"/>
        <v>596.89690136533795</v>
      </c>
      <c r="F21" s="11">
        <f t="shared" si="21"/>
        <v>65.337916666666672</v>
      </c>
      <c r="G21" s="11">
        <v>470.43299999999999</v>
      </c>
      <c r="H21" s="11">
        <v>249.56700000000001</v>
      </c>
      <c r="I21" s="11">
        <v>280.8</v>
      </c>
      <c r="J21" s="65">
        <f t="shared" si="0"/>
        <v>7.8405499999999995</v>
      </c>
      <c r="K21" s="11">
        <v>82</v>
      </c>
      <c r="L21" s="11">
        <v>2427153.7400000002</v>
      </c>
      <c r="M21" s="11">
        <v>28226</v>
      </c>
      <c r="N21" s="11">
        <f t="shared" si="22"/>
        <v>85.990000000000009</v>
      </c>
      <c r="O21" s="13">
        <v>4</v>
      </c>
      <c r="P21" s="14">
        <v>10.782999999999999</v>
      </c>
      <c r="Q21" s="13">
        <v>59</v>
      </c>
      <c r="R21" s="67">
        <f t="shared" si="1"/>
        <v>4.916666666666667</v>
      </c>
      <c r="S21" s="14">
        <v>167.03299999999999</v>
      </c>
      <c r="T21" s="12">
        <f t="shared" si="23"/>
        <v>7.5249823035373797</v>
      </c>
      <c r="U21" s="12">
        <f t="shared" si="24"/>
        <v>180.5995752848971</v>
      </c>
      <c r="V21" s="12">
        <f t="shared" si="25"/>
        <v>21.011396011396009</v>
      </c>
      <c r="W21" s="70">
        <f t="shared" si="2"/>
        <v>2.8310677966101694</v>
      </c>
      <c r="X21" s="13">
        <v>72</v>
      </c>
      <c r="Y21" s="67">
        <f t="shared" si="3"/>
        <v>6</v>
      </c>
      <c r="Z21" s="14">
        <v>65.683000000000007</v>
      </c>
      <c r="AA21" s="12">
        <f t="shared" si="4"/>
        <v>9.1830292517744301</v>
      </c>
      <c r="AB21" s="12">
        <f t="shared" si="5"/>
        <v>220.39270204258631</v>
      </c>
      <c r="AC21" s="12">
        <f t="shared" si="6"/>
        <v>25.641025641025639</v>
      </c>
      <c r="AD21" s="67">
        <f t="shared" si="7"/>
        <v>2.1367521367521367</v>
      </c>
      <c r="AE21" s="13">
        <v>8</v>
      </c>
      <c r="AF21" s="14">
        <v>6.0670000000000002</v>
      </c>
      <c r="AG21" s="10">
        <v>0</v>
      </c>
      <c r="AH21" s="12">
        <f t="shared" si="8"/>
        <v>0</v>
      </c>
      <c r="AI21" s="12">
        <f t="shared" si="9"/>
        <v>0</v>
      </c>
      <c r="AJ21" s="12">
        <f t="shared" si="10"/>
        <v>0</v>
      </c>
      <c r="AK21" s="13">
        <v>143</v>
      </c>
      <c r="AL21" s="52">
        <v>249.566</v>
      </c>
      <c r="AM21" s="61">
        <v>131</v>
      </c>
      <c r="AN21" s="16">
        <f t="shared" si="26"/>
        <v>16.70801155531181</v>
      </c>
      <c r="AO21" s="48">
        <f t="shared" si="27"/>
        <v>400.99227732748341</v>
      </c>
      <c r="AP21" s="48">
        <f t="shared" si="28"/>
        <v>46.652421652421651</v>
      </c>
      <c r="AQ21" s="57">
        <v>29</v>
      </c>
      <c r="AR21" s="14">
        <v>23.05</v>
      </c>
      <c r="AS21" s="12">
        <f t="shared" si="29"/>
        <v>3.698720115298034</v>
      </c>
      <c r="AT21" s="12">
        <f t="shared" si="30"/>
        <v>88.769282767152816</v>
      </c>
      <c r="AU21" s="12">
        <f t="shared" si="31"/>
        <v>10.327635327635328</v>
      </c>
      <c r="AV21" s="13">
        <v>31</v>
      </c>
      <c r="AW21" s="14">
        <v>30.15</v>
      </c>
      <c r="AX21" s="12">
        <f t="shared" si="11"/>
        <v>3.953804261180657</v>
      </c>
      <c r="AY21" s="12">
        <f t="shared" si="12"/>
        <v>94.891302268335764</v>
      </c>
      <c r="AZ21" s="12">
        <f t="shared" si="13"/>
        <v>11.039886039886039</v>
      </c>
      <c r="BA21" s="13">
        <v>10</v>
      </c>
      <c r="BB21" s="14">
        <v>9.4329999999999998</v>
      </c>
      <c r="BC21" s="12">
        <f t="shared" si="14"/>
        <v>1.2754207294131152</v>
      </c>
      <c r="BD21" s="12">
        <f t="shared" si="15"/>
        <v>30.610097505914766</v>
      </c>
      <c r="BE21" s="12">
        <f t="shared" si="16"/>
        <v>3.5612535612535612</v>
      </c>
      <c r="BF21" s="13">
        <v>2</v>
      </c>
      <c r="BG21" s="52">
        <v>3.05</v>
      </c>
      <c r="BH21" s="48">
        <f t="shared" si="17"/>
        <v>0.25508414588262301</v>
      </c>
      <c r="BI21" s="48">
        <f t="shared" si="18"/>
        <v>6.1220195011829528</v>
      </c>
      <c r="BJ21" s="48">
        <f t="shared" si="19"/>
        <v>0.71225071225071224</v>
      </c>
      <c r="BK21" s="9" t="str">
        <f>"020"</f>
        <v>020</v>
      </c>
      <c r="BL21" s="9" t="str">
        <f>"6060 18587 126 4-1"</f>
        <v>6060 18587 126 4-1</v>
      </c>
      <c r="BM21" s="9" t="str">
        <f>"1002 Z"</f>
        <v>1002 Z</v>
      </c>
      <c r="BN21" s="10">
        <f t="shared" si="32"/>
        <v>596.89690136533795</v>
      </c>
      <c r="BO21" s="11">
        <f t="shared" si="33"/>
        <v>65.337916666666672</v>
      </c>
    </row>
    <row r="22" spans="1:67">
      <c r="A22" s="15" t="s">
        <v>217</v>
      </c>
      <c r="B22" s="9" t="str">
        <f>"021"</f>
        <v>021</v>
      </c>
      <c r="C22" s="9" t="str">
        <f>"6060 18587 123 4-1"</f>
        <v>6060 18587 123 4-1</v>
      </c>
      <c r="D22" s="9" t="str">
        <f>"1161 R"</f>
        <v>1161 R</v>
      </c>
      <c r="E22" s="10">
        <f t="shared" si="20"/>
        <v>645.44766441358991</v>
      </c>
      <c r="F22" s="11">
        <f t="shared" si="21"/>
        <v>83.856527777777785</v>
      </c>
      <c r="G22" s="11">
        <v>603.76700000000005</v>
      </c>
      <c r="H22" s="11">
        <v>116.233</v>
      </c>
      <c r="I22" s="11">
        <v>389.7</v>
      </c>
      <c r="J22" s="65">
        <f t="shared" si="0"/>
        <v>10.062783333333334</v>
      </c>
      <c r="K22" s="11">
        <v>113.8</v>
      </c>
      <c r="L22" s="11">
        <v>3358874.72</v>
      </c>
      <c r="M22" s="11">
        <v>36226</v>
      </c>
      <c r="N22" s="11">
        <f t="shared" si="22"/>
        <v>92.72</v>
      </c>
      <c r="O22" s="13">
        <v>6</v>
      </c>
      <c r="P22" s="14">
        <v>6.4829999999999997</v>
      </c>
      <c r="Q22" s="13">
        <v>29</v>
      </c>
      <c r="R22" s="67">
        <f t="shared" si="1"/>
        <v>2.4166666666666665</v>
      </c>
      <c r="S22" s="14">
        <v>62.9</v>
      </c>
      <c r="T22" s="12">
        <f t="shared" si="23"/>
        <v>2.8819064307920104</v>
      </c>
      <c r="U22" s="12">
        <f t="shared" si="24"/>
        <v>69.165754339008259</v>
      </c>
      <c r="V22" s="12">
        <f t="shared" si="25"/>
        <v>7.4416217603284576</v>
      </c>
      <c r="W22" s="70">
        <f t="shared" si="2"/>
        <v>2.1689655172413791</v>
      </c>
      <c r="X22" s="13">
        <v>68</v>
      </c>
      <c r="Y22" s="67">
        <f t="shared" si="3"/>
        <v>5.666666666666667</v>
      </c>
      <c r="Z22" s="14">
        <v>39</v>
      </c>
      <c r="AA22" s="12">
        <f t="shared" si="4"/>
        <v>6.7575736997881624</v>
      </c>
      <c r="AB22" s="12">
        <f t="shared" si="5"/>
        <v>162.18176879491591</v>
      </c>
      <c r="AC22" s="12">
        <f t="shared" si="6"/>
        <v>17.449319989735695</v>
      </c>
      <c r="AD22" s="67">
        <f t="shared" si="7"/>
        <v>1.4541099991446413</v>
      </c>
      <c r="AE22" s="13">
        <v>10</v>
      </c>
      <c r="AF22" s="14">
        <v>7.85</v>
      </c>
      <c r="AG22" s="10">
        <v>0</v>
      </c>
      <c r="AH22" s="12">
        <f t="shared" si="8"/>
        <v>0</v>
      </c>
      <c r="AI22" s="12">
        <f t="shared" si="9"/>
        <v>0</v>
      </c>
      <c r="AJ22" s="12">
        <f t="shared" si="10"/>
        <v>0</v>
      </c>
      <c r="AK22" s="13">
        <v>113</v>
      </c>
      <c r="AL22" s="52">
        <v>116.233</v>
      </c>
      <c r="AM22" s="61">
        <v>97</v>
      </c>
      <c r="AN22" s="16">
        <f t="shared" si="26"/>
        <v>9.6394801305801732</v>
      </c>
      <c r="AO22" s="48">
        <f t="shared" si="27"/>
        <v>231.34752313392417</v>
      </c>
      <c r="AP22" s="48">
        <f t="shared" si="28"/>
        <v>24.890941750064151</v>
      </c>
      <c r="AQ22" s="57">
        <v>22</v>
      </c>
      <c r="AR22" s="14">
        <v>10.85</v>
      </c>
      <c r="AS22" s="12">
        <f t="shared" si="29"/>
        <v>2.1862738440491114</v>
      </c>
      <c r="AT22" s="12">
        <f t="shared" si="30"/>
        <v>52.470572257178674</v>
      </c>
      <c r="AU22" s="12">
        <f t="shared" si="31"/>
        <v>5.6453682319733129</v>
      </c>
      <c r="AV22" s="13">
        <v>44</v>
      </c>
      <c r="AW22" s="14">
        <v>27.183</v>
      </c>
      <c r="AX22" s="12">
        <f t="shared" si="11"/>
        <v>4.3725476880982228</v>
      </c>
      <c r="AY22" s="12">
        <f t="shared" si="12"/>
        <v>104.94114451435735</v>
      </c>
      <c r="AZ22" s="12">
        <f t="shared" si="13"/>
        <v>11.290736463946626</v>
      </c>
      <c r="BA22" s="13">
        <v>1</v>
      </c>
      <c r="BB22" s="14">
        <v>0.76700000000000002</v>
      </c>
      <c r="BC22" s="12">
        <f t="shared" si="14"/>
        <v>9.9376083820414157E-2</v>
      </c>
      <c r="BD22" s="12">
        <f t="shared" si="15"/>
        <v>2.38502601168994</v>
      </c>
      <c r="BE22" s="12">
        <f t="shared" si="16"/>
        <v>0.25660764690787785</v>
      </c>
      <c r="BF22" s="13">
        <v>1</v>
      </c>
      <c r="BG22" s="52">
        <v>0.2</v>
      </c>
      <c r="BH22" s="48">
        <f t="shared" si="17"/>
        <v>9.9376083820414157E-2</v>
      </c>
      <c r="BI22" s="48">
        <f t="shared" si="18"/>
        <v>2.38502601168994</v>
      </c>
      <c r="BJ22" s="48">
        <f t="shared" si="19"/>
        <v>0.25660764690787785</v>
      </c>
      <c r="BK22" s="9" t="str">
        <f>"021"</f>
        <v>021</v>
      </c>
      <c r="BL22" s="9" t="str">
        <f>"6060 18587 123 4-1"</f>
        <v>6060 18587 123 4-1</v>
      </c>
      <c r="BM22" s="9" t="str">
        <f>"1161 R"</f>
        <v>1161 R</v>
      </c>
      <c r="BN22" s="10">
        <f t="shared" si="32"/>
        <v>645.44766441358991</v>
      </c>
      <c r="BO22" s="11">
        <f t="shared" si="33"/>
        <v>83.856527777777785</v>
      </c>
    </row>
    <row r="23" spans="1:67">
      <c r="A23" s="15" t="s">
        <v>217</v>
      </c>
      <c r="B23" s="9" t="str">
        <f>"022"</f>
        <v>022</v>
      </c>
      <c r="C23" s="9" t="str">
        <f>"6060 18587 126 4-1"</f>
        <v>6060 18587 126 4-1</v>
      </c>
      <c r="D23" s="9" t="str">
        <f>"1154 Z"</f>
        <v>1154 Z</v>
      </c>
      <c r="E23" s="10">
        <f t="shared" si="20"/>
        <v>645.32738350639318</v>
      </c>
      <c r="F23" s="11">
        <f t="shared" si="21"/>
        <v>80.923611111111114</v>
      </c>
      <c r="G23" s="11">
        <v>582.65</v>
      </c>
      <c r="H23" s="11">
        <v>137.35</v>
      </c>
      <c r="I23" s="11">
        <v>376</v>
      </c>
      <c r="J23" s="65">
        <f t="shared" si="0"/>
        <v>9.7108333333333334</v>
      </c>
      <c r="K23" s="11">
        <v>109.8</v>
      </c>
      <c r="L23" s="11">
        <v>3188959.98</v>
      </c>
      <c r="M23" s="11">
        <v>34959</v>
      </c>
      <c r="N23" s="11">
        <f t="shared" si="22"/>
        <v>91.22</v>
      </c>
      <c r="O23" s="13">
        <v>4</v>
      </c>
      <c r="P23" s="14">
        <v>12.217000000000001</v>
      </c>
      <c r="Q23" s="13">
        <v>33</v>
      </c>
      <c r="R23" s="67">
        <f t="shared" si="1"/>
        <v>2.75</v>
      </c>
      <c r="S23" s="14">
        <v>75.082999999999998</v>
      </c>
      <c r="T23" s="12">
        <f t="shared" si="23"/>
        <v>3.3982665408049431</v>
      </c>
      <c r="U23" s="12">
        <f t="shared" si="24"/>
        <v>81.55839697931863</v>
      </c>
      <c r="V23" s="12">
        <f t="shared" si="25"/>
        <v>8.7765957446808507</v>
      </c>
      <c r="W23" s="70">
        <f t="shared" si="2"/>
        <v>2.2752424242424243</v>
      </c>
      <c r="X23" s="13">
        <v>65</v>
      </c>
      <c r="Y23" s="67">
        <f t="shared" si="3"/>
        <v>5.416666666666667</v>
      </c>
      <c r="Z23" s="14">
        <v>46.917000000000002</v>
      </c>
      <c r="AA23" s="12">
        <f t="shared" si="4"/>
        <v>6.6935553076460996</v>
      </c>
      <c r="AB23" s="12">
        <f t="shared" si="5"/>
        <v>160.64532738350641</v>
      </c>
      <c r="AC23" s="12">
        <f t="shared" si="6"/>
        <v>17.287234042553191</v>
      </c>
      <c r="AD23" s="67">
        <f t="shared" si="7"/>
        <v>1.4406028368794326</v>
      </c>
      <c r="AE23" s="13">
        <v>1</v>
      </c>
      <c r="AF23" s="14">
        <v>3.133</v>
      </c>
      <c r="AG23" s="10">
        <v>0</v>
      </c>
      <c r="AH23" s="12">
        <f t="shared" si="8"/>
        <v>0</v>
      </c>
      <c r="AI23" s="12">
        <f t="shared" si="9"/>
        <v>0</v>
      </c>
      <c r="AJ23" s="12">
        <f t="shared" si="10"/>
        <v>0</v>
      </c>
      <c r="AK23" s="13">
        <v>103</v>
      </c>
      <c r="AL23" s="52">
        <v>137.35</v>
      </c>
      <c r="AM23" s="61">
        <v>98</v>
      </c>
      <c r="AN23" s="16">
        <f t="shared" si="26"/>
        <v>10.091821848451042</v>
      </c>
      <c r="AO23" s="48">
        <f t="shared" si="27"/>
        <v>242.20372436282503</v>
      </c>
      <c r="AP23" s="48">
        <f t="shared" si="28"/>
        <v>26.063829787234042</v>
      </c>
      <c r="AQ23" s="57">
        <v>24</v>
      </c>
      <c r="AR23" s="14">
        <v>15.25</v>
      </c>
      <c r="AS23" s="12">
        <f t="shared" si="29"/>
        <v>2.4714665751308678</v>
      </c>
      <c r="AT23" s="12">
        <f t="shared" si="30"/>
        <v>59.315197803140826</v>
      </c>
      <c r="AU23" s="12">
        <f t="shared" si="31"/>
        <v>6.3829787234042552</v>
      </c>
      <c r="AV23" s="13">
        <v>26</v>
      </c>
      <c r="AW23" s="14">
        <v>18.850000000000001</v>
      </c>
      <c r="AX23" s="12">
        <f t="shared" si="11"/>
        <v>2.6774221230584399</v>
      </c>
      <c r="AY23" s="12">
        <f t="shared" si="12"/>
        <v>64.258130953402556</v>
      </c>
      <c r="AZ23" s="12">
        <f t="shared" si="13"/>
        <v>6.9148936170212769</v>
      </c>
      <c r="BA23" s="13">
        <v>3</v>
      </c>
      <c r="BB23" s="14">
        <v>2.133</v>
      </c>
      <c r="BC23" s="12">
        <f t="shared" si="14"/>
        <v>0.30893332189135847</v>
      </c>
      <c r="BD23" s="12">
        <f t="shared" si="15"/>
        <v>7.4143997253926033</v>
      </c>
      <c r="BE23" s="12">
        <f t="shared" si="16"/>
        <v>0.7978723404255319</v>
      </c>
      <c r="BF23" s="13">
        <v>12</v>
      </c>
      <c r="BG23" s="52">
        <v>10.683</v>
      </c>
      <c r="BH23" s="48">
        <f t="shared" si="17"/>
        <v>1.2357332875654339</v>
      </c>
      <c r="BI23" s="48">
        <f t="shared" si="18"/>
        <v>29.657598901570413</v>
      </c>
      <c r="BJ23" s="48">
        <f t="shared" si="19"/>
        <v>3.1914893617021276</v>
      </c>
      <c r="BK23" s="9" t="str">
        <f>"022"</f>
        <v>022</v>
      </c>
      <c r="BL23" s="9" t="str">
        <f>"6060 18587 126 4-1"</f>
        <v>6060 18587 126 4-1</v>
      </c>
      <c r="BM23" s="9" t="str">
        <f>"1154 Z"</f>
        <v>1154 Z</v>
      </c>
      <c r="BN23" s="10">
        <f t="shared" si="32"/>
        <v>645.32738350639318</v>
      </c>
      <c r="BO23" s="11">
        <f t="shared" si="33"/>
        <v>80.923611111111114</v>
      </c>
    </row>
    <row r="24" spans="1:67">
      <c r="A24" s="15" t="s">
        <v>217</v>
      </c>
      <c r="B24" s="9" t="str">
        <f>"023"</f>
        <v>023</v>
      </c>
      <c r="C24" s="9" t="str">
        <f>"6060 18587 126 4-1"</f>
        <v>6060 18587 126 4-1</v>
      </c>
      <c r="D24" s="9" t="str">
        <f>"1028 Z"</f>
        <v>1028 Z</v>
      </c>
      <c r="E24" s="10">
        <f t="shared" si="20"/>
        <v>598.91693878621993</v>
      </c>
      <c r="F24" s="11">
        <f t="shared" si="21"/>
        <v>82.046250000000001</v>
      </c>
      <c r="G24" s="11">
        <v>590.73299999999995</v>
      </c>
      <c r="H24" s="11">
        <v>129.267</v>
      </c>
      <c r="I24" s="11">
        <v>353.8</v>
      </c>
      <c r="J24" s="65">
        <f t="shared" si="0"/>
        <v>9.8455499999999994</v>
      </c>
      <c r="K24" s="11">
        <v>103.3</v>
      </c>
      <c r="L24" s="11">
        <v>3352647.96</v>
      </c>
      <c r="M24" s="11">
        <v>35444</v>
      </c>
      <c r="N24" s="11">
        <f t="shared" si="22"/>
        <v>94.59</v>
      </c>
      <c r="O24" s="13">
        <v>3</v>
      </c>
      <c r="P24" s="14">
        <v>1.2</v>
      </c>
      <c r="Q24" s="13">
        <v>48</v>
      </c>
      <c r="R24" s="67">
        <f t="shared" si="1"/>
        <v>4</v>
      </c>
      <c r="S24" s="14">
        <v>94.016999999999996</v>
      </c>
      <c r="T24" s="12">
        <f t="shared" si="23"/>
        <v>4.8752989929460524</v>
      </c>
      <c r="U24" s="12">
        <f t="shared" si="24"/>
        <v>117.00717583070525</v>
      </c>
      <c r="V24" s="12">
        <f t="shared" si="25"/>
        <v>13.566986998304126</v>
      </c>
      <c r="W24" s="70">
        <f t="shared" si="2"/>
        <v>1.9586874999999999</v>
      </c>
      <c r="X24" s="13">
        <v>53</v>
      </c>
      <c r="Y24" s="67">
        <f t="shared" si="3"/>
        <v>4.416666666666667</v>
      </c>
      <c r="Z24" s="14">
        <v>34.049999999999997</v>
      </c>
      <c r="AA24" s="12">
        <f t="shared" si="4"/>
        <v>5.3831426380445997</v>
      </c>
      <c r="AB24" s="12">
        <f t="shared" si="5"/>
        <v>129.19542331307039</v>
      </c>
      <c r="AC24" s="12">
        <f t="shared" si="6"/>
        <v>14.980214810627473</v>
      </c>
      <c r="AD24" s="67">
        <f t="shared" si="7"/>
        <v>1.248351234218956</v>
      </c>
      <c r="AE24" s="13">
        <v>0</v>
      </c>
      <c r="AF24" s="14">
        <v>0</v>
      </c>
      <c r="AG24" s="10">
        <v>0</v>
      </c>
      <c r="AH24" s="12">
        <f t="shared" si="8"/>
        <v>0</v>
      </c>
      <c r="AI24" s="12">
        <f t="shared" si="9"/>
        <v>0</v>
      </c>
      <c r="AJ24" s="12">
        <f t="shared" si="10"/>
        <v>0</v>
      </c>
      <c r="AK24" s="13">
        <v>104</v>
      </c>
      <c r="AL24" s="52">
        <v>129.267</v>
      </c>
      <c r="AM24" s="61">
        <v>101</v>
      </c>
      <c r="AN24" s="16">
        <f t="shared" si="26"/>
        <v>10.258441630990651</v>
      </c>
      <c r="AO24" s="48">
        <f t="shared" si="27"/>
        <v>246.20259914377564</v>
      </c>
      <c r="AP24" s="48">
        <f t="shared" si="28"/>
        <v>28.5472018089316</v>
      </c>
      <c r="AQ24" s="57">
        <v>20</v>
      </c>
      <c r="AR24" s="14">
        <v>16.399999999999999</v>
      </c>
      <c r="AS24" s="12">
        <f t="shared" si="29"/>
        <v>2.0313745803941883</v>
      </c>
      <c r="AT24" s="12">
        <f t="shared" si="30"/>
        <v>48.752989929460519</v>
      </c>
      <c r="AU24" s="12">
        <f t="shared" si="31"/>
        <v>5.6529112492933855</v>
      </c>
      <c r="AV24" s="13">
        <v>33</v>
      </c>
      <c r="AW24" s="14">
        <v>17.567</v>
      </c>
      <c r="AX24" s="12">
        <f t="shared" si="11"/>
        <v>3.351768057650411</v>
      </c>
      <c r="AY24" s="12">
        <f t="shared" si="12"/>
        <v>80.442433383609867</v>
      </c>
      <c r="AZ24" s="12">
        <f t="shared" si="13"/>
        <v>9.3273035613340873</v>
      </c>
      <c r="BA24" s="13">
        <v>0</v>
      </c>
      <c r="BB24" s="14">
        <v>0</v>
      </c>
      <c r="BC24" s="12">
        <f t="shared" si="14"/>
        <v>0</v>
      </c>
      <c r="BD24" s="12">
        <f t="shared" si="15"/>
        <v>0</v>
      </c>
      <c r="BE24" s="12">
        <f t="shared" si="16"/>
        <v>0</v>
      </c>
      <c r="BF24" s="13">
        <v>0</v>
      </c>
      <c r="BG24" s="52">
        <v>8.3000000000000004E-2</v>
      </c>
      <c r="BH24" s="48">
        <f t="shared" si="17"/>
        <v>0</v>
      </c>
      <c r="BI24" s="48">
        <f t="shared" si="18"/>
        <v>0</v>
      </c>
      <c r="BJ24" s="48">
        <f t="shared" si="19"/>
        <v>0</v>
      </c>
      <c r="BK24" s="9" t="str">
        <f>"023"</f>
        <v>023</v>
      </c>
      <c r="BL24" s="9" t="str">
        <f>"6060 18587 126 4-1"</f>
        <v>6060 18587 126 4-1</v>
      </c>
      <c r="BM24" s="9" t="str">
        <f>"1028 Z"</f>
        <v>1028 Z</v>
      </c>
      <c r="BN24" s="10">
        <f t="shared" si="32"/>
        <v>598.91693878621993</v>
      </c>
      <c r="BO24" s="11">
        <f t="shared" si="33"/>
        <v>82.046250000000001</v>
      </c>
    </row>
    <row r="25" spans="1:67">
      <c r="A25" s="15" t="s">
        <v>217</v>
      </c>
      <c r="B25" s="9" t="str">
        <f>"024"</f>
        <v>024</v>
      </c>
      <c r="C25" s="9" t="str">
        <f>"6060 18587 123 4-1"</f>
        <v>6060 18587 123 4-1</v>
      </c>
      <c r="D25" s="9" t="str">
        <f>"1044 R"</f>
        <v>1044 R</v>
      </c>
      <c r="E25" s="10">
        <f t="shared" si="20"/>
        <v>640.6467481457471</v>
      </c>
      <c r="F25" s="11">
        <f t="shared" si="21"/>
        <v>80.127361111111114</v>
      </c>
      <c r="G25" s="11">
        <v>576.91700000000003</v>
      </c>
      <c r="H25" s="11">
        <v>143.083</v>
      </c>
      <c r="I25" s="11">
        <v>369.6</v>
      </c>
      <c r="J25" s="65">
        <f t="shared" si="0"/>
        <v>9.6152833333333341</v>
      </c>
      <c r="K25" s="11">
        <v>107.9</v>
      </c>
      <c r="L25" s="11">
        <v>3165887.9</v>
      </c>
      <c r="M25" s="11">
        <v>34615</v>
      </c>
      <c r="N25" s="11">
        <f t="shared" si="22"/>
        <v>91.46</v>
      </c>
      <c r="O25" s="13">
        <v>3</v>
      </c>
      <c r="P25" s="14">
        <v>1.2669999999999999</v>
      </c>
      <c r="Q25" s="13">
        <v>38</v>
      </c>
      <c r="R25" s="67">
        <f t="shared" si="1"/>
        <v>3.1666666666666665</v>
      </c>
      <c r="S25" s="14">
        <v>73.099999999999994</v>
      </c>
      <c r="T25" s="12">
        <f t="shared" si="23"/>
        <v>3.9520416281718167</v>
      </c>
      <c r="U25" s="12">
        <f t="shared" si="24"/>
        <v>94.84899907612359</v>
      </c>
      <c r="V25" s="12">
        <f t="shared" si="25"/>
        <v>10.281385281385282</v>
      </c>
      <c r="W25" s="70">
        <f t="shared" si="2"/>
        <v>1.9236842105263157</v>
      </c>
      <c r="X25" s="13">
        <v>67</v>
      </c>
      <c r="Y25" s="67">
        <f t="shared" si="3"/>
        <v>5.583333333333333</v>
      </c>
      <c r="Z25" s="14">
        <v>66.617000000000004</v>
      </c>
      <c r="AA25" s="12">
        <f t="shared" si="4"/>
        <v>6.9680733970397819</v>
      </c>
      <c r="AB25" s="12">
        <f t="shared" si="5"/>
        <v>167.23376152895477</v>
      </c>
      <c r="AC25" s="12">
        <f t="shared" si="6"/>
        <v>18.127705627705627</v>
      </c>
      <c r="AD25" s="67">
        <f t="shared" si="7"/>
        <v>1.5106421356421356</v>
      </c>
      <c r="AE25" s="13">
        <v>1</v>
      </c>
      <c r="AF25" s="14">
        <v>2.1</v>
      </c>
      <c r="AG25" s="10">
        <v>0</v>
      </c>
      <c r="AH25" s="12">
        <f t="shared" si="8"/>
        <v>0</v>
      </c>
      <c r="AI25" s="12">
        <f t="shared" si="9"/>
        <v>0</v>
      </c>
      <c r="AJ25" s="12">
        <f t="shared" si="10"/>
        <v>0</v>
      </c>
      <c r="AK25" s="13">
        <v>109</v>
      </c>
      <c r="AL25" s="52">
        <v>143.084</v>
      </c>
      <c r="AM25" s="61">
        <v>105</v>
      </c>
      <c r="AN25" s="16">
        <f t="shared" si="26"/>
        <v>10.920115025211599</v>
      </c>
      <c r="AO25" s="48">
        <f t="shared" si="27"/>
        <v>262.08276060507836</v>
      </c>
      <c r="AP25" s="48">
        <f t="shared" si="28"/>
        <v>28.409090909090907</v>
      </c>
      <c r="AQ25" s="57">
        <v>28</v>
      </c>
      <c r="AR25" s="14">
        <v>20</v>
      </c>
      <c r="AS25" s="12">
        <f t="shared" si="29"/>
        <v>2.9120306733897596</v>
      </c>
      <c r="AT25" s="12">
        <f t="shared" si="30"/>
        <v>69.888736161354231</v>
      </c>
      <c r="AU25" s="12">
        <f t="shared" si="31"/>
        <v>7.5757575757575752</v>
      </c>
      <c r="AV25" s="13">
        <v>10</v>
      </c>
      <c r="AW25" s="14">
        <v>4.5330000000000004</v>
      </c>
      <c r="AX25" s="12">
        <f t="shared" si="11"/>
        <v>1.0400109547820571</v>
      </c>
      <c r="AY25" s="12">
        <f t="shared" si="12"/>
        <v>24.960262914769366</v>
      </c>
      <c r="AZ25" s="12">
        <f t="shared" si="13"/>
        <v>2.7056277056277054</v>
      </c>
      <c r="BA25" s="13">
        <v>28</v>
      </c>
      <c r="BB25" s="14">
        <v>41.7</v>
      </c>
      <c r="BC25" s="12">
        <f t="shared" si="14"/>
        <v>2.9120306733897596</v>
      </c>
      <c r="BD25" s="12">
        <f t="shared" si="15"/>
        <v>69.888736161354231</v>
      </c>
      <c r="BE25" s="12">
        <f t="shared" si="16"/>
        <v>7.5757575757575752</v>
      </c>
      <c r="BF25" s="13">
        <v>1</v>
      </c>
      <c r="BG25" s="52">
        <v>0.38300000000000001</v>
      </c>
      <c r="BH25" s="48">
        <f t="shared" si="17"/>
        <v>0.1040010954782057</v>
      </c>
      <c r="BI25" s="48">
        <f t="shared" si="18"/>
        <v>2.4960262914769369</v>
      </c>
      <c r="BJ25" s="48">
        <f t="shared" si="19"/>
        <v>0.27056277056277056</v>
      </c>
      <c r="BK25" s="9" t="str">
        <f>"024"</f>
        <v>024</v>
      </c>
      <c r="BL25" s="9" t="str">
        <f>"6060 18587 123 4-1"</f>
        <v>6060 18587 123 4-1</v>
      </c>
      <c r="BM25" s="9" t="str">
        <f>"1044 R"</f>
        <v>1044 R</v>
      </c>
      <c r="BN25" s="10">
        <f t="shared" si="32"/>
        <v>640.6467481457471</v>
      </c>
      <c r="BO25" s="11">
        <f t="shared" si="33"/>
        <v>80.127361111111114</v>
      </c>
    </row>
    <row r="26" spans="1:67">
      <c r="A26" s="15" t="s">
        <v>217</v>
      </c>
      <c r="B26" s="9" t="str">
        <f>"25"</f>
        <v>25</v>
      </c>
      <c r="C26" s="9" t="str">
        <f>"4040 10080 124 1-1"</f>
        <v>4040 10080 124 1-1</v>
      </c>
      <c r="D26" s="9" t="str">
        <f>"1169 Z"</f>
        <v>1169 Z</v>
      </c>
      <c r="E26" s="10">
        <f t="shared" si="20"/>
        <v>798.03137274883966</v>
      </c>
      <c r="F26" s="11">
        <f t="shared" si="21"/>
        <v>92.675972222222242</v>
      </c>
      <c r="G26" s="11">
        <v>667.26700000000005</v>
      </c>
      <c r="H26" s="11">
        <v>52.732999999999997</v>
      </c>
      <c r="I26" s="11">
        <v>532.5</v>
      </c>
      <c r="J26" s="65">
        <f t="shared" si="0"/>
        <v>11.121116666666667</v>
      </c>
      <c r="K26" s="11">
        <v>170.1</v>
      </c>
      <c r="L26" s="11">
        <v>4628561.96</v>
      </c>
      <c r="M26" s="11">
        <v>40036</v>
      </c>
      <c r="N26" s="11">
        <f t="shared" si="22"/>
        <v>115.61</v>
      </c>
      <c r="O26" s="13">
        <v>6</v>
      </c>
      <c r="P26" s="14">
        <v>3.0830000000000002</v>
      </c>
      <c r="Q26" s="13">
        <v>19</v>
      </c>
      <c r="R26" s="67">
        <f t="shared" si="1"/>
        <v>1.5833333333333333</v>
      </c>
      <c r="S26" s="14">
        <v>26.817</v>
      </c>
      <c r="T26" s="12">
        <f t="shared" si="23"/>
        <v>1.708461530391882</v>
      </c>
      <c r="U26" s="12">
        <f t="shared" si="24"/>
        <v>41.003076729405166</v>
      </c>
      <c r="V26" s="12">
        <f t="shared" si="25"/>
        <v>3.568075117370892</v>
      </c>
      <c r="W26" s="70">
        <f t="shared" si="2"/>
        <v>1.4114210526315789</v>
      </c>
      <c r="X26" s="13">
        <v>28</v>
      </c>
      <c r="Y26" s="67">
        <f t="shared" si="3"/>
        <v>2.3333333333333335</v>
      </c>
      <c r="Z26" s="14">
        <v>20.582999999999998</v>
      </c>
      <c r="AA26" s="12">
        <f t="shared" si="4"/>
        <v>2.517732781630142</v>
      </c>
      <c r="AB26" s="12">
        <f t="shared" si="5"/>
        <v>60.425586759123405</v>
      </c>
      <c r="AC26" s="12">
        <f t="shared" si="6"/>
        <v>5.258215962441315</v>
      </c>
      <c r="AD26" s="67">
        <f t="shared" si="7"/>
        <v>0.43818466353677626</v>
      </c>
      <c r="AE26" s="13">
        <v>2</v>
      </c>
      <c r="AF26" s="14">
        <v>2.25</v>
      </c>
      <c r="AG26" s="10">
        <v>0</v>
      </c>
      <c r="AH26" s="12">
        <f t="shared" si="8"/>
        <v>0</v>
      </c>
      <c r="AI26" s="12">
        <f t="shared" si="9"/>
        <v>0</v>
      </c>
      <c r="AJ26" s="12">
        <f t="shared" si="10"/>
        <v>0</v>
      </c>
      <c r="AK26" s="13">
        <v>55</v>
      </c>
      <c r="AL26" s="52">
        <v>52.732999999999997</v>
      </c>
      <c r="AM26" s="61">
        <v>47</v>
      </c>
      <c r="AN26" s="16">
        <f t="shared" si="26"/>
        <v>4.2261943120220238</v>
      </c>
      <c r="AO26" s="48">
        <f t="shared" si="27"/>
        <v>101.42866348852857</v>
      </c>
      <c r="AP26" s="48">
        <f t="shared" si="28"/>
        <v>8.8262910798122061</v>
      </c>
      <c r="AQ26" s="57">
        <v>20</v>
      </c>
      <c r="AR26" s="14">
        <v>15.2</v>
      </c>
      <c r="AS26" s="12">
        <f t="shared" si="29"/>
        <v>1.7983805583072441</v>
      </c>
      <c r="AT26" s="12">
        <f t="shared" si="30"/>
        <v>43.16113339937386</v>
      </c>
      <c r="AU26" s="12">
        <f t="shared" si="31"/>
        <v>3.755868544600939</v>
      </c>
      <c r="AV26" s="13">
        <v>4</v>
      </c>
      <c r="AW26" s="14">
        <v>2.383</v>
      </c>
      <c r="AX26" s="12">
        <f t="shared" si="11"/>
        <v>0.35967611166144886</v>
      </c>
      <c r="AY26" s="12">
        <f t="shared" si="12"/>
        <v>8.6322266798747727</v>
      </c>
      <c r="AZ26" s="12">
        <f t="shared" si="13"/>
        <v>0.75117370892018775</v>
      </c>
      <c r="BA26" s="13">
        <v>2</v>
      </c>
      <c r="BB26" s="14">
        <v>1.633</v>
      </c>
      <c r="BC26" s="12">
        <f t="shared" si="14"/>
        <v>0.17983805583072443</v>
      </c>
      <c r="BD26" s="12">
        <f t="shared" si="15"/>
        <v>4.3161133399373863</v>
      </c>
      <c r="BE26" s="12">
        <f t="shared" si="16"/>
        <v>0.37558685446009388</v>
      </c>
      <c r="BF26" s="13">
        <v>2</v>
      </c>
      <c r="BG26" s="52">
        <v>1.367</v>
      </c>
      <c r="BH26" s="48">
        <f t="shared" si="17"/>
        <v>0.17983805583072443</v>
      </c>
      <c r="BI26" s="48">
        <f t="shared" si="18"/>
        <v>4.3161133399373863</v>
      </c>
      <c r="BJ26" s="48">
        <f t="shared" si="19"/>
        <v>0.37558685446009388</v>
      </c>
      <c r="BK26" s="9" t="str">
        <f>"25"</f>
        <v>25</v>
      </c>
      <c r="BL26" s="9" t="str">
        <f>"4040 10080 124 1-1"</f>
        <v>4040 10080 124 1-1</v>
      </c>
      <c r="BM26" s="9" t="str">
        <f>"1169 Z"</f>
        <v>1169 Z</v>
      </c>
      <c r="BN26" s="10">
        <f t="shared" si="32"/>
        <v>798.03137274883966</v>
      </c>
      <c r="BO26" s="11">
        <f t="shared" si="33"/>
        <v>92.675972222222242</v>
      </c>
    </row>
    <row r="27" spans="1:67">
      <c r="A27" s="15" t="s">
        <v>217</v>
      </c>
      <c r="B27" s="9" t="str">
        <f>"26"</f>
        <v>26</v>
      </c>
      <c r="C27" s="9" t="str">
        <f>"6060 173120 108"</f>
        <v>6060 173120 108</v>
      </c>
      <c r="D27" s="9" t="str">
        <f>"1170Z"</f>
        <v>1170Z</v>
      </c>
      <c r="E27" s="10">
        <f t="shared" si="20"/>
        <v>499.41780576234333</v>
      </c>
      <c r="F27" s="11">
        <f t="shared" si="21"/>
        <v>75.504583333333343</v>
      </c>
      <c r="G27" s="11">
        <v>543.63300000000004</v>
      </c>
      <c r="H27" s="11">
        <v>176.36699999999999</v>
      </c>
      <c r="I27" s="11">
        <v>271.5</v>
      </c>
      <c r="J27" s="65">
        <f t="shared" si="0"/>
        <v>9.060550000000001</v>
      </c>
      <c r="K27" s="11">
        <v>57.7</v>
      </c>
      <c r="L27" s="11">
        <v>1880427.7</v>
      </c>
      <c r="M27" s="11">
        <v>32618</v>
      </c>
      <c r="N27" s="11">
        <f t="shared" si="22"/>
        <v>57.65</v>
      </c>
      <c r="O27" s="13">
        <v>8</v>
      </c>
      <c r="P27" s="14">
        <v>3.1</v>
      </c>
      <c r="Q27" s="13">
        <v>59</v>
      </c>
      <c r="R27" s="67">
        <f t="shared" si="1"/>
        <v>4.916666666666667</v>
      </c>
      <c r="S27" s="14">
        <v>119.35</v>
      </c>
      <c r="T27" s="12">
        <f t="shared" si="23"/>
        <v>6.5117459756858027</v>
      </c>
      <c r="U27" s="12">
        <f t="shared" si="24"/>
        <v>156.28190341645924</v>
      </c>
      <c r="V27" s="12">
        <f t="shared" si="25"/>
        <v>21.731123388581953</v>
      </c>
      <c r="W27" s="70">
        <f t="shared" si="2"/>
        <v>2.0228813559322032</v>
      </c>
      <c r="X27" s="13">
        <v>68</v>
      </c>
      <c r="Y27" s="67">
        <f t="shared" si="3"/>
        <v>5.666666666666667</v>
      </c>
      <c r="Z27" s="14">
        <v>53.917000000000002</v>
      </c>
      <c r="AA27" s="12">
        <f t="shared" si="4"/>
        <v>7.5050631584175349</v>
      </c>
      <c r="AB27" s="12">
        <f t="shared" si="5"/>
        <v>180.12151580202084</v>
      </c>
      <c r="AC27" s="12">
        <f t="shared" si="6"/>
        <v>25.046040515653775</v>
      </c>
      <c r="AD27" s="67">
        <f t="shared" si="7"/>
        <v>2.0871700429711479</v>
      </c>
      <c r="AE27" s="13">
        <v>0</v>
      </c>
      <c r="AF27" s="14">
        <v>0</v>
      </c>
      <c r="AG27" s="10">
        <v>0</v>
      </c>
      <c r="AH27" s="12">
        <f t="shared" si="8"/>
        <v>0</v>
      </c>
      <c r="AI27" s="12">
        <f t="shared" si="9"/>
        <v>0</v>
      </c>
      <c r="AJ27" s="12">
        <f t="shared" si="10"/>
        <v>0</v>
      </c>
      <c r="AK27" s="13">
        <v>135</v>
      </c>
      <c r="AL27" s="52">
        <v>176.36699999999999</v>
      </c>
      <c r="AM27" s="61">
        <v>127</v>
      </c>
      <c r="AN27" s="16">
        <f t="shared" si="26"/>
        <v>14.016809134103337</v>
      </c>
      <c r="AO27" s="48">
        <f t="shared" si="27"/>
        <v>336.40341921848011</v>
      </c>
      <c r="AP27" s="48">
        <f t="shared" si="28"/>
        <v>46.777163904235728</v>
      </c>
      <c r="AQ27" s="57">
        <v>32</v>
      </c>
      <c r="AR27" s="14">
        <v>21.966999999999999</v>
      </c>
      <c r="AS27" s="12">
        <f t="shared" si="29"/>
        <v>3.5317944274906048</v>
      </c>
      <c r="AT27" s="12">
        <f t="shared" si="30"/>
        <v>84.763066259774504</v>
      </c>
      <c r="AU27" s="12">
        <f t="shared" si="31"/>
        <v>11.786372007366483</v>
      </c>
      <c r="AV27" s="13">
        <v>32</v>
      </c>
      <c r="AW27" s="14">
        <v>26.283000000000001</v>
      </c>
      <c r="AX27" s="12">
        <f t="shared" si="11"/>
        <v>3.5317944274906048</v>
      </c>
      <c r="AY27" s="12">
        <f t="shared" si="12"/>
        <v>84.763066259774504</v>
      </c>
      <c r="AZ27" s="12">
        <f t="shared" si="13"/>
        <v>11.786372007366483</v>
      </c>
      <c r="BA27" s="13">
        <v>1</v>
      </c>
      <c r="BB27" s="14">
        <v>1.6830000000000001</v>
      </c>
      <c r="BC27" s="12">
        <f t="shared" si="14"/>
        <v>0.1103685758590814</v>
      </c>
      <c r="BD27" s="12">
        <f t="shared" si="15"/>
        <v>2.6488458206179533</v>
      </c>
      <c r="BE27" s="12">
        <f t="shared" si="16"/>
        <v>0.36832412523020258</v>
      </c>
      <c r="BF27" s="13">
        <v>3</v>
      </c>
      <c r="BG27" s="52">
        <v>3.9830000000000001</v>
      </c>
      <c r="BH27" s="48">
        <f t="shared" si="17"/>
        <v>0.33110572757724416</v>
      </c>
      <c r="BI27" s="48">
        <f t="shared" si="18"/>
        <v>7.9465374618538602</v>
      </c>
      <c r="BJ27" s="48">
        <f t="shared" si="19"/>
        <v>1.1049723756906078</v>
      </c>
      <c r="BK27" s="9" t="str">
        <f>"26"</f>
        <v>26</v>
      </c>
      <c r="BL27" s="9" t="str">
        <f>"6060 173120 108"</f>
        <v>6060 173120 108</v>
      </c>
      <c r="BM27" s="9" t="str">
        <f>"1170Z"</f>
        <v>1170Z</v>
      </c>
      <c r="BN27" s="10">
        <f t="shared" si="32"/>
        <v>499.41780576234333</v>
      </c>
      <c r="BO27" s="11">
        <f t="shared" si="33"/>
        <v>75.504583333333343</v>
      </c>
    </row>
    <row r="28" spans="1:67">
      <c r="A28" s="15" t="s">
        <v>217</v>
      </c>
      <c r="B28" s="9" t="str">
        <f>"27"</f>
        <v>27</v>
      </c>
      <c r="C28" s="9" t="str">
        <f>"4040 10080 124 1-1"</f>
        <v>4040 10080 124 1-1</v>
      </c>
      <c r="D28" s="9" t="str">
        <f>"1016 Z"</f>
        <v>1016 Z</v>
      </c>
      <c r="E28" s="10">
        <f t="shared" si="20"/>
        <v>768.80644865530269</v>
      </c>
      <c r="F28" s="11">
        <f t="shared" si="21"/>
        <v>92.405138888888885</v>
      </c>
      <c r="G28" s="11">
        <v>665.31700000000001</v>
      </c>
      <c r="H28" s="11">
        <v>54.683</v>
      </c>
      <c r="I28" s="11">
        <v>511.5</v>
      </c>
      <c r="J28" s="65">
        <f t="shared" si="0"/>
        <v>11.088616666666667</v>
      </c>
      <c r="K28" s="11">
        <v>163.5</v>
      </c>
      <c r="L28" s="11">
        <v>4178321.73</v>
      </c>
      <c r="M28" s="11">
        <v>39919</v>
      </c>
      <c r="N28" s="11">
        <f t="shared" si="22"/>
        <v>104.67</v>
      </c>
      <c r="O28" s="13">
        <v>5</v>
      </c>
      <c r="P28" s="14">
        <v>1.633</v>
      </c>
      <c r="Q28" s="13">
        <v>23</v>
      </c>
      <c r="R28" s="67">
        <f t="shared" si="1"/>
        <v>1.9166666666666667</v>
      </c>
      <c r="S28" s="14">
        <v>31.266999999999999</v>
      </c>
      <c r="T28" s="12">
        <f t="shared" si="23"/>
        <v>2.0741992163134264</v>
      </c>
      <c r="U28" s="12">
        <f t="shared" si="24"/>
        <v>49.780781191522237</v>
      </c>
      <c r="V28" s="12">
        <f t="shared" si="25"/>
        <v>4.4965786901270768</v>
      </c>
      <c r="W28" s="70">
        <f t="shared" si="2"/>
        <v>1.3594347826086957</v>
      </c>
      <c r="X28" s="13">
        <v>33</v>
      </c>
      <c r="Y28" s="67">
        <f t="shared" si="3"/>
        <v>2.75</v>
      </c>
      <c r="Z28" s="14">
        <v>21.783000000000001</v>
      </c>
      <c r="AA28" s="12">
        <f t="shared" si="4"/>
        <v>2.9760249625366555</v>
      </c>
      <c r="AB28" s="12">
        <f t="shared" si="5"/>
        <v>71.424599100879732</v>
      </c>
      <c r="AC28" s="12">
        <f t="shared" si="6"/>
        <v>6.4516129032258061</v>
      </c>
      <c r="AD28" s="67">
        <f t="shared" si="7"/>
        <v>0.5376344086021505</v>
      </c>
      <c r="AE28" s="13">
        <v>0</v>
      </c>
      <c r="AF28" s="14">
        <v>0</v>
      </c>
      <c r="AG28" s="10">
        <v>0</v>
      </c>
      <c r="AH28" s="12">
        <f t="shared" si="8"/>
        <v>0</v>
      </c>
      <c r="AI28" s="12">
        <f t="shared" si="9"/>
        <v>0</v>
      </c>
      <c r="AJ28" s="12">
        <f t="shared" si="10"/>
        <v>0</v>
      </c>
      <c r="AK28" s="13">
        <v>61</v>
      </c>
      <c r="AL28" s="52">
        <v>54.683</v>
      </c>
      <c r="AM28" s="61">
        <v>56</v>
      </c>
      <c r="AN28" s="16">
        <f t="shared" si="26"/>
        <v>5.0502241788500823</v>
      </c>
      <c r="AO28" s="48">
        <f t="shared" si="27"/>
        <v>121.20538029240197</v>
      </c>
      <c r="AP28" s="48">
        <f t="shared" si="28"/>
        <v>10.948191593352883</v>
      </c>
      <c r="AQ28" s="57">
        <v>19</v>
      </c>
      <c r="AR28" s="14">
        <v>13.317</v>
      </c>
      <c r="AS28" s="12">
        <f t="shared" si="29"/>
        <v>1.7134689178241349</v>
      </c>
      <c r="AT28" s="12">
        <f t="shared" si="30"/>
        <v>41.12325402777924</v>
      </c>
      <c r="AU28" s="12">
        <f t="shared" si="31"/>
        <v>3.7145650048875853</v>
      </c>
      <c r="AV28" s="13">
        <v>12</v>
      </c>
      <c r="AW28" s="14">
        <v>6.5670000000000002</v>
      </c>
      <c r="AX28" s="12">
        <f t="shared" si="11"/>
        <v>1.0821908954678747</v>
      </c>
      <c r="AY28" s="12">
        <f t="shared" si="12"/>
        <v>25.972581491228993</v>
      </c>
      <c r="AZ28" s="12">
        <f t="shared" si="13"/>
        <v>2.3460410557184752</v>
      </c>
      <c r="BA28" s="13">
        <v>1</v>
      </c>
      <c r="BB28" s="14">
        <v>0.7</v>
      </c>
      <c r="BC28" s="12">
        <f t="shared" si="14"/>
        <v>9.0182574622322889E-2</v>
      </c>
      <c r="BD28" s="12">
        <f t="shared" si="15"/>
        <v>2.1643817909357495</v>
      </c>
      <c r="BE28" s="12">
        <f t="shared" si="16"/>
        <v>0.19550342130987292</v>
      </c>
      <c r="BF28" s="13">
        <v>1</v>
      </c>
      <c r="BG28" s="52">
        <v>1.2</v>
      </c>
      <c r="BH28" s="48">
        <f t="shared" si="17"/>
        <v>9.0182574622322889E-2</v>
      </c>
      <c r="BI28" s="48">
        <f t="shared" si="18"/>
        <v>2.1643817909357495</v>
      </c>
      <c r="BJ28" s="48">
        <f t="shared" si="19"/>
        <v>0.19550342130987292</v>
      </c>
      <c r="BK28" s="9" t="str">
        <f>"27"</f>
        <v>27</v>
      </c>
      <c r="BL28" s="9" t="str">
        <f>"4040 10080 124 1-1"</f>
        <v>4040 10080 124 1-1</v>
      </c>
      <c r="BM28" s="9" t="str">
        <f>"1016 Z"</f>
        <v>1016 Z</v>
      </c>
      <c r="BN28" s="10">
        <f t="shared" si="32"/>
        <v>768.80644865530269</v>
      </c>
      <c r="BO28" s="11">
        <f t="shared" si="33"/>
        <v>92.405138888888885</v>
      </c>
    </row>
    <row r="29" spans="1:67">
      <c r="A29" s="15" t="s">
        <v>217</v>
      </c>
      <c r="B29" s="9" t="str">
        <f>"28"</f>
        <v>28</v>
      </c>
      <c r="C29" s="9" t="str">
        <f>"4040 11082 124 1-1"</f>
        <v>4040 11082 124 1-1</v>
      </c>
      <c r="D29" s="9" t="str">
        <f>"1040"</f>
        <v>1040</v>
      </c>
      <c r="E29" s="10">
        <f t="shared" si="20"/>
        <v>722.39677778517637</v>
      </c>
      <c r="F29" s="11">
        <f t="shared" si="21"/>
        <v>89.689861111111114</v>
      </c>
      <c r="G29" s="11">
        <v>645.76700000000005</v>
      </c>
      <c r="H29" s="11">
        <v>74.233000000000004</v>
      </c>
      <c r="I29" s="11">
        <v>466.5</v>
      </c>
      <c r="J29" s="65">
        <f t="shared" si="0"/>
        <v>10.762783333333335</v>
      </c>
      <c r="K29" s="11">
        <v>146.30000000000001</v>
      </c>
      <c r="L29" s="11">
        <v>4066392.7</v>
      </c>
      <c r="M29" s="11">
        <v>38746</v>
      </c>
      <c r="N29" s="11">
        <f t="shared" si="22"/>
        <v>104.95</v>
      </c>
      <c r="O29" s="13">
        <v>8</v>
      </c>
      <c r="P29" s="14">
        <v>6.3</v>
      </c>
      <c r="Q29" s="13">
        <v>22</v>
      </c>
      <c r="R29" s="67">
        <f t="shared" si="1"/>
        <v>1.8333333333333333</v>
      </c>
      <c r="S29" s="14">
        <v>27.067</v>
      </c>
      <c r="T29" s="12">
        <f t="shared" si="23"/>
        <v>2.0440809146332963</v>
      </c>
      <c r="U29" s="12">
        <f t="shared" si="24"/>
        <v>49.057941951199112</v>
      </c>
      <c r="V29" s="12">
        <f t="shared" si="25"/>
        <v>4.715969989281886</v>
      </c>
      <c r="W29" s="70">
        <f t="shared" si="2"/>
        <v>1.2303181818181819</v>
      </c>
      <c r="X29" s="13">
        <v>47</v>
      </c>
      <c r="Y29" s="67">
        <f t="shared" si="3"/>
        <v>3.9166666666666665</v>
      </c>
      <c r="Z29" s="14">
        <v>29.15</v>
      </c>
      <c r="AA29" s="12">
        <f t="shared" si="4"/>
        <v>4.366900135807497</v>
      </c>
      <c r="AB29" s="12">
        <f t="shared" si="5"/>
        <v>104.80560325937992</v>
      </c>
      <c r="AC29" s="12">
        <f t="shared" si="6"/>
        <v>10.07502679528403</v>
      </c>
      <c r="AD29" s="67">
        <f t="shared" si="7"/>
        <v>0.8395855662736692</v>
      </c>
      <c r="AE29" s="13">
        <v>12</v>
      </c>
      <c r="AF29" s="14">
        <v>11.715999999999999</v>
      </c>
      <c r="AG29" s="10">
        <v>0</v>
      </c>
      <c r="AH29" s="12">
        <f t="shared" si="8"/>
        <v>0</v>
      </c>
      <c r="AI29" s="12">
        <f t="shared" si="9"/>
        <v>0</v>
      </c>
      <c r="AJ29" s="12">
        <f t="shared" si="10"/>
        <v>0</v>
      </c>
      <c r="AK29" s="13">
        <v>89</v>
      </c>
      <c r="AL29" s="52">
        <v>74.233000000000004</v>
      </c>
      <c r="AM29" s="61">
        <v>69</v>
      </c>
      <c r="AN29" s="16">
        <f t="shared" si="26"/>
        <v>6.4109810504407934</v>
      </c>
      <c r="AO29" s="48">
        <f t="shared" si="27"/>
        <v>153.86354521057905</v>
      </c>
      <c r="AP29" s="48">
        <f t="shared" si="28"/>
        <v>14.790996784565916</v>
      </c>
      <c r="AQ29" s="57">
        <v>18</v>
      </c>
      <c r="AR29" s="14">
        <v>10.617000000000001</v>
      </c>
      <c r="AS29" s="12">
        <f t="shared" si="29"/>
        <v>1.6724298392454242</v>
      </c>
      <c r="AT29" s="12">
        <f t="shared" si="30"/>
        <v>40.138316141890186</v>
      </c>
      <c r="AU29" s="12">
        <f t="shared" si="31"/>
        <v>3.8585209003215435</v>
      </c>
      <c r="AV29" s="13">
        <v>25</v>
      </c>
      <c r="AW29" s="14">
        <v>14.85</v>
      </c>
      <c r="AX29" s="12">
        <f t="shared" si="11"/>
        <v>2.3228192211742003</v>
      </c>
      <c r="AY29" s="12">
        <f t="shared" si="12"/>
        <v>55.74766130818081</v>
      </c>
      <c r="AZ29" s="12">
        <f t="shared" si="13"/>
        <v>5.359056806002144</v>
      </c>
      <c r="BA29" s="13">
        <v>0</v>
      </c>
      <c r="BB29" s="14">
        <v>0.15</v>
      </c>
      <c r="BC29" s="12">
        <f t="shared" si="14"/>
        <v>0</v>
      </c>
      <c r="BD29" s="12">
        <f t="shared" si="15"/>
        <v>0</v>
      </c>
      <c r="BE29" s="12">
        <f t="shared" si="16"/>
        <v>0</v>
      </c>
      <c r="BF29" s="13">
        <v>4</v>
      </c>
      <c r="BG29" s="52">
        <v>3.5329999999999999</v>
      </c>
      <c r="BH29" s="48">
        <f t="shared" si="17"/>
        <v>0.37165107538787207</v>
      </c>
      <c r="BI29" s="48">
        <f t="shared" si="18"/>
        <v>8.9196258093089291</v>
      </c>
      <c r="BJ29" s="48">
        <f t="shared" si="19"/>
        <v>0.857449088960343</v>
      </c>
      <c r="BK29" s="9" t="str">
        <f>"28"</f>
        <v>28</v>
      </c>
      <c r="BL29" s="9" t="str">
        <f>"4040 11082 124 1-1"</f>
        <v>4040 11082 124 1-1</v>
      </c>
      <c r="BM29" s="9" t="str">
        <f>"1040"</f>
        <v>1040</v>
      </c>
      <c r="BN29" s="10">
        <f t="shared" si="32"/>
        <v>722.39677778517637</v>
      </c>
      <c r="BO29" s="11">
        <f t="shared" si="33"/>
        <v>89.689861111111114</v>
      </c>
    </row>
    <row r="30" spans="1:67">
      <c r="A30" s="15" t="s">
        <v>217</v>
      </c>
      <c r="B30" s="9" t="str">
        <f>"29"</f>
        <v>29</v>
      </c>
      <c r="C30" s="9" t="str">
        <f>"4040 10080 124 1-1"</f>
        <v>4040 10080 124 1-1</v>
      </c>
      <c r="D30" s="9" t="str">
        <f>"1196 Z"</f>
        <v>1196 Z</v>
      </c>
      <c r="E30" s="10">
        <f t="shared" si="20"/>
        <v>688.65880086684319</v>
      </c>
      <c r="F30" s="11">
        <f t="shared" si="21"/>
        <v>86.520833333333343</v>
      </c>
      <c r="G30" s="11">
        <v>622.95000000000005</v>
      </c>
      <c r="H30" s="11">
        <v>97.05</v>
      </c>
      <c r="I30" s="11">
        <v>429</v>
      </c>
      <c r="J30" s="65">
        <f t="shared" si="0"/>
        <v>10.3825</v>
      </c>
      <c r="K30" s="11">
        <v>138</v>
      </c>
      <c r="L30" s="11">
        <v>3633418.17</v>
      </c>
      <c r="M30" s="11">
        <v>37377</v>
      </c>
      <c r="N30" s="11">
        <f t="shared" si="22"/>
        <v>97.21</v>
      </c>
      <c r="O30" s="13">
        <v>9</v>
      </c>
      <c r="P30" s="14">
        <v>5.35</v>
      </c>
      <c r="Q30" s="13">
        <v>35</v>
      </c>
      <c r="R30" s="67">
        <f t="shared" si="1"/>
        <v>2.9166666666666665</v>
      </c>
      <c r="S30" s="14">
        <v>46.3</v>
      </c>
      <c r="T30" s="12">
        <f t="shared" si="23"/>
        <v>3.3710570671803515</v>
      </c>
      <c r="U30" s="12">
        <f t="shared" si="24"/>
        <v>80.905369612328428</v>
      </c>
      <c r="V30" s="12">
        <f t="shared" si="25"/>
        <v>8.1585081585081589</v>
      </c>
      <c r="W30" s="70">
        <f t="shared" si="2"/>
        <v>1.3228571428571427</v>
      </c>
      <c r="X30" s="13">
        <v>42</v>
      </c>
      <c r="Y30" s="67">
        <f t="shared" si="3"/>
        <v>3.5</v>
      </c>
      <c r="Z30" s="14">
        <v>45.4</v>
      </c>
      <c r="AA30" s="12">
        <f t="shared" si="4"/>
        <v>4.0452684806164214</v>
      </c>
      <c r="AB30" s="12">
        <f t="shared" si="5"/>
        <v>97.086443534794114</v>
      </c>
      <c r="AC30" s="12">
        <f t="shared" si="6"/>
        <v>9.79020979020979</v>
      </c>
      <c r="AD30" s="67">
        <f t="shared" si="7"/>
        <v>0.81585081585081587</v>
      </c>
      <c r="AE30" s="13">
        <v>0</v>
      </c>
      <c r="AF30" s="14">
        <v>0</v>
      </c>
      <c r="AG30" s="10">
        <v>0</v>
      </c>
      <c r="AH30" s="12">
        <f t="shared" si="8"/>
        <v>0</v>
      </c>
      <c r="AI30" s="12">
        <f t="shared" si="9"/>
        <v>0</v>
      </c>
      <c r="AJ30" s="12">
        <f t="shared" si="10"/>
        <v>0</v>
      </c>
      <c r="AK30" s="13">
        <v>86</v>
      </c>
      <c r="AL30" s="52">
        <v>97.05</v>
      </c>
      <c r="AM30" s="61">
        <v>77</v>
      </c>
      <c r="AN30" s="16">
        <f t="shared" si="26"/>
        <v>7.4163255477967729</v>
      </c>
      <c r="AO30" s="48">
        <f t="shared" si="27"/>
        <v>177.99181314712254</v>
      </c>
      <c r="AP30" s="48">
        <f t="shared" si="28"/>
        <v>17.948717948717949</v>
      </c>
      <c r="AQ30" s="57">
        <v>11</v>
      </c>
      <c r="AR30" s="14">
        <v>9.75</v>
      </c>
      <c r="AS30" s="12">
        <f t="shared" si="29"/>
        <v>1.0594750782566817</v>
      </c>
      <c r="AT30" s="12">
        <f t="shared" si="30"/>
        <v>25.427401878160364</v>
      </c>
      <c r="AU30" s="12">
        <f t="shared" si="31"/>
        <v>2.5641025641025643</v>
      </c>
      <c r="AV30" s="13">
        <v>4</v>
      </c>
      <c r="AW30" s="14">
        <v>10.967000000000001</v>
      </c>
      <c r="AX30" s="12">
        <f t="shared" si="11"/>
        <v>0.38526366482061158</v>
      </c>
      <c r="AY30" s="12">
        <f t="shared" si="12"/>
        <v>9.246327955694678</v>
      </c>
      <c r="AZ30" s="12">
        <f t="shared" si="13"/>
        <v>0.93240093240093236</v>
      </c>
      <c r="BA30" s="13">
        <v>14</v>
      </c>
      <c r="BB30" s="14">
        <v>10.4</v>
      </c>
      <c r="BC30" s="12">
        <f t="shared" si="14"/>
        <v>1.3484228268721405</v>
      </c>
      <c r="BD30" s="12">
        <f t="shared" si="15"/>
        <v>32.362147844931371</v>
      </c>
      <c r="BE30" s="12">
        <f t="shared" si="16"/>
        <v>3.2634032634032635</v>
      </c>
      <c r="BF30" s="13">
        <v>13</v>
      </c>
      <c r="BG30" s="52">
        <v>14.282999999999999</v>
      </c>
      <c r="BH30" s="48">
        <f t="shared" si="17"/>
        <v>1.2521069106669875</v>
      </c>
      <c r="BI30" s="48">
        <f t="shared" si="18"/>
        <v>30.050565856007704</v>
      </c>
      <c r="BJ30" s="48">
        <f t="shared" si="19"/>
        <v>3.0303030303030303</v>
      </c>
      <c r="BK30" s="9" t="str">
        <f>"29"</f>
        <v>29</v>
      </c>
      <c r="BL30" s="9" t="str">
        <f>"4040 10080 124 1-1"</f>
        <v>4040 10080 124 1-1</v>
      </c>
      <c r="BM30" s="9" t="str">
        <f>"1196 Z"</f>
        <v>1196 Z</v>
      </c>
      <c r="BN30" s="10">
        <f t="shared" si="32"/>
        <v>688.65880086684319</v>
      </c>
      <c r="BO30" s="11">
        <f t="shared" si="33"/>
        <v>86.520833333333343</v>
      </c>
    </row>
    <row r="31" spans="1:67">
      <c r="A31" s="15" t="s">
        <v>217</v>
      </c>
      <c r="B31" s="9" t="str">
        <f>"30"</f>
        <v>30</v>
      </c>
      <c r="C31" s="9" t="str">
        <f>"6060 18587 126 4-1"</f>
        <v>6060 18587 126 4-1</v>
      </c>
      <c r="D31" s="9" t="str">
        <f>"1009 Z"</f>
        <v>1009 Z</v>
      </c>
      <c r="E31" s="10">
        <f t="shared" si="20"/>
        <v>597.88617630568172</v>
      </c>
      <c r="F31" s="11">
        <f t="shared" si="21"/>
        <v>79.516249999999999</v>
      </c>
      <c r="G31" s="11">
        <v>572.51700000000005</v>
      </c>
      <c r="H31" s="11">
        <v>147.483</v>
      </c>
      <c r="I31" s="11">
        <v>342.3</v>
      </c>
      <c r="J31" s="65">
        <f t="shared" si="0"/>
        <v>9.5419500000000017</v>
      </c>
      <c r="K31" s="11">
        <v>99.9</v>
      </c>
      <c r="L31" s="11">
        <v>3285329.64</v>
      </c>
      <c r="M31" s="11">
        <v>34351</v>
      </c>
      <c r="N31" s="11">
        <f t="shared" si="22"/>
        <v>95.64</v>
      </c>
      <c r="O31" s="13">
        <v>5</v>
      </c>
      <c r="P31" s="14">
        <v>3.5329999999999999</v>
      </c>
      <c r="Q31" s="13">
        <v>57</v>
      </c>
      <c r="R31" s="67">
        <f t="shared" si="1"/>
        <v>4.75</v>
      </c>
      <c r="S31" s="14">
        <v>74.132999999999996</v>
      </c>
      <c r="T31" s="12">
        <f t="shared" si="23"/>
        <v>5.9736217439831476</v>
      </c>
      <c r="U31" s="12">
        <f t="shared" si="24"/>
        <v>143.36692185559554</v>
      </c>
      <c r="V31" s="12">
        <f t="shared" si="25"/>
        <v>16.652059596844872</v>
      </c>
      <c r="W31" s="70">
        <f t="shared" si="2"/>
        <v>1.3005789473684211</v>
      </c>
      <c r="X31" s="13">
        <v>113</v>
      </c>
      <c r="Y31" s="67">
        <f t="shared" si="3"/>
        <v>9.4166666666666661</v>
      </c>
      <c r="Z31" s="14">
        <v>59.883000000000003</v>
      </c>
      <c r="AA31" s="12">
        <f t="shared" si="4"/>
        <v>11.842443106492906</v>
      </c>
      <c r="AB31" s="12">
        <f t="shared" si="5"/>
        <v>284.21863455582974</v>
      </c>
      <c r="AC31" s="12">
        <f t="shared" si="6"/>
        <v>33.01197779725387</v>
      </c>
      <c r="AD31" s="67">
        <f t="shared" si="7"/>
        <v>2.750998149771156</v>
      </c>
      <c r="AE31" s="13">
        <v>8</v>
      </c>
      <c r="AF31" s="14">
        <v>9.9329999999999998</v>
      </c>
      <c r="AG31" s="10">
        <v>0</v>
      </c>
      <c r="AH31" s="12">
        <f t="shared" si="8"/>
        <v>0</v>
      </c>
      <c r="AI31" s="12">
        <f t="shared" si="9"/>
        <v>0</v>
      </c>
      <c r="AJ31" s="12">
        <f t="shared" si="10"/>
        <v>0</v>
      </c>
      <c r="AK31" s="13">
        <v>183</v>
      </c>
      <c r="AL31" s="52">
        <v>147.482</v>
      </c>
      <c r="AM31" s="61">
        <v>170</v>
      </c>
      <c r="AN31" s="16">
        <f t="shared" si="26"/>
        <v>17.816064850476053</v>
      </c>
      <c r="AO31" s="48">
        <f t="shared" si="27"/>
        <v>427.58555641142527</v>
      </c>
      <c r="AP31" s="48">
        <f t="shared" si="28"/>
        <v>49.664037394098742</v>
      </c>
      <c r="AQ31" s="57">
        <v>45</v>
      </c>
      <c r="AR31" s="14">
        <v>25.1</v>
      </c>
      <c r="AS31" s="12">
        <f t="shared" si="29"/>
        <v>4.7160171663024846</v>
      </c>
      <c r="AT31" s="12">
        <f t="shared" si="30"/>
        <v>113.18441199125964</v>
      </c>
      <c r="AU31" s="12">
        <f t="shared" si="31"/>
        <v>13.146362839614373</v>
      </c>
      <c r="AV31" s="13">
        <v>66</v>
      </c>
      <c r="AW31" s="14">
        <v>34.183</v>
      </c>
      <c r="AX31" s="12">
        <f t="shared" si="11"/>
        <v>6.9168251772436449</v>
      </c>
      <c r="AY31" s="12">
        <f t="shared" si="12"/>
        <v>166.00380425384748</v>
      </c>
      <c r="AZ31" s="12">
        <f t="shared" si="13"/>
        <v>19.281332164767747</v>
      </c>
      <c r="BA31" s="13">
        <v>2</v>
      </c>
      <c r="BB31" s="14">
        <v>0.6</v>
      </c>
      <c r="BC31" s="12">
        <f t="shared" si="14"/>
        <v>0.2096007629467771</v>
      </c>
      <c r="BD31" s="12">
        <f t="shared" si="15"/>
        <v>5.0304183107226503</v>
      </c>
      <c r="BE31" s="12">
        <f t="shared" si="16"/>
        <v>0.58428279287174989</v>
      </c>
      <c r="BF31" s="13">
        <v>0</v>
      </c>
      <c r="BG31" s="52">
        <v>0</v>
      </c>
      <c r="BH31" s="48">
        <f t="shared" si="17"/>
        <v>0</v>
      </c>
      <c r="BI31" s="48">
        <f t="shared" si="18"/>
        <v>0</v>
      </c>
      <c r="BJ31" s="48">
        <f t="shared" si="19"/>
        <v>0</v>
      </c>
      <c r="BK31" s="9" t="str">
        <f>"30"</f>
        <v>30</v>
      </c>
      <c r="BL31" s="9" t="str">
        <f>"6060 18587 126 4-1"</f>
        <v>6060 18587 126 4-1</v>
      </c>
      <c r="BM31" s="9" t="str">
        <f>"1009 Z"</f>
        <v>1009 Z</v>
      </c>
      <c r="BN31" s="10">
        <f t="shared" si="32"/>
        <v>597.88617630568172</v>
      </c>
      <c r="BO31" s="11">
        <f t="shared" si="33"/>
        <v>79.516249999999999</v>
      </c>
    </row>
    <row r="32" spans="1:67">
      <c r="A32" s="15" t="s">
        <v>217</v>
      </c>
      <c r="B32" s="9" t="str">
        <f>"31"</f>
        <v>31</v>
      </c>
      <c r="C32" s="9" t="str">
        <f>"6060 135115 102 1-1"</f>
        <v>6060 135115 102 1-1</v>
      </c>
      <c r="D32" s="9" t="str">
        <f>"1060 Z"</f>
        <v>1060 Z</v>
      </c>
      <c r="E32" s="10">
        <f t="shared" si="20"/>
        <v>631.24445758202774</v>
      </c>
      <c r="F32" s="11">
        <f t="shared" si="21"/>
        <v>93.972222222222229</v>
      </c>
      <c r="G32" s="11">
        <v>676.6</v>
      </c>
      <c r="H32" s="11">
        <v>43.4</v>
      </c>
      <c r="I32" s="11">
        <v>427.1</v>
      </c>
      <c r="J32" s="65">
        <f t="shared" si="0"/>
        <v>11.276666666666667</v>
      </c>
      <c r="K32" s="11">
        <v>95.6</v>
      </c>
      <c r="L32" s="11">
        <v>2494218.2400000002</v>
      </c>
      <c r="M32" s="11">
        <v>40596</v>
      </c>
      <c r="N32" s="11">
        <f t="shared" si="22"/>
        <v>61.440000000000005</v>
      </c>
      <c r="O32" s="13">
        <v>5</v>
      </c>
      <c r="P32" s="14">
        <v>3.9169999999999998</v>
      </c>
      <c r="Q32" s="13">
        <v>6</v>
      </c>
      <c r="R32" s="67">
        <f t="shared" si="1"/>
        <v>0.5</v>
      </c>
      <c r="S32" s="14">
        <v>7.0670000000000002</v>
      </c>
      <c r="T32" s="12">
        <f t="shared" si="23"/>
        <v>0.53207212533254511</v>
      </c>
      <c r="U32" s="12">
        <f t="shared" si="24"/>
        <v>12.769731007981081</v>
      </c>
      <c r="V32" s="12">
        <f t="shared" si="25"/>
        <v>1.4048232264106766</v>
      </c>
      <c r="W32" s="70">
        <f t="shared" si="2"/>
        <v>1.1778333333333333</v>
      </c>
      <c r="X32" s="13">
        <v>50</v>
      </c>
      <c r="Y32" s="67">
        <f t="shared" si="3"/>
        <v>4.166666666666667</v>
      </c>
      <c r="Z32" s="14">
        <v>27.5</v>
      </c>
      <c r="AA32" s="12">
        <f t="shared" si="4"/>
        <v>4.4339343777712088</v>
      </c>
      <c r="AB32" s="12">
        <f t="shared" si="5"/>
        <v>106.41442506650901</v>
      </c>
      <c r="AC32" s="12">
        <f t="shared" si="6"/>
        <v>11.706860220088972</v>
      </c>
      <c r="AD32" s="67">
        <f t="shared" si="7"/>
        <v>0.97557168500741431</v>
      </c>
      <c r="AE32" s="13">
        <v>5</v>
      </c>
      <c r="AF32" s="14">
        <v>4.9160000000000004</v>
      </c>
      <c r="AG32" s="10">
        <v>0</v>
      </c>
      <c r="AH32" s="12">
        <f t="shared" si="8"/>
        <v>0</v>
      </c>
      <c r="AI32" s="12">
        <f t="shared" si="9"/>
        <v>0</v>
      </c>
      <c r="AJ32" s="12">
        <f t="shared" si="10"/>
        <v>0</v>
      </c>
      <c r="AK32" s="13">
        <v>66</v>
      </c>
      <c r="AL32" s="52">
        <v>43.4</v>
      </c>
      <c r="AM32" s="61">
        <v>56</v>
      </c>
      <c r="AN32" s="16">
        <f t="shared" si="26"/>
        <v>4.9660065031037535</v>
      </c>
      <c r="AO32" s="48">
        <f t="shared" si="27"/>
        <v>119.18415607449009</v>
      </c>
      <c r="AP32" s="48">
        <f t="shared" si="28"/>
        <v>13.111683446499647</v>
      </c>
      <c r="AQ32" s="57">
        <v>10</v>
      </c>
      <c r="AR32" s="14">
        <v>6.2169999999999996</v>
      </c>
      <c r="AS32" s="12">
        <f t="shared" si="29"/>
        <v>0.88678687555424174</v>
      </c>
      <c r="AT32" s="12">
        <f t="shared" si="30"/>
        <v>21.282885013301801</v>
      </c>
      <c r="AU32" s="12">
        <f t="shared" si="31"/>
        <v>2.3413720440177941</v>
      </c>
      <c r="AV32" s="13">
        <v>29</v>
      </c>
      <c r="AW32" s="14">
        <v>13.083</v>
      </c>
      <c r="AX32" s="12">
        <f t="shared" si="11"/>
        <v>2.5716819391073011</v>
      </c>
      <c r="AY32" s="12">
        <f t="shared" si="12"/>
        <v>61.720366538575227</v>
      </c>
      <c r="AZ32" s="12">
        <f t="shared" si="13"/>
        <v>6.7899789276516032</v>
      </c>
      <c r="BA32" s="13">
        <v>11</v>
      </c>
      <c r="BB32" s="14">
        <v>5.55</v>
      </c>
      <c r="BC32" s="12">
        <f t="shared" si="14"/>
        <v>0.97546556310966592</v>
      </c>
      <c r="BD32" s="12">
        <f t="shared" si="15"/>
        <v>23.411173514631983</v>
      </c>
      <c r="BE32" s="12">
        <f t="shared" si="16"/>
        <v>2.5755092484195736</v>
      </c>
      <c r="BF32" s="13">
        <v>0</v>
      </c>
      <c r="BG32" s="52">
        <v>2.65</v>
      </c>
      <c r="BH32" s="48">
        <f t="shared" si="17"/>
        <v>0</v>
      </c>
      <c r="BI32" s="48">
        <f t="shared" si="18"/>
        <v>0</v>
      </c>
      <c r="BJ32" s="48">
        <f t="shared" si="19"/>
        <v>0</v>
      </c>
      <c r="BK32" s="9" t="str">
        <f>"31"</f>
        <v>31</v>
      </c>
      <c r="BL32" s="9" t="str">
        <f>"6060 135115 102 1-1"</f>
        <v>6060 135115 102 1-1</v>
      </c>
      <c r="BM32" s="9" t="str">
        <f>"1060 Z"</f>
        <v>1060 Z</v>
      </c>
      <c r="BN32" s="10">
        <f t="shared" si="32"/>
        <v>631.24445758202774</v>
      </c>
      <c r="BO32" s="11">
        <f t="shared" si="33"/>
        <v>93.972222222222229</v>
      </c>
    </row>
    <row r="33" spans="1:67">
      <c r="A33" s="15" t="s">
        <v>217</v>
      </c>
      <c r="B33" s="9" t="str">
        <f>"32"</f>
        <v>32</v>
      </c>
      <c r="C33" s="9" t="str">
        <f>"4040 14085 104 4-1"</f>
        <v>4040 14085 104 4-1</v>
      </c>
      <c r="D33" s="9" t="str">
        <f>"1080 Z"</f>
        <v>1080 Z</v>
      </c>
      <c r="E33" s="10">
        <f t="shared" si="20"/>
        <v>646.52751423149903</v>
      </c>
      <c r="F33" s="11">
        <f t="shared" si="21"/>
        <v>91.493055555555557</v>
      </c>
      <c r="G33" s="11">
        <v>658.75</v>
      </c>
      <c r="H33" s="11">
        <v>61.25</v>
      </c>
      <c r="I33" s="11">
        <v>425.9</v>
      </c>
      <c r="J33" s="65">
        <f t="shared" si="0"/>
        <v>10.979166666666666</v>
      </c>
      <c r="K33" s="11">
        <v>128</v>
      </c>
      <c r="L33" s="11">
        <v>2782560</v>
      </c>
      <c r="M33" s="11">
        <v>39525</v>
      </c>
      <c r="N33" s="11">
        <f t="shared" si="22"/>
        <v>70.400000000000006</v>
      </c>
      <c r="O33" s="13">
        <v>5</v>
      </c>
      <c r="P33" s="14">
        <v>5.0170000000000003</v>
      </c>
      <c r="Q33" s="13">
        <v>7</v>
      </c>
      <c r="R33" s="67">
        <f t="shared" si="1"/>
        <v>0.58333333333333337</v>
      </c>
      <c r="S33" s="14">
        <v>11.45</v>
      </c>
      <c r="T33" s="12">
        <f t="shared" si="23"/>
        <v>0.63757115749525617</v>
      </c>
      <c r="U33" s="12">
        <f t="shared" si="24"/>
        <v>15.301707779886147</v>
      </c>
      <c r="V33" s="12">
        <f t="shared" si="25"/>
        <v>1.6435783047663772</v>
      </c>
      <c r="W33" s="70">
        <f t="shared" si="2"/>
        <v>1.6357142857142857</v>
      </c>
      <c r="X33" s="13">
        <v>57</v>
      </c>
      <c r="Y33" s="67">
        <f t="shared" si="3"/>
        <v>4.75</v>
      </c>
      <c r="Z33" s="14">
        <v>39.183</v>
      </c>
      <c r="AA33" s="12">
        <f t="shared" si="4"/>
        <v>5.1916508538899429</v>
      </c>
      <c r="AB33" s="12">
        <f t="shared" si="5"/>
        <v>124.59962049335863</v>
      </c>
      <c r="AC33" s="12">
        <f t="shared" si="6"/>
        <v>13.383423338811928</v>
      </c>
      <c r="AD33" s="67">
        <f t="shared" si="7"/>
        <v>1.1152852782343274</v>
      </c>
      <c r="AE33" s="13">
        <v>4</v>
      </c>
      <c r="AF33" s="14">
        <v>5.6</v>
      </c>
      <c r="AG33" s="10">
        <v>1</v>
      </c>
      <c r="AH33" s="12">
        <f t="shared" si="8"/>
        <v>9.1081593927893736E-2</v>
      </c>
      <c r="AI33" s="12">
        <f t="shared" si="9"/>
        <v>2.1859582542694498</v>
      </c>
      <c r="AJ33" s="12">
        <f t="shared" si="10"/>
        <v>0.23479690068091102</v>
      </c>
      <c r="AK33" s="13">
        <v>73</v>
      </c>
      <c r="AL33" s="52">
        <v>61.25</v>
      </c>
      <c r="AM33" s="61">
        <v>65</v>
      </c>
      <c r="AN33" s="16">
        <f t="shared" si="26"/>
        <v>5.9203036053130926</v>
      </c>
      <c r="AO33" s="48">
        <f t="shared" si="27"/>
        <v>142.08728652751424</v>
      </c>
      <c r="AP33" s="48">
        <f t="shared" si="28"/>
        <v>15.261798544259216</v>
      </c>
      <c r="AQ33" s="57">
        <v>19</v>
      </c>
      <c r="AR33" s="14">
        <v>14.882999999999999</v>
      </c>
      <c r="AS33" s="12">
        <f t="shared" si="29"/>
        <v>1.730550284629981</v>
      </c>
      <c r="AT33" s="12">
        <f t="shared" si="30"/>
        <v>41.533206831119543</v>
      </c>
      <c r="AU33" s="12">
        <f t="shared" si="31"/>
        <v>4.4611411129373097</v>
      </c>
      <c r="AV33" s="13">
        <v>36</v>
      </c>
      <c r="AW33" s="14">
        <v>23.582999999999998</v>
      </c>
      <c r="AX33" s="12">
        <f t="shared" si="11"/>
        <v>3.2789373814041745</v>
      </c>
      <c r="AY33" s="12">
        <f t="shared" si="12"/>
        <v>78.694497153700183</v>
      </c>
      <c r="AZ33" s="12">
        <f t="shared" si="13"/>
        <v>8.4526884245127967</v>
      </c>
      <c r="BA33" s="13">
        <v>2</v>
      </c>
      <c r="BB33" s="14">
        <v>0.71699999999999997</v>
      </c>
      <c r="BC33" s="12">
        <f t="shared" si="14"/>
        <v>0.18216318785578747</v>
      </c>
      <c r="BD33" s="12">
        <f t="shared" si="15"/>
        <v>4.3719165085388996</v>
      </c>
      <c r="BE33" s="12">
        <f t="shared" si="16"/>
        <v>0.46959380136182205</v>
      </c>
      <c r="BF33" s="13">
        <v>0</v>
      </c>
      <c r="BG33" s="52">
        <v>0</v>
      </c>
      <c r="BH33" s="48">
        <f t="shared" si="17"/>
        <v>0</v>
      </c>
      <c r="BI33" s="48">
        <f t="shared" si="18"/>
        <v>0</v>
      </c>
      <c r="BJ33" s="48">
        <f t="shared" si="19"/>
        <v>0</v>
      </c>
      <c r="BK33" s="9" t="str">
        <f>"32"</f>
        <v>32</v>
      </c>
      <c r="BL33" s="9" t="str">
        <f>"4040 14085 104 4-1"</f>
        <v>4040 14085 104 4-1</v>
      </c>
      <c r="BM33" s="9" t="str">
        <f>"1080 Z"</f>
        <v>1080 Z</v>
      </c>
      <c r="BN33" s="10">
        <f t="shared" si="32"/>
        <v>646.52751423149903</v>
      </c>
      <c r="BO33" s="11">
        <f t="shared" si="33"/>
        <v>91.493055555555557</v>
      </c>
    </row>
    <row r="34" spans="1:67">
      <c r="A34" s="15" t="s">
        <v>217</v>
      </c>
      <c r="B34" s="9" t="str">
        <f>"33"</f>
        <v>33</v>
      </c>
      <c r="C34" s="9" t="str">
        <f>"4040 127121 106 2-1"</f>
        <v>4040 127121 106 2-1</v>
      </c>
      <c r="D34" s="9" t="str">
        <f>"1087 Z"</f>
        <v>1087 Z</v>
      </c>
      <c r="E34" s="10">
        <f t="shared" si="20"/>
        <v>613.24454310025897</v>
      </c>
      <c r="F34" s="11">
        <f t="shared" si="21"/>
        <v>93.854166666666671</v>
      </c>
      <c r="G34" s="11">
        <v>675.75</v>
      </c>
      <c r="H34" s="11">
        <v>44.25</v>
      </c>
      <c r="I34" s="11">
        <v>414.4</v>
      </c>
      <c r="J34" s="65">
        <f t="shared" si="0"/>
        <v>11.262499999999999</v>
      </c>
      <c r="K34" s="11">
        <v>87.7</v>
      </c>
      <c r="L34" s="11">
        <v>2538117</v>
      </c>
      <c r="M34" s="11">
        <v>40545</v>
      </c>
      <c r="N34" s="11">
        <f t="shared" si="22"/>
        <v>62.6</v>
      </c>
      <c r="O34" s="13">
        <v>4</v>
      </c>
      <c r="P34" s="14">
        <v>2.367</v>
      </c>
      <c r="Q34" s="13">
        <v>14</v>
      </c>
      <c r="R34" s="67">
        <f t="shared" si="1"/>
        <v>1.1666666666666667</v>
      </c>
      <c r="S34" s="14">
        <v>17.3</v>
      </c>
      <c r="T34" s="12">
        <f t="shared" si="23"/>
        <v>1.2430632630410654</v>
      </c>
      <c r="U34" s="12">
        <f t="shared" si="24"/>
        <v>29.833518312985571</v>
      </c>
      <c r="V34" s="12">
        <f t="shared" si="25"/>
        <v>3.3783783783783785</v>
      </c>
      <c r="W34" s="70">
        <f t="shared" si="2"/>
        <v>1.2357142857142858</v>
      </c>
      <c r="X34" s="13">
        <v>43</v>
      </c>
      <c r="Y34" s="67">
        <f t="shared" si="3"/>
        <v>3.5833333333333335</v>
      </c>
      <c r="Z34" s="14">
        <v>23.283000000000001</v>
      </c>
      <c r="AA34" s="12">
        <f t="shared" si="4"/>
        <v>3.8179800221975584</v>
      </c>
      <c r="AB34" s="12">
        <f t="shared" si="5"/>
        <v>91.631520532741405</v>
      </c>
      <c r="AC34" s="12">
        <f t="shared" si="6"/>
        <v>10.376447876447877</v>
      </c>
      <c r="AD34" s="67">
        <f t="shared" si="7"/>
        <v>0.86470398970398976</v>
      </c>
      <c r="AE34" s="13">
        <v>1</v>
      </c>
      <c r="AF34" s="14">
        <v>1.3</v>
      </c>
      <c r="AG34" s="10">
        <v>0</v>
      </c>
      <c r="AH34" s="12">
        <f t="shared" si="8"/>
        <v>0</v>
      </c>
      <c r="AI34" s="12">
        <f t="shared" si="9"/>
        <v>0</v>
      </c>
      <c r="AJ34" s="12">
        <f t="shared" si="10"/>
        <v>0</v>
      </c>
      <c r="AK34" s="13">
        <v>62</v>
      </c>
      <c r="AL34" s="52">
        <v>44.25</v>
      </c>
      <c r="AM34" s="61">
        <v>57</v>
      </c>
      <c r="AN34" s="16">
        <f t="shared" si="26"/>
        <v>5.0610432852386236</v>
      </c>
      <c r="AO34" s="48">
        <f t="shared" si="27"/>
        <v>121.46503884572697</v>
      </c>
      <c r="AP34" s="48">
        <f t="shared" si="28"/>
        <v>13.754826254826256</v>
      </c>
      <c r="AQ34" s="57">
        <v>25</v>
      </c>
      <c r="AR34" s="14">
        <v>13.667</v>
      </c>
      <c r="AS34" s="12">
        <f t="shared" si="29"/>
        <v>2.2197558268590454</v>
      </c>
      <c r="AT34" s="12">
        <f t="shared" si="30"/>
        <v>53.274139844617089</v>
      </c>
      <c r="AU34" s="12">
        <f t="shared" si="31"/>
        <v>6.0328185328185331</v>
      </c>
      <c r="AV34" s="13">
        <v>16</v>
      </c>
      <c r="AW34" s="14">
        <v>9.25</v>
      </c>
      <c r="AX34" s="12">
        <f t="shared" si="11"/>
        <v>1.4206437291897891</v>
      </c>
      <c r="AY34" s="12">
        <f t="shared" si="12"/>
        <v>34.095449500554942</v>
      </c>
      <c r="AZ34" s="12">
        <f t="shared" si="13"/>
        <v>3.8610038610038613</v>
      </c>
      <c r="BA34" s="13">
        <v>1</v>
      </c>
      <c r="BB34" s="14">
        <v>0.2</v>
      </c>
      <c r="BC34" s="12">
        <f t="shared" si="14"/>
        <v>8.8790233074361818E-2</v>
      </c>
      <c r="BD34" s="12">
        <f t="shared" si="15"/>
        <v>2.1309655937846839</v>
      </c>
      <c r="BE34" s="12">
        <f t="shared" si="16"/>
        <v>0.24131274131274133</v>
      </c>
      <c r="BF34" s="13">
        <v>1</v>
      </c>
      <c r="BG34" s="52">
        <v>0.16700000000000001</v>
      </c>
      <c r="BH34" s="48">
        <f t="shared" si="17"/>
        <v>8.8790233074361818E-2</v>
      </c>
      <c r="BI34" s="48">
        <f t="shared" si="18"/>
        <v>2.1309655937846839</v>
      </c>
      <c r="BJ34" s="48">
        <f t="shared" si="19"/>
        <v>0.24131274131274133</v>
      </c>
      <c r="BK34" s="9" t="str">
        <f>"33"</f>
        <v>33</v>
      </c>
      <c r="BL34" s="9" t="str">
        <f>"4040 127121 106 2-1"</f>
        <v>4040 127121 106 2-1</v>
      </c>
      <c r="BM34" s="9" t="str">
        <f>"1087 Z"</f>
        <v>1087 Z</v>
      </c>
      <c r="BN34" s="10">
        <f t="shared" si="32"/>
        <v>613.24454310025897</v>
      </c>
      <c r="BO34" s="11">
        <f t="shared" si="33"/>
        <v>93.854166666666671</v>
      </c>
    </row>
    <row r="35" spans="1:67">
      <c r="A35" s="15" t="s">
        <v>217</v>
      </c>
      <c r="B35" s="9" t="str">
        <f>"34"</f>
        <v>34</v>
      </c>
      <c r="C35" s="9" t="str">
        <f>"8080 9088 46x2 1-1"</f>
        <v>8080 9088 46x2 1-1</v>
      </c>
      <c r="D35" s="9" t="str">
        <f>"1075 Z"</f>
        <v>1075 Z</v>
      </c>
      <c r="E35" s="10">
        <f t="shared" si="20"/>
        <v>807.85604439539577</v>
      </c>
      <c r="F35" s="11">
        <f t="shared" si="21"/>
        <v>92.752361111111114</v>
      </c>
      <c r="G35" s="11">
        <v>667.81700000000001</v>
      </c>
      <c r="H35" s="11">
        <v>52.183</v>
      </c>
      <c r="I35" s="11">
        <v>539.5</v>
      </c>
      <c r="J35" s="65">
        <f t="shared" si="0"/>
        <v>11.130283333333333</v>
      </c>
      <c r="K35" s="11">
        <v>155.69999999999999</v>
      </c>
      <c r="L35" s="11">
        <v>2808035.52</v>
      </c>
      <c r="M35" s="11">
        <v>40069</v>
      </c>
      <c r="N35" s="11">
        <f t="shared" si="22"/>
        <v>70.08</v>
      </c>
      <c r="O35" s="13">
        <v>3</v>
      </c>
      <c r="P35" s="14">
        <v>0.86699999999999999</v>
      </c>
      <c r="Q35" s="13">
        <v>11</v>
      </c>
      <c r="R35" s="67">
        <f t="shared" si="1"/>
        <v>0.91666666666666663</v>
      </c>
      <c r="S35" s="14">
        <v>21.417000000000002</v>
      </c>
      <c r="T35" s="12">
        <f t="shared" si="23"/>
        <v>0.98829469749946464</v>
      </c>
      <c r="U35" s="12">
        <f t="shared" si="24"/>
        <v>23.719072739987151</v>
      </c>
      <c r="V35" s="12">
        <f t="shared" si="25"/>
        <v>2.0389249304911954</v>
      </c>
      <c r="W35" s="70">
        <f t="shared" si="2"/>
        <v>1.9470000000000001</v>
      </c>
      <c r="X35" s="13">
        <v>27</v>
      </c>
      <c r="Y35" s="67">
        <f t="shared" si="3"/>
        <v>2.25</v>
      </c>
      <c r="Z35" s="14">
        <v>22.167000000000002</v>
      </c>
      <c r="AA35" s="12">
        <f t="shared" si="4"/>
        <v>2.4258142574986858</v>
      </c>
      <c r="AB35" s="12">
        <f t="shared" si="5"/>
        <v>58.219542179968464</v>
      </c>
      <c r="AC35" s="12">
        <f t="shared" si="6"/>
        <v>5.0046339202965706</v>
      </c>
      <c r="AD35" s="67">
        <f t="shared" si="7"/>
        <v>0.41705282669138088</v>
      </c>
      <c r="AE35" s="13">
        <v>5</v>
      </c>
      <c r="AF35" s="14">
        <v>7.7329999999999997</v>
      </c>
      <c r="AG35" s="10">
        <v>1</v>
      </c>
      <c r="AH35" s="12">
        <f t="shared" si="8"/>
        <v>8.9844972499951339E-2</v>
      </c>
      <c r="AI35" s="12">
        <f t="shared" si="9"/>
        <v>2.1562793399988318</v>
      </c>
      <c r="AJ35" s="12">
        <f t="shared" si="10"/>
        <v>0.18535681186283595</v>
      </c>
      <c r="AK35" s="13">
        <v>46</v>
      </c>
      <c r="AL35" s="52">
        <v>52.183999999999997</v>
      </c>
      <c r="AM35" s="61">
        <v>39</v>
      </c>
      <c r="AN35" s="16">
        <f t="shared" si="26"/>
        <v>3.503953927498102</v>
      </c>
      <c r="AO35" s="48">
        <f t="shared" si="27"/>
        <v>84.094894259954444</v>
      </c>
      <c r="AP35" s="48">
        <f t="shared" si="28"/>
        <v>7.2289156626506026</v>
      </c>
      <c r="AQ35" s="57">
        <v>9</v>
      </c>
      <c r="AR35" s="14">
        <v>4.95</v>
      </c>
      <c r="AS35" s="12">
        <f t="shared" si="29"/>
        <v>0.80860475249956199</v>
      </c>
      <c r="AT35" s="12">
        <f t="shared" si="30"/>
        <v>19.406514059989487</v>
      </c>
      <c r="AU35" s="12">
        <f t="shared" si="31"/>
        <v>1.6682113067655235</v>
      </c>
      <c r="AV35" s="13">
        <v>10</v>
      </c>
      <c r="AW35" s="14">
        <v>4.367</v>
      </c>
      <c r="AX35" s="12">
        <f t="shared" si="11"/>
        <v>0.89844972499951337</v>
      </c>
      <c r="AY35" s="12">
        <f t="shared" si="12"/>
        <v>21.562793399988319</v>
      </c>
      <c r="AZ35" s="12">
        <f t="shared" si="13"/>
        <v>1.8535681186283597</v>
      </c>
      <c r="BA35" s="13">
        <v>4</v>
      </c>
      <c r="BB35" s="14">
        <v>4.867</v>
      </c>
      <c r="BC35" s="12">
        <f t="shared" si="14"/>
        <v>0.35937988999980536</v>
      </c>
      <c r="BD35" s="12">
        <f t="shared" si="15"/>
        <v>8.6251173599953272</v>
      </c>
      <c r="BE35" s="12">
        <f t="shared" si="16"/>
        <v>0.74142724745134381</v>
      </c>
      <c r="BF35" s="13">
        <v>4</v>
      </c>
      <c r="BG35" s="52">
        <v>7.9829999999999997</v>
      </c>
      <c r="BH35" s="48">
        <f t="shared" si="17"/>
        <v>0.35937988999980536</v>
      </c>
      <c r="BI35" s="48">
        <f t="shared" si="18"/>
        <v>8.6251173599953272</v>
      </c>
      <c r="BJ35" s="48">
        <f t="shared" si="19"/>
        <v>0.74142724745134381</v>
      </c>
      <c r="BK35" s="9" t="str">
        <f>"34"</f>
        <v>34</v>
      </c>
      <c r="BL35" s="9" t="str">
        <f>"8080 9088 46x2 1-1"</f>
        <v>8080 9088 46x2 1-1</v>
      </c>
      <c r="BM35" s="9" t="str">
        <f>"1075 Z"</f>
        <v>1075 Z</v>
      </c>
      <c r="BN35" s="10">
        <f t="shared" si="32"/>
        <v>807.85604439539577</v>
      </c>
      <c r="BO35" s="11">
        <f t="shared" si="33"/>
        <v>92.752361111111114</v>
      </c>
    </row>
    <row r="36" spans="1:67">
      <c r="A36" s="15" t="s">
        <v>217</v>
      </c>
      <c r="B36" s="9" t="str">
        <f>"35"</f>
        <v>35</v>
      </c>
      <c r="C36" s="9" t="str">
        <f>"3030 7674 72 1-1"</f>
        <v>3030 7674 72 1-1</v>
      </c>
      <c r="D36" s="9" t="str">
        <f>"1128 R"</f>
        <v>1128 R</v>
      </c>
      <c r="E36" s="10">
        <f t="shared" si="20"/>
        <v>956.33925950806531</v>
      </c>
      <c r="F36" s="11">
        <f t="shared" si="21"/>
        <v>88.488472222222214</v>
      </c>
      <c r="G36" s="11">
        <v>637.11699999999996</v>
      </c>
      <c r="H36" s="11">
        <v>82.882999999999996</v>
      </c>
      <c r="I36" s="11">
        <v>609.29999999999995</v>
      </c>
      <c r="J36" s="65">
        <f t="shared" si="0"/>
        <v>10.618616666666666</v>
      </c>
      <c r="K36" s="11">
        <v>212</v>
      </c>
      <c r="L36" s="11">
        <v>2489724.5099999998</v>
      </c>
      <c r="M36" s="11">
        <v>38227</v>
      </c>
      <c r="N36" s="11">
        <f t="shared" si="22"/>
        <v>65.13</v>
      </c>
      <c r="O36" s="13">
        <v>6</v>
      </c>
      <c r="P36" s="14">
        <v>4.9169999999999998</v>
      </c>
      <c r="Q36" s="13">
        <v>23</v>
      </c>
      <c r="R36" s="67">
        <f t="shared" si="1"/>
        <v>1.9166666666666667</v>
      </c>
      <c r="S36" s="14">
        <v>36.017000000000003</v>
      </c>
      <c r="T36" s="12">
        <f t="shared" si="23"/>
        <v>2.1660071854934024</v>
      </c>
      <c r="U36" s="12">
        <f t="shared" si="24"/>
        <v>51.984172451841658</v>
      </c>
      <c r="V36" s="12">
        <f t="shared" si="25"/>
        <v>3.7748235680288857</v>
      </c>
      <c r="W36" s="70">
        <f t="shared" si="2"/>
        <v>1.5659565217391305</v>
      </c>
      <c r="X36" s="13">
        <v>39</v>
      </c>
      <c r="Y36" s="67">
        <f t="shared" si="3"/>
        <v>3.25</v>
      </c>
      <c r="Z36" s="14">
        <v>37.35</v>
      </c>
      <c r="AA36" s="12">
        <f t="shared" si="4"/>
        <v>3.6727947927931606</v>
      </c>
      <c r="AB36" s="12">
        <f t="shared" si="5"/>
        <v>88.147075027035854</v>
      </c>
      <c r="AC36" s="12">
        <f t="shared" si="6"/>
        <v>6.4007877892663716</v>
      </c>
      <c r="AD36" s="67">
        <f t="shared" si="7"/>
        <v>0.5333989824388643</v>
      </c>
      <c r="AE36" s="13">
        <v>4</v>
      </c>
      <c r="AF36" s="14">
        <v>4.5999999999999996</v>
      </c>
      <c r="AG36" s="10">
        <v>0</v>
      </c>
      <c r="AH36" s="12">
        <f t="shared" si="8"/>
        <v>0</v>
      </c>
      <c r="AI36" s="12">
        <f t="shared" si="9"/>
        <v>0</v>
      </c>
      <c r="AJ36" s="12">
        <f t="shared" si="10"/>
        <v>0</v>
      </c>
      <c r="AK36" s="13">
        <v>72</v>
      </c>
      <c r="AL36" s="52">
        <v>82.884</v>
      </c>
      <c r="AM36" s="61">
        <v>62</v>
      </c>
      <c r="AN36" s="16">
        <f t="shared" si="26"/>
        <v>5.838801978286563</v>
      </c>
      <c r="AO36" s="48">
        <f t="shared" si="27"/>
        <v>140.13124747887753</v>
      </c>
      <c r="AP36" s="48">
        <f t="shared" si="28"/>
        <v>10.175611357295258</v>
      </c>
      <c r="AQ36" s="57">
        <v>22</v>
      </c>
      <c r="AR36" s="14">
        <v>16.233000000000001</v>
      </c>
      <c r="AS36" s="12">
        <f t="shared" si="29"/>
        <v>2.0718329600371677</v>
      </c>
      <c r="AT36" s="12">
        <f t="shared" si="30"/>
        <v>49.723991040892024</v>
      </c>
      <c r="AU36" s="12">
        <f t="shared" si="31"/>
        <v>3.6107008042015432</v>
      </c>
      <c r="AV36" s="13">
        <v>11</v>
      </c>
      <c r="AW36" s="14">
        <v>7.383</v>
      </c>
      <c r="AX36" s="12">
        <f t="shared" si="11"/>
        <v>1.0359164800185838</v>
      </c>
      <c r="AY36" s="12">
        <f t="shared" si="12"/>
        <v>24.861995520446012</v>
      </c>
      <c r="AZ36" s="12">
        <f t="shared" si="13"/>
        <v>1.8053504021007716</v>
      </c>
      <c r="BA36" s="13">
        <v>0</v>
      </c>
      <c r="BB36" s="14">
        <v>0</v>
      </c>
      <c r="BC36" s="12">
        <f t="shared" si="14"/>
        <v>0</v>
      </c>
      <c r="BD36" s="12">
        <f t="shared" si="15"/>
        <v>0</v>
      </c>
      <c r="BE36" s="12">
        <f t="shared" si="16"/>
        <v>0</v>
      </c>
      <c r="BF36" s="13">
        <v>6</v>
      </c>
      <c r="BG36" s="52">
        <v>13.733000000000001</v>
      </c>
      <c r="BH36" s="48">
        <f t="shared" si="17"/>
        <v>0.5650453527374093</v>
      </c>
      <c r="BI36" s="48">
        <f t="shared" si="18"/>
        <v>13.561088465697823</v>
      </c>
      <c r="BJ36" s="48">
        <f t="shared" si="19"/>
        <v>0.98473658296405719</v>
      </c>
      <c r="BK36" s="9" t="str">
        <f>"35"</f>
        <v>35</v>
      </c>
      <c r="BL36" s="9" t="str">
        <f>"3030 7674 72 1-1"</f>
        <v>3030 7674 72 1-1</v>
      </c>
      <c r="BM36" s="9" t="str">
        <f>"1128 R"</f>
        <v>1128 R</v>
      </c>
      <c r="BN36" s="10">
        <f t="shared" si="32"/>
        <v>956.33925950806531</v>
      </c>
      <c r="BO36" s="11">
        <f t="shared" si="33"/>
        <v>88.488472222222214</v>
      </c>
    </row>
    <row r="37" spans="1:67">
      <c r="A37" s="15" t="s">
        <v>217</v>
      </c>
      <c r="B37" s="9" t="str">
        <f>"36"</f>
        <v>36</v>
      </c>
      <c r="C37" s="9" t="str">
        <f>"4040 11085 75 1-1"</f>
        <v>4040 11085 75 1-1</v>
      </c>
      <c r="D37" s="9" t="str">
        <f>"1138 Z"</f>
        <v>1138 Z</v>
      </c>
      <c r="E37" s="10">
        <f t="shared" si="20"/>
        <v>945.01718213058427</v>
      </c>
      <c r="F37" s="11">
        <f t="shared" si="21"/>
        <v>76.791666666666671</v>
      </c>
      <c r="G37" s="11">
        <v>552.9</v>
      </c>
      <c r="H37" s="11">
        <v>167.1</v>
      </c>
      <c r="I37" s="11">
        <v>522.5</v>
      </c>
      <c r="J37" s="65">
        <f t="shared" si="0"/>
        <v>9.2149999999999999</v>
      </c>
      <c r="K37" s="11">
        <v>158.4</v>
      </c>
      <c r="L37" s="11">
        <v>2448241.2000000002</v>
      </c>
      <c r="M37" s="11">
        <v>33174</v>
      </c>
      <c r="N37" s="11">
        <f t="shared" si="22"/>
        <v>73.800000000000011</v>
      </c>
      <c r="O37" s="13">
        <v>5</v>
      </c>
      <c r="P37" s="14">
        <v>0.88300000000000001</v>
      </c>
      <c r="Q37" s="13">
        <v>30</v>
      </c>
      <c r="R37" s="67">
        <f t="shared" si="1"/>
        <v>2.5</v>
      </c>
      <c r="S37" s="14">
        <v>57.732999999999997</v>
      </c>
      <c r="T37" s="12">
        <f t="shared" si="23"/>
        <v>3.2555615843733046</v>
      </c>
      <c r="U37" s="12">
        <f t="shared" si="24"/>
        <v>78.133478024959302</v>
      </c>
      <c r="V37" s="12">
        <f t="shared" si="25"/>
        <v>5.741626794258373</v>
      </c>
      <c r="W37" s="70">
        <f t="shared" si="2"/>
        <v>1.9244333333333332</v>
      </c>
      <c r="X37" s="13">
        <v>25</v>
      </c>
      <c r="Y37" s="67">
        <f t="shared" si="3"/>
        <v>2.0833333333333335</v>
      </c>
      <c r="Z37" s="14">
        <v>26.05</v>
      </c>
      <c r="AA37" s="12">
        <f t="shared" si="4"/>
        <v>2.7129679869777537</v>
      </c>
      <c r="AB37" s="12">
        <f t="shared" si="5"/>
        <v>65.111231687466088</v>
      </c>
      <c r="AC37" s="12">
        <f t="shared" si="6"/>
        <v>4.7846889952153111</v>
      </c>
      <c r="AD37" s="67">
        <f t="shared" si="7"/>
        <v>0.39872408293460926</v>
      </c>
      <c r="AE37" s="13">
        <v>5</v>
      </c>
      <c r="AF37" s="14">
        <v>82.433999999999997</v>
      </c>
      <c r="AG37" s="10">
        <v>0</v>
      </c>
      <c r="AH37" s="12">
        <f t="shared" si="8"/>
        <v>0</v>
      </c>
      <c r="AI37" s="12">
        <f t="shared" si="9"/>
        <v>0</v>
      </c>
      <c r="AJ37" s="12">
        <f t="shared" si="10"/>
        <v>0</v>
      </c>
      <c r="AK37" s="13">
        <v>65</v>
      </c>
      <c r="AL37" s="52">
        <v>167.1</v>
      </c>
      <c r="AM37" s="61">
        <v>55</v>
      </c>
      <c r="AN37" s="16">
        <f t="shared" si="26"/>
        <v>5.9685295713510582</v>
      </c>
      <c r="AO37" s="48">
        <f t="shared" si="27"/>
        <v>143.24470971242539</v>
      </c>
      <c r="AP37" s="48">
        <f t="shared" si="28"/>
        <v>10.526315789473685</v>
      </c>
      <c r="AQ37" s="57">
        <v>12</v>
      </c>
      <c r="AR37" s="14">
        <v>4.1500000000000004</v>
      </c>
      <c r="AS37" s="12">
        <f t="shared" si="29"/>
        <v>1.3022246337493217</v>
      </c>
      <c r="AT37" s="12">
        <f t="shared" si="30"/>
        <v>31.253391209983725</v>
      </c>
      <c r="AU37" s="12">
        <f t="shared" si="31"/>
        <v>2.2966507177033493</v>
      </c>
      <c r="AV37" s="13">
        <v>12</v>
      </c>
      <c r="AW37" s="14">
        <v>21.516999999999999</v>
      </c>
      <c r="AX37" s="12">
        <f t="shared" si="11"/>
        <v>1.3022246337493217</v>
      </c>
      <c r="AY37" s="12">
        <f t="shared" si="12"/>
        <v>31.253391209983725</v>
      </c>
      <c r="AZ37" s="12">
        <f t="shared" si="13"/>
        <v>2.2966507177033493</v>
      </c>
      <c r="BA37" s="13">
        <v>0</v>
      </c>
      <c r="BB37" s="14">
        <v>0</v>
      </c>
      <c r="BC37" s="12">
        <f t="shared" si="14"/>
        <v>0</v>
      </c>
      <c r="BD37" s="12">
        <f t="shared" si="15"/>
        <v>0</v>
      </c>
      <c r="BE37" s="12">
        <f t="shared" si="16"/>
        <v>0</v>
      </c>
      <c r="BF37" s="13">
        <v>1</v>
      </c>
      <c r="BG37" s="52">
        <v>0.38300000000000001</v>
      </c>
      <c r="BH37" s="48">
        <f t="shared" si="17"/>
        <v>0.10851871947911015</v>
      </c>
      <c r="BI37" s="48">
        <f t="shared" si="18"/>
        <v>2.6044492674986435</v>
      </c>
      <c r="BJ37" s="48">
        <f t="shared" si="19"/>
        <v>0.19138755980861244</v>
      </c>
      <c r="BK37" s="9" t="str">
        <f>"36"</f>
        <v>36</v>
      </c>
      <c r="BL37" s="9" t="str">
        <f>"4040 11085 75 1-1"</f>
        <v>4040 11085 75 1-1</v>
      </c>
      <c r="BM37" s="9" t="str">
        <f>"1138 Z"</f>
        <v>1138 Z</v>
      </c>
      <c r="BN37" s="10">
        <f t="shared" si="32"/>
        <v>945.01718213058427</v>
      </c>
      <c r="BO37" s="11">
        <f t="shared" si="33"/>
        <v>76.791666666666671</v>
      </c>
    </row>
    <row r="38" spans="1:67">
      <c r="A38" s="15" t="s">
        <v>217</v>
      </c>
      <c r="B38" s="9" t="str">
        <f>"37"</f>
        <v>37</v>
      </c>
      <c r="C38" s="9" t="str">
        <f>"4040 12776 77 4-1"</f>
        <v>4040 12776 77 4-1</v>
      </c>
      <c r="D38" s="9" t="str">
        <f>"1133 Z"</f>
        <v>1133 Z</v>
      </c>
      <c r="E38" s="10">
        <f t="shared" si="20"/>
        <v>934.46509848741789</v>
      </c>
      <c r="F38" s="11">
        <f t="shared" si="21"/>
        <v>89.682916666666657</v>
      </c>
      <c r="G38" s="11">
        <v>645.71699999999998</v>
      </c>
      <c r="H38" s="11">
        <v>74.283000000000001</v>
      </c>
      <c r="I38" s="11">
        <v>603.4</v>
      </c>
      <c r="J38" s="65">
        <f t="shared" si="0"/>
        <v>10.761950000000001</v>
      </c>
      <c r="K38" s="11">
        <v>201.7</v>
      </c>
      <c r="L38" s="11">
        <v>2512096.12</v>
      </c>
      <c r="M38" s="11">
        <v>38743</v>
      </c>
      <c r="N38" s="11">
        <f t="shared" si="22"/>
        <v>64.84</v>
      </c>
      <c r="O38" s="13">
        <v>6</v>
      </c>
      <c r="P38" s="14">
        <v>16.382999999999999</v>
      </c>
      <c r="Q38" s="13">
        <v>11</v>
      </c>
      <c r="R38" s="67">
        <f t="shared" si="1"/>
        <v>0.91666666666666663</v>
      </c>
      <c r="S38" s="14">
        <v>16.399999999999999</v>
      </c>
      <c r="T38" s="12">
        <f t="shared" si="23"/>
        <v>1.0221195972848787</v>
      </c>
      <c r="U38" s="12">
        <f t="shared" si="24"/>
        <v>24.53087033483709</v>
      </c>
      <c r="V38" s="12">
        <f t="shared" si="25"/>
        <v>1.8230029830957906</v>
      </c>
      <c r="W38" s="70">
        <f t="shared" si="2"/>
        <v>1.4909090909090907</v>
      </c>
      <c r="X38" s="13">
        <v>69</v>
      </c>
      <c r="Y38" s="67">
        <f t="shared" si="3"/>
        <v>5.75</v>
      </c>
      <c r="Z38" s="14">
        <v>40.633000000000003</v>
      </c>
      <c r="AA38" s="12">
        <f t="shared" si="4"/>
        <v>6.4114774738778753</v>
      </c>
      <c r="AB38" s="12">
        <f t="shared" si="5"/>
        <v>153.87545937306902</v>
      </c>
      <c r="AC38" s="12">
        <f t="shared" si="6"/>
        <v>11.435200530328141</v>
      </c>
      <c r="AD38" s="67">
        <f t="shared" si="7"/>
        <v>0.95293337752734508</v>
      </c>
      <c r="AE38" s="13">
        <v>4</v>
      </c>
      <c r="AF38" s="14">
        <v>0.86699999999999999</v>
      </c>
      <c r="AG38" s="10">
        <v>0</v>
      </c>
      <c r="AH38" s="12">
        <f t="shared" si="8"/>
        <v>0</v>
      </c>
      <c r="AI38" s="12">
        <f t="shared" si="9"/>
        <v>0</v>
      </c>
      <c r="AJ38" s="12">
        <f t="shared" si="10"/>
        <v>0</v>
      </c>
      <c r="AK38" s="13">
        <v>90</v>
      </c>
      <c r="AL38" s="52">
        <v>74.283000000000001</v>
      </c>
      <c r="AM38" s="61">
        <v>80</v>
      </c>
      <c r="AN38" s="16">
        <f t="shared" si="26"/>
        <v>7.4335970711627537</v>
      </c>
      <c r="AO38" s="48">
        <f t="shared" si="27"/>
        <v>178.40632970790611</v>
      </c>
      <c r="AP38" s="48">
        <f t="shared" si="28"/>
        <v>13.258203513423931</v>
      </c>
      <c r="AQ38" s="57">
        <v>47</v>
      </c>
      <c r="AR38" s="14">
        <v>24.882999999999999</v>
      </c>
      <c r="AS38" s="12">
        <f t="shared" si="29"/>
        <v>4.3672382793081184</v>
      </c>
      <c r="AT38" s="12">
        <f t="shared" si="30"/>
        <v>104.81371870339483</v>
      </c>
      <c r="AU38" s="12">
        <f t="shared" si="31"/>
        <v>7.7891945641365599</v>
      </c>
      <c r="AV38" s="13">
        <v>12</v>
      </c>
      <c r="AW38" s="14">
        <v>6.633</v>
      </c>
      <c r="AX38" s="12">
        <f t="shared" si="11"/>
        <v>1.115039560674413</v>
      </c>
      <c r="AY38" s="12">
        <f t="shared" si="12"/>
        <v>26.760949456185916</v>
      </c>
      <c r="AZ38" s="12">
        <f t="shared" si="13"/>
        <v>1.9887305270135898</v>
      </c>
      <c r="BA38" s="13">
        <v>8</v>
      </c>
      <c r="BB38" s="14">
        <v>8.2829999999999995</v>
      </c>
      <c r="BC38" s="12">
        <f t="shared" si="14"/>
        <v>0.74335970711627541</v>
      </c>
      <c r="BD38" s="12">
        <f t="shared" si="15"/>
        <v>17.840632970790608</v>
      </c>
      <c r="BE38" s="12">
        <f t="shared" si="16"/>
        <v>1.3258203513423932</v>
      </c>
      <c r="BF38" s="13">
        <v>2</v>
      </c>
      <c r="BG38" s="52">
        <v>0.83299999999999996</v>
      </c>
      <c r="BH38" s="48">
        <f t="shared" si="17"/>
        <v>0.18583992677906885</v>
      </c>
      <c r="BI38" s="48">
        <f t="shared" si="18"/>
        <v>4.460158242697652</v>
      </c>
      <c r="BJ38" s="48">
        <f t="shared" si="19"/>
        <v>0.33145508783559829</v>
      </c>
      <c r="BK38" s="9" t="str">
        <f>"37"</f>
        <v>37</v>
      </c>
      <c r="BL38" s="9" t="str">
        <f>"4040 12776 77 4-1"</f>
        <v>4040 12776 77 4-1</v>
      </c>
      <c r="BM38" s="9" t="str">
        <f>"1133 Z"</f>
        <v>1133 Z</v>
      </c>
      <c r="BN38" s="10">
        <f t="shared" si="32"/>
        <v>934.46509848741789</v>
      </c>
      <c r="BO38" s="11">
        <f t="shared" si="33"/>
        <v>89.682916666666657</v>
      </c>
    </row>
    <row r="39" spans="1:67">
      <c r="A39" s="15" t="s">
        <v>217</v>
      </c>
      <c r="B39" s="9" t="str">
        <f>"38"</f>
        <v>38</v>
      </c>
      <c r="C39" s="9" t="str">
        <f>"4040 13079 59 4-1"</f>
        <v>4040 13079 59 4-1</v>
      </c>
      <c r="D39" s="9" t="str">
        <f>"03 Z"</f>
        <v>03 Z</v>
      </c>
      <c r="E39" s="10">
        <f t="shared" si="20"/>
        <v>953.67631256697871</v>
      </c>
      <c r="F39" s="11">
        <f t="shared" si="21"/>
        <v>96.294027777777771</v>
      </c>
      <c r="G39" s="11">
        <v>693.31700000000001</v>
      </c>
      <c r="H39" s="11">
        <v>26.683</v>
      </c>
      <c r="I39" s="11">
        <v>661.2</v>
      </c>
      <c r="J39" s="65">
        <f t="shared" si="0"/>
        <v>11.555283333333334</v>
      </c>
      <c r="K39" s="11">
        <v>212.6</v>
      </c>
      <c r="L39" s="11">
        <v>2417733.88</v>
      </c>
      <c r="M39" s="11">
        <v>41599</v>
      </c>
      <c r="N39" s="11">
        <f t="shared" si="22"/>
        <v>58.12</v>
      </c>
      <c r="O39" s="13">
        <v>4</v>
      </c>
      <c r="P39" s="14">
        <v>1.417</v>
      </c>
      <c r="Q39" s="13">
        <v>5</v>
      </c>
      <c r="R39" s="67">
        <f t="shared" si="1"/>
        <v>0.41666666666666669</v>
      </c>
      <c r="S39" s="14">
        <v>11.333</v>
      </c>
      <c r="T39" s="12">
        <f t="shared" si="23"/>
        <v>0.43270250116469089</v>
      </c>
      <c r="U39" s="12">
        <f t="shared" si="24"/>
        <v>10.384860027952582</v>
      </c>
      <c r="V39" s="12">
        <f t="shared" si="25"/>
        <v>0.75620084694494849</v>
      </c>
      <c r="W39" s="70">
        <f t="shared" si="2"/>
        <v>2.2665999999999999</v>
      </c>
      <c r="X39" s="13">
        <v>15</v>
      </c>
      <c r="Y39" s="67">
        <f t="shared" si="3"/>
        <v>1.25</v>
      </c>
      <c r="Z39" s="14">
        <v>13.217000000000001</v>
      </c>
      <c r="AA39" s="12">
        <f t="shared" si="4"/>
        <v>1.2981075034940728</v>
      </c>
      <c r="AB39" s="12">
        <f t="shared" si="5"/>
        <v>31.154580083857745</v>
      </c>
      <c r="AC39" s="12">
        <f t="shared" si="6"/>
        <v>2.2686025408348454</v>
      </c>
      <c r="AD39" s="67">
        <f t="shared" si="7"/>
        <v>0.18905021173623712</v>
      </c>
      <c r="AE39" s="13">
        <v>1</v>
      </c>
      <c r="AF39" s="14">
        <v>0.71699999999999997</v>
      </c>
      <c r="AG39" s="10">
        <v>0</v>
      </c>
      <c r="AH39" s="12">
        <f t="shared" si="8"/>
        <v>0</v>
      </c>
      <c r="AI39" s="12">
        <f t="shared" si="9"/>
        <v>0</v>
      </c>
      <c r="AJ39" s="12">
        <f t="shared" si="10"/>
        <v>0</v>
      </c>
      <c r="AK39" s="13">
        <v>25</v>
      </c>
      <c r="AL39" s="52">
        <v>26.684000000000001</v>
      </c>
      <c r="AM39" s="61">
        <v>20</v>
      </c>
      <c r="AN39" s="16">
        <f t="shared" si="26"/>
        <v>1.7308100046587636</v>
      </c>
      <c r="AO39" s="48">
        <f t="shared" si="27"/>
        <v>41.539440111810329</v>
      </c>
      <c r="AP39" s="48">
        <f t="shared" si="28"/>
        <v>3.024803387779794</v>
      </c>
      <c r="AQ39" s="57">
        <v>5</v>
      </c>
      <c r="AR39" s="14">
        <v>4.7169999999999996</v>
      </c>
      <c r="AS39" s="12">
        <f t="shared" si="29"/>
        <v>0.43270250116469089</v>
      </c>
      <c r="AT39" s="12">
        <f t="shared" si="30"/>
        <v>10.384860027952582</v>
      </c>
      <c r="AU39" s="12">
        <f t="shared" si="31"/>
        <v>0.75620084694494849</v>
      </c>
      <c r="AV39" s="13">
        <v>8</v>
      </c>
      <c r="AW39" s="14">
        <v>3.4830000000000001</v>
      </c>
      <c r="AX39" s="12">
        <f t="shared" si="11"/>
        <v>0.6923240018635054</v>
      </c>
      <c r="AY39" s="12">
        <f t="shared" si="12"/>
        <v>16.615776044724129</v>
      </c>
      <c r="AZ39" s="12">
        <f t="shared" si="13"/>
        <v>1.2099213551119177</v>
      </c>
      <c r="BA39" s="13">
        <v>1</v>
      </c>
      <c r="BB39" s="14">
        <v>0.46700000000000003</v>
      </c>
      <c r="BC39" s="12">
        <f t="shared" si="14"/>
        <v>8.6540500232938175E-2</v>
      </c>
      <c r="BD39" s="12">
        <f t="shared" si="15"/>
        <v>2.0769720055905161</v>
      </c>
      <c r="BE39" s="12">
        <f t="shared" si="16"/>
        <v>0.15124016938898971</v>
      </c>
      <c r="BF39" s="13">
        <v>1</v>
      </c>
      <c r="BG39" s="52">
        <v>4.55</v>
      </c>
      <c r="BH39" s="48">
        <f t="shared" si="17"/>
        <v>8.6540500232938175E-2</v>
      </c>
      <c r="BI39" s="48">
        <f t="shared" si="18"/>
        <v>2.0769720055905161</v>
      </c>
      <c r="BJ39" s="48">
        <f t="shared" si="19"/>
        <v>0.15124016938898971</v>
      </c>
      <c r="BK39" s="9" t="str">
        <f>"38"</f>
        <v>38</v>
      </c>
      <c r="BL39" s="9" t="str">
        <f>"4040 13079 59 4-1"</f>
        <v>4040 13079 59 4-1</v>
      </c>
      <c r="BM39" s="9" t="str">
        <f>"03 Z"</f>
        <v>03 Z</v>
      </c>
      <c r="BN39" s="10">
        <f t="shared" si="32"/>
        <v>953.67631256697871</v>
      </c>
      <c r="BO39" s="11">
        <f t="shared" si="33"/>
        <v>96.294027777777771</v>
      </c>
    </row>
    <row r="40" spans="1:67">
      <c r="A40" s="15" t="s">
        <v>217</v>
      </c>
      <c r="B40" s="9" t="str">
        <f>"39"</f>
        <v>39</v>
      </c>
      <c r="C40" s="9" t="str">
        <f>"4040 11083 123 1-1"</f>
        <v>4040 11083 123 1-1</v>
      </c>
      <c r="D40" s="9" t="str">
        <f>"1020 Z"</f>
        <v>1020 Z</v>
      </c>
      <c r="E40" s="10">
        <f t="shared" si="20"/>
        <v>794.17459382102868</v>
      </c>
      <c r="F40" s="11">
        <f t="shared" si="21"/>
        <v>82.493055555555571</v>
      </c>
      <c r="G40" s="11">
        <v>593.95000000000005</v>
      </c>
      <c r="H40" s="11">
        <v>126.05</v>
      </c>
      <c r="I40" s="11">
        <v>471.7</v>
      </c>
      <c r="J40" s="65">
        <f t="shared" si="0"/>
        <v>9.8991666666666678</v>
      </c>
      <c r="K40" s="11">
        <v>146.19999999999999</v>
      </c>
      <c r="L40" s="11">
        <v>4219777.17</v>
      </c>
      <c r="M40" s="11">
        <v>35637</v>
      </c>
      <c r="N40" s="11">
        <f t="shared" si="22"/>
        <v>118.41</v>
      </c>
      <c r="O40" s="13">
        <v>7</v>
      </c>
      <c r="P40" s="14">
        <v>2.25</v>
      </c>
      <c r="Q40" s="13">
        <v>45</v>
      </c>
      <c r="R40" s="67">
        <f t="shared" si="1"/>
        <v>3.75</v>
      </c>
      <c r="S40" s="14">
        <v>79.766999999999996</v>
      </c>
      <c r="T40" s="12">
        <f t="shared" si="23"/>
        <v>4.5458371916828009</v>
      </c>
      <c r="U40" s="12">
        <f t="shared" si="24"/>
        <v>109.10009260038723</v>
      </c>
      <c r="V40" s="12">
        <f t="shared" si="25"/>
        <v>9.5399618401526389</v>
      </c>
      <c r="W40" s="70">
        <f t="shared" si="2"/>
        <v>1.7726</v>
      </c>
      <c r="X40" s="13">
        <v>51</v>
      </c>
      <c r="Y40" s="67">
        <f t="shared" si="3"/>
        <v>4.25</v>
      </c>
      <c r="Z40" s="14">
        <v>37.817</v>
      </c>
      <c r="AA40" s="12">
        <f t="shared" si="4"/>
        <v>5.1519488172405081</v>
      </c>
      <c r="AB40" s="12">
        <f t="shared" si="5"/>
        <v>123.64677161377219</v>
      </c>
      <c r="AC40" s="12">
        <f t="shared" si="6"/>
        <v>10.811956752172991</v>
      </c>
      <c r="AD40" s="67">
        <f t="shared" si="7"/>
        <v>0.90099639601441595</v>
      </c>
      <c r="AE40" s="13">
        <v>8</v>
      </c>
      <c r="AF40" s="14">
        <v>6.2169999999999996</v>
      </c>
      <c r="AG40" s="10">
        <v>0</v>
      </c>
      <c r="AH40" s="12">
        <f t="shared" si="8"/>
        <v>0</v>
      </c>
      <c r="AI40" s="12">
        <f t="shared" si="9"/>
        <v>0</v>
      </c>
      <c r="AJ40" s="12">
        <f t="shared" si="10"/>
        <v>0</v>
      </c>
      <c r="AK40" s="13">
        <v>111</v>
      </c>
      <c r="AL40" s="52">
        <v>126.051</v>
      </c>
      <c r="AM40" s="61">
        <v>96</v>
      </c>
      <c r="AN40" s="16">
        <f t="shared" si="26"/>
        <v>9.697786008923309</v>
      </c>
      <c r="AO40" s="48">
        <f t="shared" si="27"/>
        <v>232.74686421415942</v>
      </c>
      <c r="AP40" s="48">
        <f t="shared" si="28"/>
        <v>20.351918592325632</v>
      </c>
      <c r="AQ40" s="57">
        <v>12</v>
      </c>
      <c r="AR40" s="14">
        <v>5.4669999999999996</v>
      </c>
      <c r="AS40" s="12">
        <f t="shared" si="29"/>
        <v>1.2122232511154136</v>
      </c>
      <c r="AT40" s="12">
        <f t="shared" si="30"/>
        <v>29.093358026769927</v>
      </c>
      <c r="AU40" s="12">
        <f t="shared" si="31"/>
        <v>2.543989824040704</v>
      </c>
      <c r="AV40" s="13">
        <v>27</v>
      </c>
      <c r="AW40" s="14">
        <v>21</v>
      </c>
      <c r="AX40" s="12">
        <f t="shared" si="11"/>
        <v>2.7275023150096809</v>
      </c>
      <c r="AY40" s="12">
        <f t="shared" si="12"/>
        <v>65.460055560232334</v>
      </c>
      <c r="AZ40" s="12">
        <f t="shared" si="13"/>
        <v>5.7239771040915839</v>
      </c>
      <c r="BA40" s="13">
        <v>5</v>
      </c>
      <c r="BB40" s="14">
        <v>4.117</v>
      </c>
      <c r="BC40" s="12">
        <f t="shared" si="14"/>
        <v>0.50509302129808897</v>
      </c>
      <c r="BD40" s="12">
        <f t="shared" si="15"/>
        <v>12.122232511154136</v>
      </c>
      <c r="BE40" s="12">
        <f t="shared" si="16"/>
        <v>1.0599957600169601</v>
      </c>
      <c r="BF40" s="13">
        <v>7</v>
      </c>
      <c r="BG40" s="52">
        <v>7.2329999999999997</v>
      </c>
      <c r="BH40" s="48">
        <f t="shared" si="17"/>
        <v>0.70713022981732465</v>
      </c>
      <c r="BI40" s="48">
        <f t="shared" si="18"/>
        <v>16.971125515615793</v>
      </c>
      <c r="BJ40" s="48">
        <f t="shared" si="19"/>
        <v>1.4839940640237439</v>
      </c>
      <c r="BK40" s="9" t="str">
        <f>"39"</f>
        <v>39</v>
      </c>
      <c r="BL40" s="9" t="str">
        <f>"4040 11083 123 1-1"</f>
        <v>4040 11083 123 1-1</v>
      </c>
      <c r="BM40" s="9" t="str">
        <f>"1020 Z"</f>
        <v>1020 Z</v>
      </c>
      <c r="BN40" s="10">
        <f t="shared" si="32"/>
        <v>794.17459382102868</v>
      </c>
      <c r="BO40" s="11">
        <f t="shared" si="33"/>
        <v>82.493055555555571</v>
      </c>
    </row>
    <row r="41" spans="1:67">
      <c r="A41" s="15" t="s">
        <v>217</v>
      </c>
      <c r="B41" s="9" t="str">
        <f>"40"</f>
        <v>40</v>
      </c>
      <c r="C41" s="9" t="str">
        <f>"6060173120110 dobby"</f>
        <v>6060173120110 dobby</v>
      </c>
      <c r="D41" s="9" t="str">
        <f>"1007 Z"</f>
        <v>1007 Z</v>
      </c>
      <c r="E41" s="10">
        <f t="shared" si="20"/>
        <v>500.07870297497249</v>
      </c>
      <c r="F41" s="11">
        <f t="shared" si="21"/>
        <v>88.2361111111111</v>
      </c>
      <c r="G41" s="11">
        <v>635.29999999999995</v>
      </c>
      <c r="H41" s="11">
        <v>84.7</v>
      </c>
      <c r="I41" s="11">
        <v>317.7</v>
      </c>
      <c r="J41" s="65">
        <f t="shared" si="0"/>
        <v>10.588333333333333</v>
      </c>
      <c r="K41" s="11">
        <v>68.099999999999994</v>
      </c>
      <c r="L41" s="11">
        <v>2433834.2999999998</v>
      </c>
      <c r="M41" s="11">
        <v>38118</v>
      </c>
      <c r="N41" s="11">
        <f t="shared" si="22"/>
        <v>63.849999999999994</v>
      </c>
      <c r="O41" s="13">
        <v>5</v>
      </c>
      <c r="P41" s="14">
        <v>2.133</v>
      </c>
      <c r="Q41" s="13">
        <v>22</v>
      </c>
      <c r="R41" s="67">
        <f t="shared" si="1"/>
        <v>1.8333333333333333</v>
      </c>
      <c r="S41" s="14">
        <v>40.033000000000001</v>
      </c>
      <c r="T41" s="12">
        <f t="shared" si="23"/>
        <v>2.0777585392727849</v>
      </c>
      <c r="U41" s="12">
        <f t="shared" si="24"/>
        <v>49.86620494254683</v>
      </c>
      <c r="V41" s="12">
        <f t="shared" si="25"/>
        <v>6.9247717972930438</v>
      </c>
      <c r="W41" s="70">
        <f t="shared" si="2"/>
        <v>1.8196818181818182</v>
      </c>
      <c r="X41" s="13">
        <v>57</v>
      </c>
      <c r="Y41" s="67">
        <f t="shared" si="3"/>
        <v>4.75</v>
      </c>
      <c r="Z41" s="14">
        <v>39.366999999999997</v>
      </c>
      <c r="AA41" s="12">
        <f t="shared" si="4"/>
        <v>5.3832834881158513</v>
      </c>
      <c r="AB41" s="12">
        <f t="shared" si="5"/>
        <v>129.19880371478044</v>
      </c>
      <c r="AC41" s="12">
        <f t="shared" si="6"/>
        <v>17.941454202077431</v>
      </c>
      <c r="AD41" s="67">
        <f t="shared" si="7"/>
        <v>1.4951211835064526</v>
      </c>
      <c r="AE41" s="13">
        <v>3</v>
      </c>
      <c r="AF41" s="14">
        <v>3.1669999999999998</v>
      </c>
      <c r="AG41" s="10">
        <v>0</v>
      </c>
      <c r="AH41" s="12">
        <f t="shared" si="8"/>
        <v>0</v>
      </c>
      <c r="AI41" s="12">
        <f t="shared" si="9"/>
        <v>0</v>
      </c>
      <c r="AJ41" s="12">
        <f t="shared" si="10"/>
        <v>0</v>
      </c>
      <c r="AK41" s="13">
        <v>87</v>
      </c>
      <c r="AL41" s="52">
        <v>84.7</v>
      </c>
      <c r="AM41" s="61">
        <v>79</v>
      </c>
      <c r="AN41" s="16">
        <f t="shared" si="26"/>
        <v>7.4610420273886362</v>
      </c>
      <c r="AO41" s="48">
        <f t="shared" si="27"/>
        <v>179.06500865732727</v>
      </c>
      <c r="AP41" s="48">
        <f t="shared" si="28"/>
        <v>24.866225999370478</v>
      </c>
      <c r="AQ41" s="57">
        <v>22</v>
      </c>
      <c r="AR41" s="14">
        <v>11.217000000000001</v>
      </c>
      <c r="AS41" s="12">
        <f t="shared" si="29"/>
        <v>2.0777585392727849</v>
      </c>
      <c r="AT41" s="12">
        <f t="shared" si="30"/>
        <v>49.86620494254683</v>
      </c>
      <c r="AU41" s="12">
        <f t="shared" si="31"/>
        <v>6.9247717972930438</v>
      </c>
      <c r="AV41" s="13">
        <v>33</v>
      </c>
      <c r="AW41" s="14">
        <v>24.817</v>
      </c>
      <c r="AX41" s="12">
        <f t="shared" si="11"/>
        <v>3.1166378089091769</v>
      </c>
      <c r="AY41" s="12">
        <f t="shared" si="12"/>
        <v>74.799307413820245</v>
      </c>
      <c r="AZ41" s="12">
        <f t="shared" si="13"/>
        <v>10.387157695939566</v>
      </c>
      <c r="BA41" s="13">
        <v>0</v>
      </c>
      <c r="BB41" s="14">
        <v>0</v>
      </c>
      <c r="BC41" s="12">
        <f t="shared" si="14"/>
        <v>0</v>
      </c>
      <c r="BD41" s="12">
        <f t="shared" si="15"/>
        <v>0</v>
      </c>
      <c r="BE41" s="12">
        <f t="shared" si="16"/>
        <v>0</v>
      </c>
      <c r="BF41" s="13">
        <v>2</v>
      </c>
      <c r="BG41" s="52">
        <v>3.3330000000000002</v>
      </c>
      <c r="BH41" s="48">
        <f t="shared" si="17"/>
        <v>0.1888871399338895</v>
      </c>
      <c r="BI41" s="48">
        <f t="shared" si="18"/>
        <v>4.5332913584133481</v>
      </c>
      <c r="BJ41" s="48">
        <f t="shared" si="19"/>
        <v>0.62952470884482215</v>
      </c>
      <c r="BK41" s="9" t="str">
        <f>"40"</f>
        <v>40</v>
      </c>
      <c r="BL41" s="9" t="str">
        <f>"6060173120110 dobby"</f>
        <v>6060173120110 dobby</v>
      </c>
      <c r="BM41" s="9" t="str">
        <f>"1007 Z"</f>
        <v>1007 Z</v>
      </c>
      <c r="BN41" s="10">
        <f t="shared" si="32"/>
        <v>500.07870297497249</v>
      </c>
      <c r="BO41" s="11">
        <f t="shared" si="33"/>
        <v>88.2361111111111</v>
      </c>
    </row>
    <row r="42" spans="1:67">
      <c r="A42" s="15" t="s">
        <v>217</v>
      </c>
      <c r="B42" s="9" t="str">
        <f>"41"</f>
        <v>41</v>
      </c>
      <c r="C42" s="9" t="str">
        <f>"4040 11083 123 1-1"</f>
        <v>4040 11083 123 1-1</v>
      </c>
      <c r="D42" s="9" t="str">
        <f>"1024 Z"</f>
        <v>1024 Z</v>
      </c>
      <c r="E42" s="10">
        <f t="shared" si="20"/>
        <v>791.51307189055365</v>
      </c>
      <c r="F42" s="11">
        <f t="shared" si="21"/>
        <v>93.175972222222214</v>
      </c>
      <c r="G42" s="11">
        <v>670.86699999999996</v>
      </c>
      <c r="H42" s="11">
        <v>49.133000000000003</v>
      </c>
      <c r="I42" s="11">
        <v>531</v>
      </c>
      <c r="J42" s="65">
        <f t="shared" si="0"/>
        <v>11.181116666666666</v>
      </c>
      <c r="K42" s="11">
        <v>164.4</v>
      </c>
      <c r="L42" s="11">
        <v>4581080.12</v>
      </c>
      <c r="M42" s="11">
        <v>40252</v>
      </c>
      <c r="N42" s="11">
        <f t="shared" si="22"/>
        <v>113.81</v>
      </c>
      <c r="O42" s="13">
        <v>7</v>
      </c>
      <c r="P42" s="14">
        <v>2.2170000000000001</v>
      </c>
      <c r="Q42" s="13">
        <v>15</v>
      </c>
      <c r="R42" s="67">
        <f t="shared" si="1"/>
        <v>1.25</v>
      </c>
      <c r="S42" s="14">
        <v>28.933</v>
      </c>
      <c r="T42" s="12">
        <f t="shared" si="23"/>
        <v>1.3415475794755145</v>
      </c>
      <c r="U42" s="12">
        <f t="shared" si="24"/>
        <v>32.197141907412352</v>
      </c>
      <c r="V42" s="12">
        <f t="shared" si="25"/>
        <v>2.8248587570621471</v>
      </c>
      <c r="W42" s="70">
        <f t="shared" si="2"/>
        <v>1.9288666666666667</v>
      </c>
      <c r="X42" s="13">
        <v>19</v>
      </c>
      <c r="Y42" s="67">
        <f t="shared" si="3"/>
        <v>1.5833333333333333</v>
      </c>
      <c r="Z42" s="14">
        <v>15.9</v>
      </c>
      <c r="AA42" s="12">
        <f t="shared" si="4"/>
        <v>1.6992936006689852</v>
      </c>
      <c r="AB42" s="12">
        <f t="shared" si="5"/>
        <v>40.78304641605564</v>
      </c>
      <c r="AC42" s="12">
        <f t="shared" si="6"/>
        <v>3.5781544256120528</v>
      </c>
      <c r="AD42" s="67">
        <f t="shared" si="7"/>
        <v>0.29817953546767106</v>
      </c>
      <c r="AE42" s="13">
        <v>4</v>
      </c>
      <c r="AF42" s="14">
        <v>2.0830000000000002</v>
      </c>
      <c r="AG42" s="10">
        <v>0</v>
      </c>
      <c r="AH42" s="12">
        <f t="shared" si="8"/>
        <v>0</v>
      </c>
      <c r="AI42" s="12">
        <f t="shared" si="9"/>
        <v>0</v>
      </c>
      <c r="AJ42" s="12">
        <f t="shared" si="10"/>
        <v>0</v>
      </c>
      <c r="AK42" s="13">
        <v>45</v>
      </c>
      <c r="AL42" s="52">
        <v>49.133000000000003</v>
      </c>
      <c r="AM42" s="61">
        <v>34</v>
      </c>
      <c r="AN42" s="16">
        <f t="shared" si="26"/>
        <v>3.0408411801444997</v>
      </c>
      <c r="AO42" s="48">
        <f t="shared" si="27"/>
        <v>72.980188323467999</v>
      </c>
      <c r="AP42" s="48">
        <f t="shared" si="28"/>
        <v>6.4030131826741998</v>
      </c>
      <c r="AQ42" s="57">
        <v>6</v>
      </c>
      <c r="AR42" s="14">
        <v>3.8170000000000002</v>
      </c>
      <c r="AS42" s="12">
        <f t="shared" si="29"/>
        <v>0.53661903179020587</v>
      </c>
      <c r="AT42" s="12">
        <f t="shared" si="30"/>
        <v>12.87885676296494</v>
      </c>
      <c r="AU42" s="12">
        <f t="shared" si="31"/>
        <v>1.1299435028248588</v>
      </c>
      <c r="AV42" s="13">
        <v>4</v>
      </c>
      <c r="AW42" s="14">
        <v>3.9</v>
      </c>
      <c r="AX42" s="12">
        <f t="shared" si="11"/>
        <v>0.35774602119347054</v>
      </c>
      <c r="AY42" s="12">
        <f t="shared" si="12"/>
        <v>8.5859045086432939</v>
      </c>
      <c r="AZ42" s="12">
        <f t="shared" si="13"/>
        <v>0.75329566854990582</v>
      </c>
      <c r="BA42" s="13">
        <v>5</v>
      </c>
      <c r="BB42" s="14">
        <v>3.2669999999999999</v>
      </c>
      <c r="BC42" s="12">
        <f t="shared" si="14"/>
        <v>0.44718252649183821</v>
      </c>
      <c r="BD42" s="12">
        <f t="shared" si="15"/>
        <v>10.732380635804116</v>
      </c>
      <c r="BE42" s="12">
        <f t="shared" si="16"/>
        <v>0.94161958568738224</v>
      </c>
      <c r="BF42" s="13">
        <v>4</v>
      </c>
      <c r="BG42" s="52">
        <v>4.9169999999999998</v>
      </c>
      <c r="BH42" s="48">
        <f t="shared" si="17"/>
        <v>0.35774602119347054</v>
      </c>
      <c r="BI42" s="48">
        <f t="shared" si="18"/>
        <v>8.5859045086432939</v>
      </c>
      <c r="BJ42" s="48">
        <f t="shared" si="19"/>
        <v>0.75329566854990582</v>
      </c>
      <c r="BK42" s="9" t="str">
        <f>"41"</f>
        <v>41</v>
      </c>
      <c r="BL42" s="9" t="str">
        <f>"4040 11083 123 1-1"</f>
        <v>4040 11083 123 1-1</v>
      </c>
      <c r="BM42" s="9" t="str">
        <f>"1024 Z"</f>
        <v>1024 Z</v>
      </c>
      <c r="BN42" s="10">
        <f t="shared" si="32"/>
        <v>791.51307189055365</v>
      </c>
      <c r="BO42" s="11">
        <f t="shared" si="33"/>
        <v>93.175972222222214</v>
      </c>
    </row>
    <row r="43" spans="1:67">
      <c r="A43" s="15" t="s">
        <v>217</v>
      </c>
      <c r="B43" s="9" t="str">
        <f>"42"</f>
        <v>42</v>
      </c>
      <c r="C43" s="9" t="str">
        <f>"4040 11082 124 1-1"</f>
        <v>4040 11082 124 1-1</v>
      </c>
      <c r="D43" s="9" t="str">
        <f>"1025 Z"</f>
        <v>1025 Z</v>
      </c>
      <c r="E43" s="10">
        <f t="shared" si="20"/>
        <v>783.31690615759715</v>
      </c>
      <c r="F43" s="11">
        <f t="shared" si="21"/>
        <v>77.641639016856544</v>
      </c>
      <c r="G43" s="11">
        <v>559.03300000000002</v>
      </c>
      <c r="H43" s="11">
        <v>160.98400000000001</v>
      </c>
      <c r="I43" s="11">
        <v>437.9</v>
      </c>
      <c r="J43" s="65">
        <f t="shared" si="0"/>
        <v>9.3172166666666669</v>
      </c>
      <c r="K43" s="11">
        <v>137.30000000000001</v>
      </c>
      <c r="L43" s="11">
        <v>3899257.5</v>
      </c>
      <c r="M43" s="11">
        <v>33542</v>
      </c>
      <c r="N43" s="11">
        <f t="shared" si="22"/>
        <v>116.25</v>
      </c>
      <c r="O43" s="13">
        <v>16</v>
      </c>
      <c r="P43" s="14">
        <v>8.0670000000000002</v>
      </c>
      <c r="Q43" s="13">
        <v>28</v>
      </c>
      <c r="R43" s="67">
        <f t="shared" si="1"/>
        <v>2.3333333333333335</v>
      </c>
      <c r="S43" s="14">
        <v>49.216999999999999</v>
      </c>
      <c r="T43" s="12">
        <f t="shared" si="23"/>
        <v>3.0051893179830169</v>
      </c>
      <c r="U43" s="12">
        <f t="shared" si="24"/>
        <v>72.124543631592402</v>
      </c>
      <c r="V43" s="12">
        <f t="shared" si="25"/>
        <v>6.394153916419274</v>
      </c>
      <c r="W43" s="70">
        <f t="shared" si="2"/>
        <v>1.7577499999999999</v>
      </c>
      <c r="X43" s="13">
        <v>69</v>
      </c>
      <c r="Y43" s="67">
        <f t="shared" si="3"/>
        <v>5.75</v>
      </c>
      <c r="Z43" s="14">
        <v>92.417000000000002</v>
      </c>
      <c r="AA43" s="12">
        <f t="shared" si="4"/>
        <v>7.4056451050295777</v>
      </c>
      <c r="AB43" s="12">
        <f t="shared" si="5"/>
        <v>177.73548252070987</v>
      </c>
      <c r="AC43" s="12">
        <f t="shared" si="6"/>
        <v>15.757022151176068</v>
      </c>
      <c r="AD43" s="67">
        <f t="shared" si="7"/>
        <v>1.3130851792646723</v>
      </c>
      <c r="AE43" s="13">
        <v>5</v>
      </c>
      <c r="AF43" s="14">
        <v>11.282999999999999</v>
      </c>
      <c r="AG43" s="10">
        <v>0</v>
      </c>
      <c r="AH43" s="12">
        <f t="shared" si="8"/>
        <v>0</v>
      </c>
      <c r="AI43" s="12">
        <f t="shared" si="9"/>
        <v>0</v>
      </c>
      <c r="AJ43" s="12">
        <f t="shared" si="10"/>
        <v>0</v>
      </c>
      <c r="AK43" s="13">
        <v>118</v>
      </c>
      <c r="AL43" s="52">
        <v>160.98400000000001</v>
      </c>
      <c r="AM43" s="61">
        <v>97</v>
      </c>
      <c r="AN43" s="16">
        <f t="shared" si="26"/>
        <v>10.410834423012595</v>
      </c>
      <c r="AO43" s="48">
        <f t="shared" si="27"/>
        <v>249.86002615230228</v>
      </c>
      <c r="AP43" s="48">
        <f t="shared" si="28"/>
        <v>22.151176067595344</v>
      </c>
      <c r="AQ43" s="57">
        <v>28</v>
      </c>
      <c r="AR43" s="14">
        <v>42.667000000000002</v>
      </c>
      <c r="AS43" s="12">
        <f t="shared" si="29"/>
        <v>3.0051893179830169</v>
      </c>
      <c r="AT43" s="12">
        <f t="shared" si="30"/>
        <v>72.124543631592402</v>
      </c>
      <c r="AU43" s="12">
        <f t="shared" si="31"/>
        <v>6.394153916419274</v>
      </c>
      <c r="AV43" s="13">
        <v>21</v>
      </c>
      <c r="AW43" s="14">
        <v>24.082999999999998</v>
      </c>
      <c r="AX43" s="12">
        <f t="shared" si="11"/>
        <v>2.2538919884872626</v>
      </c>
      <c r="AY43" s="12">
        <f t="shared" si="12"/>
        <v>54.093407723694305</v>
      </c>
      <c r="AZ43" s="12">
        <f t="shared" si="13"/>
        <v>4.7956154373144555</v>
      </c>
      <c r="BA43" s="13">
        <v>13</v>
      </c>
      <c r="BB43" s="14">
        <v>16.817</v>
      </c>
      <c r="BC43" s="12">
        <f t="shared" si="14"/>
        <v>1.3952664690635437</v>
      </c>
      <c r="BD43" s="12">
        <f t="shared" si="15"/>
        <v>33.486395257525047</v>
      </c>
      <c r="BE43" s="12">
        <f t="shared" si="16"/>
        <v>2.9687143183375202</v>
      </c>
      <c r="BF43" s="13">
        <v>7</v>
      </c>
      <c r="BG43" s="52">
        <v>8.85</v>
      </c>
      <c r="BH43" s="48">
        <f t="shared" si="17"/>
        <v>0.75129732949575423</v>
      </c>
      <c r="BI43" s="48">
        <f t="shared" si="18"/>
        <v>18.031135907898101</v>
      </c>
      <c r="BJ43" s="48">
        <f t="shared" si="19"/>
        <v>1.5985384791048185</v>
      </c>
      <c r="BK43" s="9" t="str">
        <f>"42"</f>
        <v>42</v>
      </c>
      <c r="BL43" s="9" t="str">
        <f>"4040 11082 124 1-1"</f>
        <v>4040 11082 124 1-1</v>
      </c>
      <c r="BM43" s="9" t="str">
        <f>"1025 Z"</f>
        <v>1025 Z</v>
      </c>
      <c r="BN43" s="10">
        <f t="shared" si="32"/>
        <v>783.31690615759715</v>
      </c>
      <c r="BO43" s="11">
        <f t="shared" si="33"/>
        <v>77.641639016856544</v>
      </c>
    </row>
    <row r="44" spans="1:67">
      <c r="A44" s="15" t="s">
        <v>217</v>
      </c>
      <c r="B44" s="9" t="str">
        <f>"43"</f>
        <v>43</v>
      </c>
      <c r="C44" s="9" t="str">
        <f>"6060 164113 128 1-1"</f>
        <v>6060 164113 128 1-1</v>
      </c>
      <c r="D44" s="9" t="str">
        <f>"1164"</f>
        <v>1164</v>
      </c>
      <c r="E44" s="10">
        <f t="shared" si="20"/>
        <v>536.59266238332418</v>
      </c>
      <c r="F44" s="11">
        <f t="shared" si="21"/>
        <v>80.780565987422492</v>
      </c>
      <c r="G44" s="11">
        <v>581.63300000000004</v>
      </c>
      <c r="H44" s="11">
        <v>138.38300000000001</v>
      </c>
      <c r="I44" s="11">
        <v>312.10000000000002</v>
      </c>
      <c r="J44" s="65">
        <f t="shared" si="0"/>
        <v>9.6938833333333339</v>
      </c>
      <c r="K44" s="11">
        <v>71.099999999999994</v>
      </c>
      <c r="L44" s="11">
        <v>3275526.28</v>
      </c>
      <c r="M44" s="11">
        <v>34898</v>
      </c>
      <c r="N44" s="11">
        <f t="shared" si="22"/>
        <v>93.86</v>
      </c>
      <c r="O44" s="13">
        <v>13</v>
      </c>
      <c r="P44" s="14">
        <v>24.332999999999998</v>
      </c>
      <c r="Q44" s="13">
        <v>17</v>
      </c>
      <c r="R44" s="67">
        <f t="shared" si="1"/>
        <v>1.4166666666666667</v>
      </c>
      <c r="S44" s="14">
        <v>66.617000000000004</v>
      </c>
      <c r="T44" s="12">
        <f t="shared" si="23"/>
        <v>1.7536831644696913</v>
      </c>
      <c r="U44" s="12">
        <f t="shared" si="24"/>
        <v>42.088395947272588</v>
      </c>
      <c r="V44" s="12">
        <f t="shared" si="25"/>
        <v>5.446972124319128</v>
      </c>
      <c r="W44" s="70">
        <f t="shared" si="2"/>
        <v>3.9186470588235296</v>
      </c>
      <c r="X44" s="13">
        <v>44</v>
      </c>
      <c r="Y44" s="67">
        <f t="shared" si="3"/>
        <v>3.6666666666666665</v>
      </c>
      <c r="Z44" s="14">
        <v>23.966999999999999</v>
      </c>
      <c r="AA44" s="12">
        <f t="shared" si="4"/>
        <v>4.538944660980377</v>
      </c>
      <c r="AB44" s="12">
        <f t="shared" si="5"/>
        <v>108.93467186352906</v>
      </c>
      <c r="AC44" s="12">
        <f t="shared" si="6"/>
        <v>14.098045498237743</v>
      </c>
      <c r="AD44" s="67">
        <f t="shared" si="7"/>
        <v>1.1748371248531453</v>
      </c>
      <c r="AE44" s="13">
        <v>2</v>
      </c>
      <c r="AF44" s="14">
        <v>23.466000000000001</v>
      </c>
      <c r="AG44" s="10">
        <v>0</v>
      </c>
      <c r="AH44" s="12">
        <f t="shared" si="8"/>
        <v>0</v>
      </c>
      <c r="AI44" s="12">
        <f t="shared" si="9"/>
        <v>0</v>
      </c>
      <c r="AJ44" s="12">
        <f t="shared" si="10"/>
        <v>0</v>
      </c>
      <c r="AK44" s="13">
        <v>76</v>
      </c>
      <c r="AL44" s="52">
        <v>138.38300000000001</v>
      </c>
      <c r="AM44" s="61">
        <v>61</v>
      </c>
      <c r="AN44" s="16">
        <f t="shared" si="26"/>
        <v>6.2926278254500687</v>
      </c>
      <c r="AO44" s="48">
        <f t="shared" si="27"/>
        <v>151.02306781080165</v>
      </c>
      <c r="AP44" s="48">
        <f t="shared" si="28"/>
        <v>19.54501762255687</v>
      </c>
      <c r="AQ44" s="57">
        <v>25</v>
      </c>
      <c r="AR44" s="14">
        <v>12</v>
      </c>
      <c r="AS44" s="12">
        <f t="shared" si="29"/>
        <v>2.5789458301024872</v>
      </c>
      <c r="AT44" s="12">
        <f t="shared" si="30"/>
        <v>61.894699922459694</v>
      </c>
      <c r="AU44" s="12">
        <f t="shared" si="31"/>
        <v>8.0102531239987176</v>
      </c>
      <c r="AV44" s="13">
        <v>16</v>
      </c>
      <c r="AW44" s="14">
        <v>9</v>
      </c>
      <c r="AX44" s="12">
        <f t="shared" si="11"/>
        <v>1.6505253312655919</v>
      </c>
      <c r="AY44" s="12">
        <f t="shared" si="12"/>
        <v>39.612607950374205</v>
      </c>
      <c r="AZ44" s="12">
        <f t="shared" si="13"/>
        <v>5.1265619993591791</v>
      </c>
      <c r="BA44" s="13">
        <v>1</v>
      </c>
      <c r="BB44" s="14">
        <v>0.33300000000000002</v>
      </c>
      <c r="BC44" s="12">
        <f t="shared" si="14"/>
        <v>0.10315783320409949</v>
      </c>
      <c r="BD44" s="12">
        <f t="shared" si="15"/>
        <v>2.4757879968983878</v>
      </c>
      <c r="BE44" s="12">
        <f t="shared" si="16"/>
        <v>0.32041012495994869</v>
      </c>
      <c r="BF44" s="13">
        <v>2</v>
      </c>
      <c r="BG44" s="52">
        <v>2.633</v>
      </c>
      <c r="BH44" s="48">
        <f t="shared" si="17"/>
        <v>0.20631566640819898</v>
      </c>
      <c r="BI44" s="48">
        <f t="shared" si="18"/>
        <v>4.9515759937967756</v>
      </c>
      <c r="BJ44" s="48">
        <f t="shared" si="19"/>
        <v>0.64082024991989739</v>
      </c>
      <c r="BK44" s="9" t="str">
        <f>"43"</f>
        <v>43</v>
      </c>
      <c r="BL44" s="9" t="str">
        <f>"6060 164113 128 1-1"</f>
        <v>6060 164113 128 1-1</v>
      </c>
      <c r="BM44" s="9" t="str">
        <f>"1164"</f>
        <v>1164</v>
      </c>
      <c r="BN44" s="10">
        <f t="shared" si="32"/>
        <v>536.59266238332418</v>
      </c>
      <c r="BO44" s="11">
        <f t="shared" si="33"/>
        <v>80.780565987422492</v>
      </c>
    </row>
    <row r="45" spans="1:67">
      <c r="A45" s="15" t="s">
        <v>217</v>
      </c>
      <c r="B45" s="9" t="str">
        <f>"44"</f>
        <v>44</v>
      </c>
      <c r="C45" s="9" t="str">
        <f>"6060 18587 123 4-1"</f>
        <v>6060 18587 123 4-1</v>
      </c>
      <c r="D45" s="9" t="str">
        <f>"1172"</f>
        <v>1172</v>
      </c>
      <c r="E45" s="10">
        <f t="shared" si="20"/>
        <v>611.33490368386867</v>
      </c>
      <c r="F45" s="11">
        <f t="shared" si="21"/>
        <v>83.196805555555557</v>
      </c>
      <c r="G45" s="11">
        <v>599.01700000000005</v>
      </c>
      <c r="H45" s="11">
        <v>120.983</v>
      </c>
      <c r="I45" s="11">
        <v>366.2</v>
      </c>
      <c r="J45" s="65">
        <f t="shared" si="0"/>
        <v>9.9836166666666681</v>
      </c>
      <c r="K45" s="11">
        <v>106.9</v>
      </c>
      <c r="L45" s="11">
        <v>3390314.53</v>
      </c>
      <c r="M45" s="11">
        <v>35941</v>
      </c>
      <c r="N45" s="11">
        <f t="shared" si="22"/>
        <v>94.33</v>
      </c>
      <c r="O45" s="13">
        <v>5</v>
      </c>
      <c r="P45" s="14">
        <v>2.2330000000000001</v>
      </c>
      <c r="Q45" s="13">
        <v>41</v>
      </c>
      <c r="R45" s="67">
        <f t="shared" si="1"/>
        <v>3.4166666666666665</v>
      </c>
      <c r="S45" s="14">
        <v>82.632999999999996</v>
      </c>
      <c r="T45" s="12">
        <f t="shared" si="23"/>
        <v>4.106728189684099</v>
      </c>
      <c r="U45" s="12">
        <f t="shared" si="24"/>
        <v>98.56147655241837</v>
      </c>
      <c r="V45" s="12">
        <f t="shared" si="25"/>
        <v>11.196067722555981</v>
      </c>
      <c r="W45" s="70">
        <f t="shared" si="2"/>
        <v>2.0154390243902438</v>
      </c>
      <c r="X45" s="13">
        <v>44</v>
      </c>
      <c r="Y45" s="67">
        <f t="shared" si="3"/>
        <v>3.6666666666666665</v>
      </c>
      <c r="Z45" s="14">
        <v>34.799999999999997</v>
      </c>
      <c r="AA45" s="12">
        <f t="shared" si="4"/>
        <v>4.4072204962463495</v>
      </c>
      <c r="AB45" s="12">
        <f t="shared" si="5"/>
        <v>105.7732919099124</v>
      </c>
      <c r="AC45" s="12">
        <f t="shared" si="6"/>
        <v>12.015292190060077</v>
      </c>
      <c r="AD45" s="67">
        <f t="shared" si="7"/>
        <v>1.0012743491716731</v>
      </c>
      <c r="AE45" s="13">
        <v>1</v>
      </c>
      <c r="AF45" s="14">
        <v>1.3169999999999999</v>
      </c>
      <c r="AG45" s="10">
        <v>0</v>
      </c>
      <c r="AH45" s="12">
        <f t="shared" si="8"/>
        <v>0</v>
      </c>
      <c r="AI45" s="12">
        <f t="shared" si="9"/>
        <v>0</v>
      </c>
      <c r="AJ45" s="12">
        <f t="shared" si="10"/>
        <v>0</v>
      </c>
      <c r="AK45" s="13">
        <v>91</v>
      </c>
      <c r="AL45" s="52">
        <v>120.983</v>
      </c>
      <c r="AM45" s="61">
        <v>85</v>
      </c>
      <c r="AN45" s="16">
        <f t="shared" si="26"/>
        <v>8.5139486859304494</v>
      </c>
      <c r="AO45" s="48">
        <f t="shared" si="27"/>
        <v>204.33476846233077</v>
      </c>
      <c r="AP45" s="48">
        <f t="shared" si="28"/>
        <v>23.211359912616057</v>
      </c>
      <c r="AQ45" s="57">
        <v>21</v>
      </c>
      <c r="AR45" s="14">
        <v>17.567</v>
      </c>
      <c r="AS45" s="12">
        <f t="shared" si="29"/>
        <v>2.1034461459357581</v>
      </c>
      <c r="AT45" s="12">
        <f t="shared" si="30"/>
        <v>50.48270750245819</v>
      </c>
      <c r="AU45" s="12">
        <f t="shared" si="31"/>
        <v>5.7345712725286733</v>
      </c>
      <c r="AV45" s="13">
        <v>20</v>
      </c>
      <c r="AW45" s="14">
        <v>14.8</v>
      </c>
      <c r="AX45" s="12">
        <f t="shared" si="11"/>
        <v>2.003282043748341</v>
      </c>
      <c r="AY45" s="12">
        <f t="shared" si="12"/>
        <v>48.078769049960179</v>
      </c>
      <c r="AZ45" s="12">
        <f t="shared" si="13"/>
        <v>5.4614964500273073</v>
      </c>
      <c r="BA45" s="13">
        <v>2</v>
      </c>
      <c r="BB45" s="14">
        <v>1.5669999999999999</v>
      </c>
      <c r="BC45" s="12">
        <f t="shared" si="14"/>
        <v>0.20032820437483409</v>
      </c>
      <c r="BD45" s="12">
        <f t="shared" si="15"/>
        <v>4.8078769049960179</v>
      </c>
      <c r="BE45" s="12">
        <f t="shared" si="16"/>
        <v>0.54614964500273078</v>
      </c>
      <c r="BF45" s="13">
        <v>1</v>
      </c>
      <c r="BG45" s="52">
        <v>0.86699999999999999</v>
      </c>
      <c r="BH45" s="48">
        <f t="shared" si="17"/>
        <v>0.10016410218741705</v>
      </c>
      <c r="BI45" s="48">
        <f t="shared" si="18"/>
        <v>2.403938452498009</v>
      </c>
      <c r="BJ45" s="48">
        <f t="shared" si="19"/>
        <v>0.27307482250136539</v>
      </c>
      <c r="BK45" s="9" t="str">
        <f>"44"</f>
        <v>44</v>
      </c>
      <c r="BL45" s="9" t="str">
        <f>"6060 18587 123 4-1"</f>
        <v>6060 18587 123 4-1</v>
      </c>
      <c r="BM45" s="9" t="str">
        <f>"1172"</f>
        <v>1172</v>
      </c>
      <c r="BN45" s="10">
        <f t="shared" si="32"/>
        <v>611.33490368386867</v>
      </c>
      <c r="BO45" s="11">
        <f t="shared" si="33"/>
        <v>83.196805555555557</v>
      </c>
    </row>
    <row r="46" spans="1:67">
      <c r="A46" s="15" t="s">
        <v>217</v>
      </c>
      <c r="B46" s="9" t="str">
        <f>"45"</f>
        <v>45</v>
      </c>
      <c r="C46" s="9" t="str">
        <f>"8080 8080 86 1-1"</f>
        <v>8080 8080 86 1-1</v>
      </c>
      <c r="D46" s="9" t="str">
        <f>"1073 Z"</f>
        <v>1073 Z</v>
      </c>
      <c r="E46" s="10">
        <f t="shared" si="20"/>
        <v>796.62929850575665</v>
      </c>
      <c r="F46" s="11">
        <f t="shared" si="21"/>
        <v>86.266249999999999</v>
      </c>
      <c r="G46" s="11">
        <v>621.11699999999996</v>
      </c>
      <c r="H46" s="11">
        <v>98.882999999999996</v>
      </c>
      <c r="I46" s="11">
        <v>494.8</v>
      </c>
      <c r="J46" s="65">
        <f t="shared" si="0"/>
        <v>10.351949999999999</v>
      </c>
      <c r="K46" s="11">
        <v>157.19999999999999</v>
      </c>
      <c r="L46" s="11">
        <v>2381733.9700000002</v>
      </c>
      <c r="M46" s="11">
        <v>37267</v>
      </c>
      <c r="N46" s="11">
        <f t="shared" si="22"/>
        <v>63.910000000000004</v>
      </c>
      <c r="O46" s="13">
        <v>3</v>
      </c>
      <c r="P46" s="14">
        <v>1.333</v>
      </c>
      <c r="Q46" s="13">
        <v>29</v>
      </c>
      <c r="R46" s="67">
        <f t="shared" si="1"/>
        <v>2.4166666666666665</v>
      </c>
      <c r="S46" s="14">
        <v>53.35</v>
      </c>
      <c r="T46" s="12">
        <f t="shared" si="23"/>
        <v>2.8014045662894431</v>
      </c>
      <c r="U46" s="12">
        <f t="shared" si="24"/>
        <v>67.233709590946631</v>
      </c>
      <c r="V46" s="12">
        <f t="shared" si="25"/>
        <v>5.8609539207760708</v>
      </c>
      <c r="W46" s="70">
        <f t="shared" si="2"/>
        <v>1.8396551724137931</v>
      </c>
      <c r="X46" s="13">
        <v>61</v>
      </c>
      <c r="Y46" s="67">
        <f t="shared" si="3"/>
        <v>5.083333333333333</v>
      </c>
      <c r="Z46" s="14">
        <v>37.933</v>
      </c>
      <c r="AA46" s="12">
        <f t="shared" si="4"/>
        <v>5.8926096049536563</v>
      </c>
      <c r="AB46" s="12">
        <f t="shared" si="5"/>
        <v>141.42263051888776</v>
      </c>
      <c r="AC46" s="12">
        <f t="shared" si="6"/>
        <v>12.328213419563459</v>
      </c>
      <c r="AD46" s="67">
        <f t="shared" si="7"/>
        <v>1.027351118296955</v>
      </c>
      <c r="AE46" s="13">
        <v>6</v>
      </c>
      <c r="AF46" s="14">
        <v>6.2670000000000003</v>
      </c>
      <c r="AG46" s="10">
        <v>2</v>
      </c>
      <c r="AH46" s="12">
        <f t="shared" si="8"/>
        <v>0.19320031491651332</v>
      </c>
      <c r="AI46" s="12">
        <f t="shared" si="9"/>
        <v>4.6368075579963195</v>
      </c>
      <c r="AJ46" s="12">
        <f t="shared" si="10"/>
        <v>0.40420371867421179</v>
      </c>
      <c r="AK46" s="13">
        <v>99</v>
      </c>
      <c r="AL46" s="52">
        <v>98.882999999999996</v>
      </c>
      <c r="AM46" s="61">
        <v>92</v>
      </c>
      <c r="AN46" s="16">
        <f t="shared" si="26"/>
        <v>8.8872144861596123</v>
      </c>
      <c r="AO46" s="48">
        <f t="shared" si="27"/>
        <v>213.29314766783071</v>
      </c>
      <c r="AP46" s="48">
        <f t="shared" si="28"/>
        <v>18.593371059013741</v>
      </c>
      <c r="AQ46" s="57">
        <v>32</v>
      </c>
      <c r="AR46" s="14">
        <v>21.016999999999999</v>
      </c>
      <c r="AS46" s="12">
        <f t="shared" si="29"/>
        <v>3.0912050386642131</v>
      </c>
      <c r="AT46" s="12">
        <f t="shared" si="30"/>
        <v>74.188920927941112</v>
      </c>
      <c r="AU46" s="12">
        <f t="shared" si="31"/>
        <v>6.4672594987873886</v>
      </c>
      <c r="AV46" s="13">
        <v>20</v>
      </c>
      <c r="AW46" s="14">
        <v>10.632999999999999</v>
      </c>
      <c r="AX46" s="12">
        <f t="shared" si="11"/>
        <v>1.9320031491651333</v>
      </c>
      <c r="AY46" s="12">
        <f t="shared" si="12"/>
        <v>46.368075579963197</v>
      </c>
      <c r="AZ46" s="12">
        <f t="shared" si="13"/>
        <v>4.0420371867421183</v>
      </c>
      <c r="BA46" s="13">
        <v>3</v>
      </c>
      <c r="BB46" s="14">
        <v>2.1829999999999998</v>
      </c>
      <c r="BC46" s="12">
        <f t="shared" si="14"/>
        <v>0.28980047237476997</v>
      </c>
      <c r="BD46" s="12">
        <f t="shared" si="15"/>
        <v>6.9552113369944797</v>
      </c>
      <c r="BE46" s="12">
        <f t="shared" si="16"/>
        <v>0.60630557801131768</v>
      </c>
      <c r="BF46" s="13">
        <v>6</v>
      </c>
      <c r="BG46" s="52">
        <v>4.0999999999999996</v>
      </c>
      <c r="BH46" s="48">
        <f t="shared" si="17"/>
        <v>0.57960094474953994</v>
      </c>
      <c r="BI46" s="48">
        <f t="shared" si="18"/>
        <v>13.910422673988959</v>
      </c>
      <c r="BJ46" s="48">
        <f t="shared" si="19"/>
        <v>1.2126111560226354</v>
      </c>
      <c r="BK46" s="9" t="str">
        <f>"45"</f>
        <v>45</v>
      </c>
      <c r="BL46" s="9" t="str">
        <f>"8080 8080 86 1-1"</f>
        <v>8080 8080 86 1-1</v>
      </c>
      <c r="BM46" s="9" t="str">
        <f>"1073 Z"</f>
        <v>1073 Z</v>
      </c>
      <c r="BN46" s="10">
        <f t="shared" si="32"/>
        <v>796.62929850575665</v>
      </c>
      <c r="BO46" s="11">
        <f t="shared" si="33"/>
        <v>86.266249999999999</v>
      </c>
    </row>
    <row r="47" spans="1:67">
      <c r="A47" s="15" t="s">
        <v>217</v>
      </c>
      <c r="B47" s="9" t="str">
        <f>"46"</f>
        <v>46</v>
      </c>
      <c r="C47" s="9" t="str">
        <f>"4040 127121 106 2-1"</f>
        <v>4040 127121 106 2-1</v>
      </c>
      <c r="D47" s="9" t="str">
        <f>"1049 Z"</f>
        <v>1049 Z</v>
      </c>
      <c r="E47" s="10">
        <f t="shared" si="20"/>
        <v>617.74471699570154</v>
      </c>
      <c r="F47" s="11">
        <f t="shared" si="21"/>
        <v>91.731527777777771</v>
      </c>
      <c r="G47" s="11">
        <v>660.46699999999998</v>
      </c>
      <c r="H47" s="11">
        <v>59.533000000000001</v>
      </c>
      <c r="I47" s="11">
        <v>408</v>
      </c>
      <c r="J47" s="65">
        <f t="shared" si="0"/>
        <v>11.007783333333332</v>
      </c>
      <c r="K47" s="11">
        <v>86.4</v>
      </c>
      <c r="L47" s="11">
        <v>2646754.12</v>
      </c>
      <c r="M47" s="11">
        <v>39628</v>
      </c>
      <c r="N47" s="11">
        <f t="shared" si="22"/>
        <v>66.790000000000006</v>
      </c>
      <c r="O47" s="13">
        <v>7</v>
      </c>
      <c r="P47" s="14">
        <v>5.0830000000000002</v>
      </c>
      <c r="Q47" s="13">
        <v>21</v>
      </c>
      <c r="R47" s="67">
        <f t="shared" si="1"/>
        <v>1.75</v>
      </c>
      <c r="S47" s="14">
        <v>31.466999999999999</v>
      </c>
      <c r="T47" s="12">
        <f t="shared" si="23"/>
        <v>1.907741037780843</v>
      </c>
      <c r="U47" s="12">
        <f t="shared" si="24"/>
        <v>45.785784906740233</v>
      </c>
      <c r="V47" s="12">
        <f t="shared" si="25"/>
        <v>5.1470588235294121</v>
      </c>
      <c r="W47" s="70">
        <f t="shared" si="2"/>
        <v>1.4984285714285714</v>
      </c>
      <c r="X47" s="13">
        <v>26</v>
      </c>
      <c r="Y47" s="67">
        <f t="shared" si="3"/>
        <v>2.1666666666666665</v>
      </c>
      <c r="Z47" s="14">
        <v>22.9</v>
      </c>
      <c r="AA47" s="12">
        <f t="shared" si="4"/>
        <v>2.3619650943953294</v>
      </c>
      <c r="AB47" s="12">
        <f t="shared" si="5"/>
        <v>56.687162265487906</v>
      </c>
      <c r="AC47" s="12">
        <f t="shared" si="6"/>
        <v>6.3725490196078427</v>
      </c>
      <c r="AD47" s="67">
        <f t="shared" si="7"/>
        <v>0.53104575163398693</v>
      </c>
      <c r="AE47" s="13">
        <v>1</v>
      </c>
      <c r="AF47" s="14">
        <v>8.3000000000000004E-2</v>
      </c>
      <c r="AG47" s="10">
        <v>0</v>
      </c>
      <c r="AH47" s="12">
        <f t="shared" si="8"/>
        <v>0</v>
      </c>
      <c r="AI47" s="12">
        <f t="shared" si="9"/>
        <v>0</v>
      </c>
      <c r="AJ47" s="12">
        <f t="shared" si="10"/>
        <v>0</v>
      </c>
      <c r="AK47" s="13">
        <v>55</v>
      </c>
      <c r="AL47" s="52">
        <v>59.533000000000001</v>
      </c>
      <c r="AM47" s="61">
        <v>47</v>
      </c>
      <c r="AN47" s="16">
        <f t="shared" si="26"/>
        <v>4.2697061321761725</v>
      </c>
      <c r="AO47" s="48">
        <f t="shared" si="27"/>
        <v>102.47294717222813</v>
      </c>
      <c r="AP47" s="48">
        <f t="shared" si="28"/>
        <v>11.519607843137255</v>
      </c>
      <c r="AQ47" s="57">
        <v>14</v>
      </c>
      <c r="AR47" s="14">
        <v>9.6</v>
      </c>
      <c r="AS47" s="12">
        <f t="shared" si="29"/>
        <v>1.2718273585205619</v>
      </c>
      <c r="AT47" s="12">
        <f t="shared" si="30"/>
        <v>30.523856604493488</v>
      </c>
      <c r="AU47" s="12">
        <f t="shared" si="31"/>
        <v>3.4313725490196076</v>
      </c>
      <c r="AV47" s="13">
        <v>11</v>
      </c>
      <c r="AW47" s="14">
        <v>13.067</v>
      </c>
      <c r="AX47" s="12">
        <f t="shared" si="11"/>
        <v>0.99929292455187013</v>
      </c>
      <c r="AY47" s="12">
        <f t="shared" si="12"/>
        <v>23.983030189244882</v>
      </c>
      <c r="AZ47" s="12">
        <f t="shared" si="13"/>
        <v>2.6960784313725492</v>
      </c>
      <c r="BA47" s="13">
        <v>0</v>
      </c>
      <c r="BB47" s="14">
        <v>0</v>
      </c>
      <c r="BC47" s="12">
        <f t="shared" si="14"/>
        <v>0</v>
      </c>
      <c r="BD47" s="12">
        <f t="shared" si="15"/>
        <v>0</v>
      </c>
      <c r="BE47" s="12">
        <f t="shared" si="16"/>
        <v>0</v>
      </c>
      <c r="BF47" s="13">
        <v>1</v>
      </c>
      <c r="BG47" s="52">
        <v>0.23300000000000001</v>
      </c>
      <c r="BH47" s="48">
        <f t="shared" si="17"/>
        <v>9.084481132289729E-2</v>
      </c>
      <c r="BI47" s="48">
        <f t="shared" si="18"/>
        <v>2.180275471749535</v>
      </c>
      <c r="BJ47" s="48">
        <f t="shared" si="19"/>
        <v>0.24509803921568626</v>
      </c>
      <c r="BK47" s="9" t="str">
        <f>"46"</f>
        <v>46</v>
      </c>
      <c r="BL47" s="9" t="str">
        <f>"4040 127121 106 2-1"</f>
        <v>4040 127121 106 2-1</v>
      </c>
      <c r="BM47" s="9" t="str">
        <f>"1049 Z"</f>
        <v>1049 Z</v>
      </c>
      <c r="BN47" s="10">
        <f t="shared" si="32"/>
        <v>617.74471699570154</v>
      </c>
      <c r="BO47" s="11">
        <f t="shared" si="33"/>
        <v>91.731527777777771</v>
      </c>
    </row>
    <row r="48" spans="1:67">
      <c r="A48" s="15" t="s">
        <v>217</v>
      </c>
      <c r="B48" s="9" t="str">
        <f>"47"</f>
        <v>47</v>
      </c>
      <c r="C48" s="9" t="str">
        <f>"8080 10288 46x2 1-1"</f>
        <v>8080 10288 46x2 1-1</v>
      </c>
      <c r="D48" s="9" t="str">
        <f>"1071 Z"</f>
        <v>1071 Z</v>
      </c>
      <c r="E48" s="10">
        <f t="shared" si="20"/>
        <v>797.52086389916326</v>
      </c>
      <c r="F48" s="11">
        <f t="shared" si="21"/>
        <v>87.754583333333329</v>
      </c>
      <c r="G48" s="11">
        <v>631.83299999999997</v>
      </c>
      <c r="H48" s="11">
        <v>88.167000000000002</v>
      </c>
      <c r="I48" s="11">
        <v>503.9</v>
      </c>
      <c r="J48" s="65">
        <f t="shared" si="0"/>
        <v>10.53055</v>
      </c>
      <c r="K48" s="11">
        <v>145.4</v>
      </c>
      <c r="L48" s="11">
        <v>2341700.7000000002</v>
      </c>
      <c r="M48" s="11">
        <v>37910</v>
      </c>
      <c r="N48" s="11">
        <f t="shared" si="22"/>
        <v>61.77</v>
      </c>
      <c r="O48" s="13">
        <v>8</v>
      </c>
      <c r="P48" s="14">
        <v>5.8</v>
      </c>
      <c r="Q48" s="13">
        <v>15</v>
      </c>
      <c r="R48" s="67">
        <f t="shared" si="1"/>
        <v>1.25</v>
      </c>
      <c r="S48" s="14">
        <v>30.3</v>
      </c>
      <c r="T48" s="12">
        <f t="shared" si="23"/>
        <v>1.4244270242295038</v>
      </c>
      <c r="U48" s="12">
        <f t="shared" si="24"/>
        <v>34.186248581508089</v>
      </c>
      <c r="V48" s="12">
        <f t="shared" si="25"/>
        <v>2.9767811073625721</v>
      </c>
      <c r="W48" s="70">
        <f t="shared" si="2"/>
        <v>2.02</v>
      </c>
      <c r="X48" s="13">
        <v>62</v>
      </c>
      <c r="Y48" s="67">
        <f t="shared" si="3"/>
        <v>5.166666666666667</v>
      </c>
      <c r="Z48" s="14">
        <v>42.866999999999997</v>
      </c>
      <c r="AA48" s="12">
        <f t="shared" si="4"/>
        <v>5.8876317001486154</v>
      </c>
      <c r="AB48" s="12">
        <f t="shared" si="5"/>
        <v>141.30316080356678</v>
      </c>
      <c r="AC48" s="12">
        <f t="shared" si="6"/>
        <v>12.304028577098631</v>
      </c>
      <c r="AD48" s="67">
        <f t="shared" si="7"/>
        <v>1.0253357147582192</v>
      </c>
      <c r="AE48" s="13">
        <v>11</v>
      </c>
      <c r="AF48" s="14">
        <v>9.1999999999999993</v>
      </c>
      <c r="AG48" s="10">
        <v>0</v>
      </c>
      <c r="AH48" s="12">
        <f t="shared" si="8"/>
        <v>0</v>
      </c>
      <c r="AI48" s="12">
        <f t="shared" si="9"/>
        <v>0</v>
      </c>
      <c r="AJ48" s="12">
        <f t="shared" si="10"/>
        <v>0</v>
      </c>
      <c r="AK48" s="13">
        <v>96</v>
      </c>
      <c r="AL48" s="52">
        <v>88.167000000000002</v>
      </c>
      <c r="AM48" s="61">
        <v>77</v>
      </c>
      <c r="AN48" s="16">
        <f t="shared" si="26"/>
        <v>7.3120587243781197</v>
      </c>
      <c r="AO48" s="48">
        <f t="shared" si="27"/>
        <v>175.48940938507485</v>
      </c>
      <c r="AP48" s="48">
        <f t="shared" si="28"/>
        <v>15.280809684461204</v>
      </c>
      <c r="AQ48" s="57">
        <v>21</v>
      </c>
      <c r="AR48" s="14">
        <v>12.4</v>
      </c>
      <c r="AS48" s="12">
        <f t="shared" si="29"/>
        <v>1.9941978339213053</v>
      </c>
      <c r="AT48" s="12">
        <f t="shared" si="30"/>
        <v>47.860748014111323</v>
      </c>
      <c r="AU48" s="12">
        <f t="shared" si="31"/>
        <v>4.1674935503076007</v>
      </c>
      <c r="AV48" s="13">
        <v>36</v>
      </c>
      <c r="AW48" s="14">
        <v>25.716999999999999</v>
      </c>
      <c r="AX48" s="12">
        <f t="shared" si="11"/>
        <v>3.418624858150809</v>
      </c>
      <c r="AY48" s="12">
        <f t="shared" si="12"/>
        <v>82.046996595619419</v>
      </c>
      <c r="AZ48" s="12">
        <f t="shared" si="13"/>
        <v>7.1442746576701728</v>
      </c>
      <c r="BA48" s="13">
        <v>1</v>
      </c>
      <c r="BB48" s="14">
        <v>2.2330000000000001</v>
      </c>
      <c r="BC48" s="12">
        <f t="shared" si="14"/>
        <v>9.4961801615300254E-2</v>
      </c>
      <c r="BD48" s="12">
        <f t="shared" si="15"/>
        <v>2.279083238767206</v>
      </c>
      <c r="BE48" s="12">
        <f t="shared" si="16"/>
        <v>0.19845207382417146</v>
      </c>
      <c r="BF48" s="13">
        <v>4</v>
      </c>
      <c r="BG48" s="52">
        <v>2.5169999999999999</v>
      </c>
      <c r="BH48" s="48">
        <f t="shared" si="17"/>
        <v>0.37984720646120101</v>
      </c>
      <c r="BI48" s="48">
        <f t="shared" si="18"/>
        <v>9.1163329550688239</v>
      </c>
      <c r="BJ48" s="48">
        <f t="shared" si="19"/>
        <v>0.79380829529668584</v>
      </c>
      <c r="BK48" s="9" t="str">
        <f>"47"</f>
        <v>47</v>
      </c>
      <c r="BL48" s="9" t="str">
        <f>"8080 10288 46x2 1-1"</f>
        <v>8080 10288 46x2 1-1</v>
      </c>
      <c r="BM48" s="9" t="str">
        <f>"1071 Z"</f>
        <v>1071 Z</v>
      </c>
      <c r="BN48" s="10">
        <f t="shared" si="32"/>
        <v>797.52086389916326</v>
      </c>
      <c r="BO48" s="11">
        <f t="shared" si="33"/>
        <v>87.754583333333329</v>
      </c>
    </row>
    <row r="49" spans="1:67">
      <c r="A49" s="15" t="s">
        <v>217</v>
      </c>
      <c r="B49" s="9" t="str">
        <f>"48"</f>
        <v>48</v>
      </c>
      <c r="C49" s="9" t="str">
        <f>"8080 9088 46x2 1-1"</f>
        <v>8080 9088 46x2 1-1</v>
      </c>
      <c r="D49" s="9" t="str">
        <f>"1086 Z"</f>
        <v>1086 Z</v>
      </c>
      <c r="E49" s="10">
        <f t="shared" si="20"/>
        <v>726.50336046726966</v>
      </c>
      <c r="F49" s="11">
        <f t="shared" si="21"/>
        <v>84.747638888888886</v>
      </c>
      <c r="G49" s="11">
        <v>610.18299999999999</v>
      </c>
      <c r="H49" s="11">
        <v>109.81699999999999</v>
      </c>
      <c r="I49" s="11">
        <v>443.3</v>
      </c>
      <c r="J49" s="65">
        <f t="shared" si="0"/>
        <v>10.169716666666666</v>
      </c>
      <c r="K49" s="11">
        <v>128</v>
      </c>
      <c r="L49" s="11">
        <v>2291116.38</v>
      </c>
      <c r="M49" s="11">
        <v>36611</v>
      </c>
      <c r="N49" s="11">
        <f t="shared" si="22"/>
        <v>62.58</v>
      </c>
      <c r="O49" s="13">
        <v>4</v>
      </c>
      <c r="P49" s="14">
        <v>0.78300000000000003</v>
      </c>
      <c r="Q49" s="13">
        <v>26</v>
      </c>
      <c r="R49" s="67">
        <f t="shared" si="1"/>
        <v>2.1666666666666665</v>
      </c>
      <c r="S49" s="14">
        <v>69.332999999999998</v>
      </c>
      <c r="T49" s="12">
        <f t="shared" si="23"/>
        <v>2.5566100661604798</v>
      </c>
      <c r="U49" s="12">
        <f t="shared" si="24"/>
        <v>61.358641587851515</v>
      </c>
      <c r="V49" s="12">
        <f t="shared" si="25"/>
        <v>5.8651026392961878</v>
      </c>
      <c r="W49" s="70">
        <f t="shared" si="2"/>
        <v>2.6666538461538463</v>
      </c>
      <c r="X49" s="13">
        <v>37</v>
      </c>
      <c r="Y49" s="67">
        <f t="shared" si="3"/>
        <v>3.0833333333333335</v>
      </c>
      <c r="Z49" s="14">
        <v>38.4</v>
      </c>
      <c r="AA49" s="12">
        <f t="shared" si="4"/>
        <v>3.6382527864591441</v>
      </c>
      <c r="AB49" s="12">
        <f t="shared" si="5"/>
        <v>87.318066875019468</v>
      </c>
      <c r="AC49" s="12">
        <f t="shared" si="6"/>
        <v>8.346492217459959</v>
      </c>
      <c r="AD49" s="67">
        <f t="shared" si="7"/>
        <v>0.69554101812166325</v>
      </c>
      <c r="AE49" s="13">
        <v>1</v>
      </c>
      <c r="AF49" s="14">
        <v>1.3</v>
      </c>
      <c r="AG49" s="10">
        <v>0</v>
      </c>
      <c r="AH49" s="12">
        <f t="shared" si="8"/>
        <v>0</v>
      </c>
      <c r="AI49" s="12">
        <f t="shared" si="9"/>
        <v>0</v>
      </c>
      <c r="AJ49" s="12">
        <f t="shared" si="10"/>
        <v>0</v>
      </c>
      <c r="AK49" s="13">
        <v>68</v>
      </c>
      <c r="AL49" s="52">
        <v>109.816</v>
      </c>
      <c r="AM49" s="61">
        <v>63</v>
      </c>
      <c r="AN49" s="16">
        <f t="shared" si="26"/>
        <v>6.1948628526196243</v>
      </c>
      <c r="AO49" s="48">
        <f t="shared" si="27"/>
        <v>148.67670846287098</v>
      </c>
      <c r="AP49" s="48">
        <f t="shared" si="28"/>
        <v>14.211594856756147</v>
      </c>
      <c r="AQ49" s="57">
        <v>21</v>
      </c>
      <c r="AR49" s="14">
        <v>20.317</v>
      </c>
      <c r="AS49" s="12">
        <f t="shared" si="29"/>
        <v>2.0649542842065411</v>
      </c>
      <c r="AT49" s="12">
        <f t="shared" si="30"/>
        <v>49.558902820956995</v>
      </c>
      <c r="AU49" s="12">
        <f t="shared" si="31"/>
        <v>4.7371982855853823</v>
      </c>
      <c r="AV49" s="13">
        <v>15</v>
      </c>
      <c r="AW49" s="14">
        <v>16.783000000000001</v>
      </c>
      <c r="AX49" s="12">
        <f t="shared" si="11"/>
        <v>1.4749673458618153</v>
      </c>
      <c r="AY49" s="12">
        <f t="shared" si="12"/>
        <v>35.399216300683563</v>
      </c>
      <c r="AZ49" s="12">
        <f t="shared" si="13"/>
        <v>3.3837130611324158</v>
      </c>
      <c r="BA49" s="13">
        <v>1</v>
      </c>
      <c r="BB49" s="14">
        <v>1.3</v>
      </c>
      <c r="BC49" s="12">
        <f t="shared" si="14"/>
        <v>9.8331156390787683E-2</v>
      </c>
      <c r="BD49" s="12">
        <f t="shared" si="15"/>
        <v>2.3599477533789046</v>
      </c>
      <c r="BE49" s="12">
        <f t="shared" si="16"/>
        <v>0.22558087074216107</v>
      </c>
      <c r="BF49" s="13">
        <v>0</v>
      </c>
      <c r="BG49" s="52">
        <v>0</v>
      </c>
      <c r="BH49" s="48">
        <f t="shared" si="17"/>
        <v>0</v>
      </c>
      <c r="BI49" s="48">
        <f t="shared" si="18"/>
        <v>0</v>
      </c>
      <c r="BJ49" s="48">
        <f t="shared" si="19"/>
        <v>0</v>
      </c>
      <c r="BK49" s="9" t="str">
        <f>"48"</f>
        <v>48</v>
      </c>
      <c r="BL49" s="9" t="str">
        <f>"8080 9088 46x2 1-1"</f>
        <v>8080 9088 46x2 1-1</v>
      </c>
      <c r="BM49" s="9" t="str">
        <f>"1086 Z"</f>
        <v>1086 Z</v>
      </c>
      <c r="BN49" s="10">
        <f t="shared" si="32"/>
        <v>726.50336046726966</v>
      </c>
      <c r="BO49" s="11">
        <f t="shared" si="33"/>
        <v>84.747638888888886</v>
      </c>
    </row>
    <row r="50" spans="1:67">
      <c r="A50" s="15" t="s">
        <v>217</v>
      </c>
      <c r="B50" s="9" t="str">
        <f>"49"</f>
        <v>49</v>
      </c>
      <c r="C50" s="9" t="str">
        <f>"3030 7674 72 1-1"</f>
        <v>3030 7674 72 1-1</v>
      </c>
      <c r="D50" s="9" t="str">
        <f>"1116 R"</f>
        <v>1116 R</v>
      </c>
      <c r="E50" s="10">
        <f t="shared" si="20"/>
        <v>957.07124565425227</v>
      </c>
      <c r="F50" s="11">
        <f t="shared" si="21"/>
        <v>93.122638888888872</v>
      </c>
      <c r="G50" s="11">
        <v>670.48299999999995</v>
      </c>
      <c r="H50" s="11">
        <v>49.517000000000003</v>
      </c>
      <c r="I50" s="11">
        <v>641.70000000000005</v>
      </c>
      <c r="J50" s="65">
        <f t="shared" si="0"/>
        <v>11.174716666666665</v>
      </c>
      <c r="K50" s="11">
        <v>223.3</v>
      </c>
      <c r="L50" s="11">
        <v>2243973.62</v>
      </c>
      <c r="M50" s="11">
        <v>40229</v>
      </c>
      <c r="N50" s="11">
        <f t="shared" si="22"/>
        <v>55.78</v>
      </c>
      <c r="O50" s="13">
        <v>5</v>
      </c>
      <c r="P50" s="14">
        <v>1.2829999999999999</v>
      </c>
      <c r="Q50" s="13">
        <v>14</v>
      </c>
      <c r="R50" s="67">
        <f t="shared" si="1"/>
        <v>1.1666666666666667</v>
      </c>
      <c r="S50" s="14">
        <v>22.25</v>
      </c>
      <c r="T50" s="12">
        <f t="shared" si="23"/>
        <v>1.2528281850546548</v>
      </c>
      <c r="U50" s="12">
        <f t="shared" si="24"/>
        <v>30.067876441311714</v>
      </c>
      <c r="V50" s="12">
        <f t="shared" si="25"/>
        <v>2.1817048465014803</v>
      </c>
      <c r="W50" s="70">
        <f t="shared" si="2"/>
        <v>1.5892857142857142</v>
      </c>
      <c r="X50" s="13">
        <v>21</v>
      </c>
      <c r="Y50" s="67">
        <f t="shared" si="3"/>
        <v>1.75</v>
      </c>
      <c r="Z50" s="14">
        <v>20.966999999999999</v>
      </c>
      <c r="AA50" s="12">
        <f t="shared" si="4"/>
        <v>1.8792422775819821</v>
      </c>
      <c r="AB50" s="12">
        <f t="shared" si="5"/>
        <v>45.101814661967573</v>
      </c>
      <c r="AC50" s="12">
        <f t="shared" si="6"/>
        <v>3.2725572697522205</v>
      </c>
      <c r="AD50" s="67">
        <f t="shared" si="7"/>
        <v>0.27271310581268504</v>
      </c>
      <c r="AE50" s="13">
        <v>4</v>
      </c>
      <c r="AF50" s="14">
        <v>5.0170000000000003</v>
      </c>
      <c r="AG50" s="10">
        <v>0</v>
      </c>
      <c r="AH50" s="12">
        <f t="shared" si="8"/>
        <v>0</v>
      </c>
      <c r="AI50" s="12">
        <f t="shared" si="9"/>
        <v>0</v>
      </c>
      <c r="AJ50" s="12">
        <f t="shared" si="10"/>
        <v>0</v>
      </c>
      <c r="AK50" s="13">
        <v>44</v>
      </c>
      <c r="AL50" s="52">
        <v>49.517000000000003</v>
      </c>
      <c r="AM50" s="61">
        <v>35</v>
      </c>
      <c r="AN50" s="16">
        <f t="shared" si="26"/>
        <v>3.1320704626366367</v>
      </c>
      <c r="AO50" s="48">
        <f t="shared" si="27"/>
        <v>75.169691103279277</v>
      </c>
      <c r="AP50" s="48">
        <f t="shared" si="28"/>
        <v>5.4542621162537008</v>
      </c>
      <c r="AQ50" s="57">
        <v>8</v>
      </c>
      <c r="AR50" s="14">
        <v>8.85</v>
      </c>
      <c r="AS50" s="12">
        <f t="shared" si="29"/>
        <v>0.71590182003123126</v>
      </c>
      <c r="AT50" s="12">
        <f t="shared" si="30"/>
        <v>17.181643680749552</v>
      </c>
      <c r="AU50" s="12">
        <f t="shared" si="31"/>
        <v>1.2466884837151315</v>
      </c>
      <c r="AV50" s="13">
        <v>6</v>
      </c>
      <c r="AW50" s="14">
        <v>3.9169999999999998</v>
      </c>
      <c r="AX50" s="12">
        <f t="shared" si="11"/>
        <v>0.5369263650234235</v>
      </c>
      <c r="AY50" s="12">
        <f t="shared" si="12"/>
        <v>12.886232760562162</v>
      </c>
      <c r="AZ50" s="12">
        <f t="shared" si="13"/>
        <v>0.9350163627863487</v>
      </c>
      <c r="BA50" s="13">
        <v>6</v>
      </c>
      <c r="BB50" s="14">
        <v>7.7329999999999997</v>
      </c>
      <c r="BC50" s="12">
        <f t="shared" si="14"/>
        <v>0.5369263650234235</v>
      </c>
      <c r="BD50" s="12">
        <f t="shared" si="15"/>
        <v>12.886232760562162</v>
      </c>
      <c r="BE50" s="12">
        <f t="shared" si="16"/>
        <v>0.9350163627863487</v>
      </c>
      <c r="BF50" s="13">
        <v>1</v>
      </c>
      <c r="BG50" s="52">
        <v>0.46700000000000003</v>
      </c>
      <c r="BH50" s="48">
        <f t="shared" si="17"/>
        <v>8.9487727503903908E-2</v>
      </c>
      <c r="BI50" s="48">
        <f t="shared" si="18"/>
        <v>2.147705460093694</v>
      </c>
      <c r="BJ50" s="48">
        <f t="shared" si="19"/>
        <v>0.15583606046439144</v>
      </c>
      <c r="BK50" s="9" t="str">
        <f>"49"</f>
        <v>49</v>
      </c>
      <c r="BL50" s="9" t="str">
        <f>"3030 7674 72 1-1"</f>
        <v>3030 7674 72 1-1</v>
      </c>
      <c r="BM50" s="9" t="str">
        <f>"1116 R"</f>
        <v>1116 R</v>
      </c>
      <c r="BN50" s="10">
        <f t="shared" si="32"/>
        <v>957.07124565425227</v>
      </c>
      <c r="BO50" s="11">
        <f t="shared" si="33"/>
        <v>93.122638888888872</v>
      </c>
    </row>
    <row r="51" spans="1:67">
      <c r="A51" s="15" t="s">
        <v>217</v>
      </c>
      <c r="B51" s="9" t="str">
        <f>"50"</f>
        <v>50</v>
      </c>
      <c r="C51" s="9" t="str">
        <f>"6060 135115 65 1-1"</f>
        <v>6060 135115 65 1-1</v>
      </c>
      <c r="D51" s="9" t="str">
        <f>"06 R"</f>
        <v>06 R</v>
      </c>
      <c r="E51" s="10">
        <f t="shared" si="20"/>
        <v>946.38550183500388</v>
      </c>
      <c r="F51" s="11">
        <f t="shared" si="21"/>
        <v>89.199027777777772</v>
      </c>
      <c r="G51" s="11">
        <v>642.23299999999995</v>
      </c>
      <c r="H51" s="11">
        <v>77.766999999999996</v>
      </c>
      <c r="I51" s="11">
        <v>607.79999999999995</v>
      </c>
      <c r="J51" s="65">
        <f t="shared" si="0"/>
        <v>10.703883333333332</v>
      </c>
      <c r="K51" s="11">
        <v>136</v>
      </c>
      <c r="L51" s="11">
        <v>2065807.74</v>
      </c>
      <c r="M51" s="11">
        <v>38534</v>
      </c>
      <c r="N51" s="11">
        <f t="shared" si="22"/>
        <v>53.61</v>
      </c>
      <c r="O51" s="13">
        <v>7</v>
      </c>
      <c r="P51" s="14">
        <v>1.5669999999999999</v>
      </c>
      <c r="Q51" s="13">
        <v>10</v>
      </c>
      <c r="R51" s="67">
        <f t="shared" si="1"/>
        <v>0.83333333333333337</v>
      </c>
      <c r="S51" s="14">
        <v>36.799999999999997</v>
      </c>
      <c r="T51" s="12">
        <f t="shared" si="23"/>
        <v>0.93424037693485085</v>
      </c>
      <c r="U51" s="12">
        <f t="shared" si="24"/>
        <v>22.42176904643642</v>
      </c>
      <c r="V51" s="12">
        <f t="shared" si="25"/>
        <v>1.6452780519907866</v>
      </c>
      <c r="W51" s="70">
        <f t="shared" si="2"/>
        <v>3.6799999999999997</v>
      </c>
      <c r="X51" s="13">
        <v>36</v>
      </c>
      <c r="Y51" s="67">
        <f t="shared" si="3"/>
        <v>3</v>
      </c>
      <c r="Z51" s="14">
        <v>31.317</v>
      </c>
      <c r="AA51" s="12">
        <f t="shared" si="4"/>
        <v>3.3632653569654631</v>
      </c>
      <c r="AB51" s="12">
        <f t="shared" si="5"/>
        <v>80.718368567171112</v>
      </c>
      <c r="AC51" s="12">
        <f t="shared" si="6"/>
        <v>5.9230009871668319</v>
      </c>
      <c r="AD51" s="67">
        <f t="shared" si="7"/>
        <v>0.49358341559723601</v>
      </c>
      <c r="AE51" s="13">
        <v>5</v>
      </c>
      <c r="AF51" s="14">
        <v>8.0830000000000002</v>
      </c>
      <c r="AG51" s="10">
        <v>3</v>
      </c>
      <c r="AH51" s="12">
        <f t="shared" si="8"/>
        <v>0.28027211308045524</v>
      </c>
      <c r="AI51" s="12">
        <f t="shared" si="9"/>
        <v>6.7265307139309263</v>
      </c>
      <c r="AJ51" s="12">
        <f t="shared" si="10"/>
        <v>0.49358341559723595</v>
      </c>
      <c r="AK51" s="13">
        <v>58</v>
      </c>
      <c r="AL51" s="52">
        <v>77.766999999999996</v>
      </c>
      <c r="AM51" s="61">
        <v>49</v>
      </c>
      <c r="AN51" s="16">
        <f t="shared" si="26"/>
        <v>4.5777778469807693</v>
      </c>
      <c r="AO51" s="48">
        <f t="shared" si="27"/>
        <v>109.86666832753846</v>
      </c>
      <c r="AP51" s="48">
        <f t="shared" si="28"/>
        <v>8.0618624547548539</v>
      </c>
      <c r="AQ51" s="57">
        <v>17</v>
      </c>
      <c r="AR51" s="14">
        <v>10.833</v>
      </c>
      <c r="AS51" s="12">
        <f t="shared" si="29"/>
        <v>1.5882086407892464</v>
      </c>
      <c r="AT51" s="12">
        <f t="shared" si="30"/>
        <v>38.117007378941913</v>
      </c>
      <c r="AU51" s="12">
        <f t="shared" si="31"/>
        <v>2.7969726883843373</v>
      </c>
      <c r="AV51" s="13">
        <v>13</v>
      </c>
      <c r="AW51" s="14">
        <v>16.5</v>
      </c>
      <c r="AX51" s="12">
        <f t="shared" si="11"/>
        <v>1.2145124900153061</v>
      </c>
      <c r="AY51" s="12">
        <f t="shared" si="12"/>
        <v>29.148299760367344</v>
      </c>
      <c r="AZ51" s="12">
        <f t="shared" si="13"/>
        <v>2.1388614675880224</v>
      </c>
      <c r="BA51" s="13">
        <v>2</v>
      </c>
      <c r="BB51" s="14">
        <v>1.133</v>
      </c>
      <c r="BC51" s="12">
        <f t="shared" si="14"/>
        <v>0.18684807538697015</v>
      </c>
      <c r="BD51" s="12">
        <f t="shared" si="15"/>
        <v>4.4843538092872839</v>
      </c>
      <c r="BE51" s="12">
        <f t="shared" si="16"/>
        <v>0.32905561039815734</v>
      </c>
      <c r="BF51" s="13">
        <v>4</v>
      </c>
      <c r="BG51" s="52">
        <v>2.85</v>
      </c>
      <c r="BH51" s="48">
        <f t="shared" si="17"/>
        <v>0.37369615077394031</v>
      </c>
      <c r="BI51" s="48">
        <f t="shared" si="18"/>
        <v>8.9687076185745678</v>
      </c>
      <c r="BJ51" s="48">
        <f t="shared" si="19"/>
        <v>0.65811122079631468</v>
      </c>
      <c r="BK51" s="9" t="str">
        <f>"50"</f>
        <v>50</v>
      </c>
      <c r="BL51" s="9" t="str">
        <f>"6060 135115 65 1-1"</f>
        <v>6060 135115 65 1-1</v>
      </c>
      <c r="BM51" s="9" t="str">
        <f>"06 R"</f>
        <v>06 R</v>
      </c>
      <c r="BN51" s="10">
        <f t="shared" si="32"/>
        <v>946.38550183500388</v>
      </c>
      <c r="BO51" s="11">
        <f t="shared" si="33"/>
        <v>89.199027777777772</v>
      </c>
    </row>
    <row r="52" spans="1:67">
      <c r="A52" s="15" t="s">
        <v>217</v>
      </c>
      <c r="B52" s="9" t="str">
        <f>"51"</f>
        <v>51</v>
      </c>
      <c r="C52" s="9" t="str">
        <f>"3030 7674 77 1-1"</f>
        <v>3030 7674 77 1-1</v>
      </c>
      <c r="D52" s="9" t="str">
        <f>"1122 R"</f>
        <v>1122 R</v>
      </c>
      <c r="E52" s="10">
        <f t="shared" si="20"/>
        <v>952.58349086326405</v>
      </c>
      <c r="F52" s="11">
        <f t="shared" si="21"/>
        <v>88.166666666666657</v>
      </c>
      <c r="G52" s="11">
        <v>634.79999999999995</v>
      </c>
      <c r="H52" s="11">
        <v>85.2</v>
      </c>
      <c r="I52" s="11">
        <v>604.70000000000005</v>
      </c>
      <c r="J52" s="65">
        <f t="shared" si="0"/>
        <v>10.58</v>
      </c>
      <c r="K52" s="11">
        <v>210.4</v>
      </c>
      <c r="L52" s="11">
        <v>2101314.96</v>
      </c>
      <c r="M52" s="11">
        <v>38088</v>
      </c>
      <c r="N52" s="11">
        <f t="shared" si="22"/>
        <v>55.17</v>
      </c>
      <c r="O52" s="13">
        <v>5</v>
      </c>
      <c r="P52" s="14">
        <v>1.117</v>
      </c>
      <c r="Q52" s="13">
        <v>25</v>
      </c>
      <c r="R52" s="67">
        <f t="shared" si="1"/>
        <v>2.0833333333333335</v>
      </c>
      <c r="S52" s="14">
        <v>51.6</v>
      </c>
      <c r="T52" s="12">
        <f t="shared" si="23"/>
        <v>2.3629489603024578</v>
      </c>
      <c r="U52" s="12">
        <f t="shared" si="24"/>
        <v>56.710775047258984</v>
      </c>
      <c r="V52" s="12">
        <f t="shared" si="25"/>
        <v>4.1342814618819244</v>
      </c>
      <c r="W52" s="70">
        <f t="shared" si="2"/>
        <v>2.0640000000000001</v>
      </c>
      <c r="X52" s="13">
        <v>37</v>
      </c>
      <c r="Y52" s="67">
        <f t="shared" si="3"/>
        <v>3.0833333333333335</v>
      </c>
      <c r="Z52" s="14">
        <v>30.35</v>
      </c>
      <c r="AA52" s="12">
        <f t="shared" si="4"/>
        <v>3.4971644612476371</v>
      </c>
      <c r="AB52" s="12">
        <f t="shared" si="5"/>
        <v>83.931947069943291</v>
      </c>
      <c r="AC52" s="12">
        <f t="shared" si="6"/>
        <v>6.1187365635852489</v>
      </c>
      <c r="AD52" s="67">
        <f t="shared" si="7"/>
        <v>0.50989471363210404</v>
      </c>
      <c r="AE52" s="13">
        <v>4</v>
      </c>
      <c r="AF52" s="14">
        <v>2.133</v>
      </c>
      <c r="AG52" s="10">
        <v>0</v>
      </c>
      <c r="AH52" s="12">
        <f t="shared" si="8"/>
        <v>0</v>
      </c>
      <c r="AI52" s="12">
        <f t="shared" si="9"/>
        <v>0</v>
      </c>
      <c r="AJ52" s="12">
        <f t="shared" si="10"/>
        <v>0</v>
      </c>
      <c r="AK52" s="13">
        <v>71</v>
      </c>
      <c r="AL52" s="52">
        <v>85.2</v>
      </c>
      <c r="AM52" s="61">
        <v>62</v>
      </c>
      <c r="AN52" s="16">
        <f t="shared" si="26"/>
        <v>5.8601134215500945</v>
      </c>
      <c r="AO52" s="48">
        <f t="shared" si="27"/>
        <v>140.64272211720228</v>
      </c>
      <c r="AP52" s="48">
        <f t="shared" si="28"/>
        <v>10.253018025467172</v>
      </c>
      <c r="AQ52" s="57">
        <v>25</v>
      </c>
      <c r="AR52" s="14">
        <v>18.216999999999999</v>
      </c>
      <c r="AS52" s="12">
        <f t="shared" si="29"/>
        <v>2.3629489603024578</v>
      </c>
      <c r="AT52" s="12">
        <f t="shared" si="30"/>
        <v>56.710775047258984</v>
      </c>
      <c r="AU52" s="12">
        <f t="shared" si="31"/>
        <v>4.1342814618819244</v>
      </c>
      <c r="AV52" s="13">
        <v>6</v>
      </c>
      <c r="AW52" s="14">
        <v>6.7329999999999997</v>
      </c>
      <c r="AX52" s="12">
        <f t="shared" si="11"/>
        <v>0.56710775047258988</v>
      </c>
      <c r="AY52" s="12">
        <f t="shared" si="12"/>
        <v>13.610586011342155</v>
      </c>
      <c r="AZ52" s="12">
        <f t="shared" si="13"/>
        <v>0.99222755085166192</v>
      </c>
      <c r="BA52" s="13">
        <v>4</v>
      </c>
      <c r="BB52" s="14">
        <v>2.1669999999999998</v>
      </c>
      <c r="BC52" s="12">
        <f t="shared" si="14"/>
        <v>0.3780718336483932</v>
      </c>
      <c r="BD52" s="12">
        <f t="shared" si="15"/>
        <v>9.073724007561438</v>
      </c>
      <c r="BE52" s="12">
        <f t="shared" si="16"/>
        <v>0.66148503390110791</v>
      </c>
      <c r="BF52" s="13">
        <v>2</v>
      </c>
      <c r="BG52" s="52">
        <v>3.2330000000000001</v>
      </c>
      <c r="BH52" s="48">
        <f t="shared" si="17"/>
        <v>0.1890359168241966</v>
      </c>
      <c r="BI52" s="48">
        <f t="shared" si="18"/>
        <v>4.536862003780719</v>
      </c>
      <c r="BJ52" s="48">
        <f t="shared" si="19"/>
        <v>0.33074251695055396</v>
      </c>
      <c r="BK52" s="9" t="str">
        <f>"51"</f>
        <v>51</v>
      </c>
      <c r="BL52" s="9" t="str">
        <f>"3030 7674 77 1-1"</f>
        <v>3030 7674 77 1-1</v>
      </c>
      <c r="BM52" s="9" t="str">
        <f>"1122 R"</f>
        <v>1122 R</v>
      </c>
      <c r="BN52" s="10">
        <f t="shared" si="32"/>
        <v>952.58349086326405</v>
      </c>
      <c r="BO52" s="11">
        <f t="shared" si="33"/>
        <v>88.166666666666657</v>
      </c>
    </row>
    <row r="53" spans="1:67">
      <c r="A53" s="15" t="s">
        <v>217</v>
      </c>
      <c r="B53" s="9" t="str">
        <f>"52"</f>
        <v>52</v>
      </c>
      <c r="C53" s="9" t="str">
        <f>"3030 7674 72 1-1"</f>
        <v>3030 7674 72 1-1</v>
      </c>
      <c r="D53" s="9" t="str">
        <f>"1132 R"</f>
        <v>1132 R</v>
      </c>
      <c r="E53" s="10">
        <f t="shared" si="20"/>
        <v>835.65099908477089</v>
      </c>
      <c r="F53" s="11">
        <f t="shared" si="21"/>
        <v>86.044027777777785</v>
      </c>
      <c r="G53" s="11">
        <v>619.51700000000005</v>
      </c>
      <c r="H53" s="11">
        <v>100.483</v>
      </c>
      <c r="I53" s="11">
        <v>517.70000000000005</v>
      </c>
      <c r="J53" s="65">
        <f t="shared" si="0"/>
        <v>10.325283333333335</v>
      </c>
      <c r="K53" s="11">
        <v>180.2</v>
      </c>
      <c r="L53" s="11">
        <v>1784208</v>
      </c>
      <c r="M53" s="11">
        <v>37171</v>
      </c>
      <c r="N53" s="11">
        <f t="shared" si="22"/>
        <v>48</v>
      </c>
      <c r="O53" s="13">
        <v>5</v>
      </c>
      <c r="P53" s="14">
        <v>1.65</v>
      </c>
      <c r="Q53" s="13">
        <v>20</v>
      </c>
      <c r="R53" s="67">
        <f t="shared" si="1"/>
        <v>1.6666666666666667</v>
      </c>
      <c r="S53" s="14">
        <v>39.700000000000003</v>
      </c>
      <c r="T53" s="12">
        <f t="shared" si="23"/>
        <v>1.9369928508822194</v>
      </c>
      <c r="U53" s="12">
        <f t="shared" si="24"/>
        <v>46.487828421173262</v>
      </c>
      <c r="V53" s="12">
        <f t="shared" si="25"/>
        <v>3.8632412594166503</v>
      </c>
      <c r="W53" s="70">
        <f t="shared" si="2"/>
        <v>1.9850000000000001</v>
      </c>
      <c r="X53" s="13">
        <v>50</v>
      </c>
      <c r="Y53" s="67">
        <f t="shared" si="3"/>
        <v>4.166666666666667</v>
      </c>
      <c r="Z53" s="14">
        <v>52.45</v>
      </c>
      <c r="AA53" s="12">
        <f t="shared" si="4"/>
        <v>4.8424821272055487</v>
      </c>
      <c r="AB53" s="12">
        <f t="shared" si="5"/>
        <v>116.21957105293316</v>
      </c>
      <c r="AC53" s="12">
        <f t="shared" si="6"/>
        <v>9.6581031485416258</v>
      </c>
      <c r="AD53" s="67">
        <f t="shared" si="7"/>
        <v>0.80484192904513552</v>
      </c>
      <c r="AE53" s="13">
        <v>6</v>
      </c>
      <c r="AF53" s="14">
        <v>6.6829999999999998</v>
      </c>
      <c r="AG53" s="10">
        <v>1</v>
      </c>
      <c r="AH53" s="12">
        <f t="shared" si="8"/>
        <v>9.6849642544110964E-2</v>
      </c>
      <c r="AI53" s="12">
        <f t="shared" si="9"/>
        <v>2.3243914210586634</v>
      </c>
      <c r="AJ53" s="12">
        <f t="shared" si="10"/>
        <v>0.19316206297083252</v>
      </c>
      <c r="AK53" s="13">
        <v>81</v>
      </c>
      <c r="AL53" s="52">
        <v>100.483</v>
      </c>
      <c r="AM53" s="61">
        <v>71</v>
      </c>
      <c r="AN53" s="16">
        <f t="shared" si="26"/>
        <v>6.8763246206318787</v>
      </c>
      <c r="AO53" s="48">
        <f t="shared" si="27"/>
        <v>165.0317908951651</v>
      </c>
      <c r="AP53" s="48">
        <f t="shared" si="28"/>
        <v>13.714506470929109</v>
      </c>
      <c r="AQ53" s="57">
        <v>25</v>
      </c>
      <c r="AR53" s="14">
        <v>23.45</v>
      </c>
      <c r="AS53" s="12">
        <f t="shared" si="29"/>
        <v>2.4212410636027744</v>
      </c>
      <c r="AT53" s="12">
        <f t="shared" si="30"/>
        <v>58.109785526466581</v>
      </c>
      <c r="AU53" s="12">
        <f t="shared" si="31"/>
        <v>4.8290515742708129</v>
      </c>
      <c r="AV53" s="13">
        <v>17</v>
      </c>
      <c r="AW53" s="14">
        <v>23</v>
      </c>
      <c r="AX53" s="12">
        <f t="shared" si="11"/>
        <v>1.6464439232498864</v>
      </c>
      <c r="AY53" s="12">
        <f t="shared" si="12"/>
        <v>39.514654157997278</v>
      </c>
      <c r="AZ53" s="12">
        <f t="shared" si="13"/>
        <v>3.2837550705041525</v>
      </c>
      <c r="BA53" s="13">
        <v>1</v>
      </c>
      <c r="BB53" s="14">
        <v>0.76700000000000002</v>
      </c>
      <c r="BC53" s="12">
        <f t="shared" si="14"/>
        <v>9.6849642544110964E-2</v>
      </c>
      <c r="BD53" s="12">
        <f t="shared" si="15"/>
        <v>2.3243914210586634</v>
      </c>
      <c r="BE53" s="12">
        <f t="shared" si="16"/>
        <v>0.19316206297083252</v>
      </c>
      <c r="BF53" s="13">
        <v>7</v>
      </c>
      <c r="BG53" s="52">
        <v>5.2329999999999997</v>
      </c>
      <c r="BH53" s="48">
        <f t="shared" si="17"/>
        <v>0.67794749780877683</v>
      </c>
      <c r="BI53" s="48">
        <f t="shared" si="18"/>
        <v>16.270739947410643</v>
      </c>
      <c r="BJ53" s="48">
        <f t="shared" si="19"/>
        <v>1.3521344407958276</v>
      </c>
      <c r="BK53" s="9" t="str">
        <f>"52"</f>
        <v>52</v>
      </c>
      <c r="BL53" s="9" t="str">
        <f>"3030 7674 72 1-1"</f>
        <v>3030 7674 72 1-1</v>
      </c>
      <c r="BM53" s="9" t="str">
        <f>"1132 R"</f>
        <v>1132 R</v>
      </c>
      <c r="BN53" s="10">
        <f t="shared" si="32"/>
        <v>835.65099908477089</v>
      </c>
      <c r="BO53" s="11">
        <f t="shared" si="33"/>
        <v>86.044027777777785</v>
      </c>
    </row>
    <row r="54" spans="1:67">
      <c r="A54" s="15" t="s">
        <v>217</v>
      </c>
      <c r="B54" s="9" t="str">
        <f>"53"</f>
        <v>53</v>
      </c>
      <c r="C54" s="9" t="str">
        <f>"4040 11082 124 1-1"</f>
        <v>4040 11082 124 1-1</v>
      </c>
      <c r="D54" s="9" t="str">
        <f>"1039 R"</f>
        <v>1039 R</v>
      </c>
      <c r="E54" s="10">
        <f t="shared" si="20"/>
        <v>777.99956900145196</v>
      </c>
      <c r="F54" s="11">
        <f t="shared" si="21"/>
        <v>88.296250000000001</v>
      </c>
      <c r="G54" s="11">
        <v>635.73299999999995</v>
      </c>
      <c r="H54" s="11">
        <v>84.266999999999996</v>
      </c>
      <c r="I54" s="11">
        <v>494.6</v>
      </c>
      <c r="J54" s="65">
        <f t="shared" si="0"/>
        <v>10.595549999999999</v>
      </c>
      <c r="K54" s="11">
        <v>155.1</v>
      </c>
      <c r="L54" s="11">
        <v>4154644.48</v>
      </c>
      <c r="M54" s="11">
        <v>38144</v>
      </c>
      <c r="N54" s="11">
        <f t="shared" si="22"/>
        <v>108.92</v>
      </c>
      <c r="O54" s="13">
        <v>9</v>
      </c>
      <c r="P54" s="14">
        <v>6.8</v>
      </c>
      <c r="Q54" s="13">
        <v>21</v>
      </c>
      <c r="R54" s="67">
        <f t="shared" si="1"/>
        <v>1.75</v>
      </c>
      <c r="S54" s="14">
        <v>32.200000000000003</v>
      </c>
      <c r="T54" s="12">
        <f t="shared" si="23"/>
        <v>1.9819641264493115</v>
      </c>
      <c r="U54" s="12">
        <f t="shared" si="24"/>
        <v>47.567139034783473</v>
      </c>
      <c r="V54" s="12">
        <f t="shared" si="25"/>
        <v>4.2458552365547915</v>
      </c>
      <c r="W54" s="70">
        <f t="shared" si="2"/>
        <v>1.5333333333333334</v>
      </c>
      <c r="X54" s="13">
        <v>34</v>
      </c>
      <c r="Y54" s="67">
        <f t="shared" si="3"/>
        <v>2.8333333333333335</v>
      </c>
      <c r="Z54" s="14">
        <v>24.95</v>
      </c>
      <c r="AA54" s="12">
        <f t="shared" si="4"/>
        <v>3.2088942999655519</v>
      </c>
      <c r="AB54" s="12">
        <f t="shared" si="5"/>
        <v>77.013463199173245</v>
      </c>
      <c r="AC54" s="12">
        <f t="shared" si="6"/>
        <v>6.8742418115649002</v>
      </c>
      <c r="AD54" s="67">
        <f t="shared" si="7"/>
        <v>0.57285348429707506</v>
      </c>
      <c r="AE54" s="13">
        <v>17</v>
      </c>
      <c r="AF54" s="14">
        <v>20.317</v>
      </c>
      <c r="AG54" s="10">
        <v>0</v>
      </c>
      <c r="AH54" s="12">
        <f t="shared" si="8"/>
        <v>0</v>
      </c>
      <c r="AI54" s="12">
        <f t="shared" si="9"/>
        <v>0</v>
      </c>
      <c r="AJ54" s="12">
        <f t="shared" si="10"/>
        <v>0</v>
      </c>
      <c r="AK54" s="13">
        <v>81</v>
      </c>
      <c r="AL54" s="52">
        <v>84.266999999999996</v>
      </c>
      <c r="AM54" s="61">
        <v>55</v>
      </c>
      <c r="AN54" s="16">
        <f t="shared" si="26"/>
        <v>5.1908584264148629</v>
      </c>
      <c r="AO54" s="48">
        <f t="shared" si="27"/>
        <v>124.58060223395672</v>
      </c>
      <c r="AP54" s="48">
        <f t="shared" si="28"/>
        <v>11.120097048119693</v>
      </c>
      <c r="AQ54" s="57">
        <v>19</v>
      </c>
      <c r="AR54" s="14">
        <v>15.382999999999999</v>
      </c>
      <c r="AS54" s="12">
        <f t="shared" si="29"/>
        <v>1.7932056382160437</v>
      </c>
      <c r="AT54" s="12">
        <f t="shared" si="30"/>
        <v>43.036935317185048</v>
      </c>
      <c r="AU54" s="12">
        <f t="shared" si="31"/>
        <v>3.8414880711686208</v>
      </c>
      <c r="AV54" s="13">
        <v>10</v>
      </c>
      <c r="AW54" s="14">
        <v>4.9669999999999996</v>
      </c>
      <c r="AX54" s="12">
        <f t="shared" si="11"/>
        <v>0.94379244116633876</v>
      </c>
      <c r="AY54" s="12">
        <f t="shared" si="12"/>
        <v>22.65101858799213</v>
      </c>
      <c r="AZ54" s="12">
        <f t="shared" si="13"/>
        <v>2.021835826930853</v>
      </c>
      <c r="BA54" s="13">
        <v>4</v>
      </c>
      <c r="BB54" s="14">
        <v>3.9670000000000001</v>
      </c>
      <c r="BC54" s="12">
        <f t="shared" si="14"/>
        <v>0.37751697646653554</v>
      </c>
      <c r="BD54" s="12">
        <f t="shared" si="15"/>
        <v>9.0604074351968524</v>
      </c>
      <c r="BE54" s="12">
        <f t="shared" si="16"/>
        <v>0.80873433077234125</v>
      </c>
      <c r="BF54" s="13">
        <v>1</v>
      </c>
      <c r="BG54" s="52">
        <v>0.63300000000000001</v>
      </c>
      <c r="BH54" s="48">
        <f t="shared" si="17"/>
        <v>9.4379244116633884E-2</v>
      </c>
      <c r="BI54" s="48">
        <f t="shared" si="18"/>
        <v>2.2651018587992131</v>
      </c>
      <c r="BJ54" s="48">
        <f t="shared" si="19"/>
        <v>0.20218358269308531</v>
      </c>
      <c r="BK54" s="9" t="str">
        <f>"53"</f>
        <v>53</v>
      </c>
      <c r="BL54" s="9" t="str">
        <f>"4040 11082 124 1-1"</f>
        <v>4040 11082 124 1-1</v>
      </c>
      <c r="BM54" s="9" t="str">
        <f>"1039 R"</f>
        <v>1039 R</v>
      </c>
      <c r="BN54" s="10">
        <f t="shared" si="32"/>
        <v>777.99956900145196</v>
      </c>
      <c r="BO54" s="11">
        <f t="shared" si="33"/>
        <v>88.296250000000001</v>
      </c>
    </row>
    <row r="55" spans="1:67">
      <c r="A55" s="15" t="s">
        <v>217</v>
      </c>
      <c r="B55" s="9" t="str">
        <f>"54"</f>
        <v>54</v>
      </c>
      <c r="C55" s="9" t="str">
        <f>"4040 13079 67x59 4-1"</f>
        <v>4040 13079 67x59 4-1</v>
      </c>
      <c r="D55" s="9" t="str">
        <f>"1160 Z"</f>
        <v>1160 Z</v>
      </c>
      <c r="E55" s="10">
        <f t="shared" si="20"/>
        <v>581.65608537079561</v>
      </c>
      <c r="F55" s="11">
        <f t="shared" si="21"/>
        <v>51.409722222222221</v>
      </c>
      <c r="G55" s="11">
        <v>370.15</v>
      </c>
      <c r="H55" s="11">
        <v>349.85</v>
      </c>
      <c r="I55" s="11">
        <v>215.3</v>
      </c>
      <c r="J55" s="65">
        <f t="shared" si="0"/>
        <v>6.1691666666666665</v>
      </c>
      <c r="K55" s="11">
        <v>70.3</v>
      </c>
      <c r="L55" s="11">
        <v>2305960.4700000002</v>
      </c>
      <c r="M55" s="11">
        <v>22209</v>
      </c>
      <c r="N55" s="11">
        <f t="shared" si="22"/>
        <v>103.83000000000001</v>
      </c>
      <c r="O55" s="13">
        <v>5</v>
      </c>
      <c r="P55" s="14">
        <v>52.582999999999998</v>
      </c>
      <c r="Q55" s="13">
        <v>41</v>
      </c>
      <c r="R55" s="67">
        <f t="shared" si="1"/>
        <v>3.4166666666666665</v>
      </c>
      <c r="S55" s="14">
        <v>233.483</v>
      </c>
      <c r="T55" s="12">
        <f t="shared" si="23"/>
        <v>6.6459543428339867</v>
      </c>
      <c r="U55" s="12">
        <f t="shared" si="24"/>
        <v>159.50290422801567</v>
      </c>
      <c r="V55" s="12">
        <f t="shared" si="25"/>
        <v>19.043195541105433</v>
      </c>
      <c r="W55" s="70">
        <f t="shared" si="2"/>
        <v>5.6947073170731706</v>
      </c>
      <c r="X55" s="13">
        <v>29</v>
      </c>
      <c r="Y55" s="67">
        <f t="shared" si="3"/>
        <v>2.4166666666666665</v>
      </c>
      <c r="Z55" s="14">
        <v>41.55</v>
      </c>
      <c r="AA55" s="12">
        <f t="shared" si="4"/>
        <v>4.7007969741996494</v>
      </c>
      <c r="AB55" s="12">
        <f t="shared" si="5"/>
        <v>112.81912738079158</v>
      </c>
      <c r="AC55" s="12">
        <f t="shared" si="6"/>
        <v>13.469577333952623</v>
      </c>
      <c r="AD55" s="67">
        <f t="shared" si="7"/>
        <v>1.1224647778293853</v>
      </c>
      <c r="AE55" s="13">
        <v>0</v>
      </c>
      <c r="AF55" s="14">
        <v>22.233000000000001</v>
      </c>
      <c r="AG55" s="10">
        <v>0</v>
      </c>
      <c r="AH55" s="12">
        <f t="shared" si="8"/>
        <v>0</v>
      </c>
      <c r="AI55" s="12">
        <f t="shared" si="9"/>
        <v>0</v>
      </c>
      <c r="AJ55" s="12">
        <f t="shared" si="10"/>
        <v>0</v>
      </c>
      <c r="AK55" s="13">
        <v>75</v>
      </c>
      <c r="AL55" s="52">
        <v>349.84899999999999</v>
      </c>
      <c r="AM55" s="61">
        <v>70</v>
      </c>
      <c r="AN55" s="16">
        <f t="shared" si="26"/>
        <v>11.346751317033636</v>
      </c>
      <c r="AO55" s="48">
        <f t="shared" si="27"/>
        <v>272.32203160880727</v>
      </c>
      <c r="AP55" s="48">
        <f t="shared" si="28"/>
        <v>32.512772875058054</v>
      </c>
      <c r="AQ55" s="57">
        <v>8</v>
      </c>
      <c r="AR55" s="14">
        <v>10.217000000000001</v>
      </c>
      <c r="AS55" s="12">
        <f t="shared" si="29"/>
        <v>1.2967715790895584</v>
      </c>
      <c r="AT55" s="12">
        <f t="shared" si="30"/>
        <v>31.1225178981494</v>
      </c>
      <c r="AU55" s="12">
        <f t="shared" si="31"/>
        <v>3.7157454714352065</v>
      </c>
      <c r="AV55" s="13">
        <v>14</v>
      </c>
      <c r="AW55" s="14">
        <v>23.567</v>
      </c>
      <c r="AX55" s="12">
        <f t="shared" si="11"/>
        <v>2.2693502634067273</v>
      </c>
      <c r="AY55" s="12">
        <f t="shared" si="12"/>
        <v>54.464406321761452</v>
      </c>
      <c r="AZ55" s="12">
        <f t="shared" si="13"/>
        <v>6.5025545750116116</v>
      </c>
      <c r="BA55" s="13">
        <v>5</v>
      </c>
      <c r="BB55" s="14">
        <v>5.95</v>
      </c>
      <c r="BC55" s="12">
        <f t="shared" si="14"/>
        <v>0.81048223693097399</v>
      </c>
      <c r="BD55" s="12">
        <f t="shared" si="15"/>
        <v>19.451573686343377</v>
      </c>
      <c r="BE55" s="12">
        <f t="shared" si="16"/>
        <v>2.322340919647004</v>
      </c>
      <c r="BF55" s="13">
        <v>2</v>
      </c>
      <c r="BG55" s="52">
        <v>1.8169999999999999</v>
      </c>
      <c r="BH55" s="48">
        <f t="shared" si="17"/>
        <v>0.32419289477238961</v>
      </c>
      <c r="BI55" s="48">
        <f t="shared" si="18"/>
        <v>7.7806294745373501</v>
      </c>
      <c r="BJ55" s="48">
        <f t="shared" si="19"/>
        <v>0.92893636785880163</v>
      </c>
      <c r="BK55" s="9" t="str">
        <f>"54"</f>
        <v>54</v>
      </c>
      <c r="BL55" s="9" t="str">
        <f>"4040 13079 67x59 4-1"</f>
        <v>4040 13079 67x59 4-1</v>
      </c>
      <c r="BM55" s="9" t="str">
        <f>"1160 Z"</f>
        <v>1160 Z</v>
      </c>
      <c r="BN55" s="10">
        <f t="shared" si="32"/>
        <v>581.65608537079561</v>
      </c>
      <c r="BO55" s="11">
        <f t="shared" si="33"/>
        <v>51.409722222222221</v>
      </c>
    </row>
    <row r="56" spans="1:67">
      <c r="A56" s="15" t="s">
        <v>217</v>
      </c>
      <c r="B56" s="9" t="str">
        <f>"55"</f>
        <v>55</v>
      </c>
      <c r="C56" s="9" t="str">
        <f>"4040 10080 124 1-1"</f>
        <v>4040 10080 124 1-1</v>
      </c>
      <c r="D56" s="9" t="str">
        <f>"1195 Z"</f>
        <v>1195 Z</v>
      </c>
      <c r="E56" s="10">
        <f t="shared" si="20"/>
        <v>780.28007847424647</v>
      </c>
      <c r="F56" s="11">
        <f t="shared" si="21"/>
        <v>87.148194444444442</v>
      </c>
      <c r="G56" s="11">
        <v>627.46699999999998</v>
      </c>
      <c r="H56" s="11">
        <v>92.533000000000001</v>
      </c>
      <c r="I56" s="11">
        <v>489.6</v>
      </c>
      <c r="J56" s="65">
        <f t="shared" si="0"/>
        <v>10.457783333333333</v>
      </c>
      <c r="K56" s="11">
        <v>156.4</v>
      </c>
      <c r="L56" s="11">
        <v>4766236.8</v>
      </c>
      <c r="M56" s="11">
        <v>37648</v>
      </c>
      <c r="N56" s="11">
        <f t="shared" si="22"/>
        <v>126.6</v>
      </c>
      <c r="O56" s="13">
        <v>6</v>
      </c>
      <c r="P56" s="14">
        <v>2.6829999999999998</v>
      </c>
      <c r="Q56" s="13">
        <v>34</v>
      </c>
      <c r="R56" s="67">
        <f t="shared" si="1"/>
        <v>2.8333333333333335</v>
      </c>
      <c r="S56" s="14">
        <v>54.95</v>
      </c>
      <c r="T56" s="12">
        <f t="shared" si="23"/>
        <v>3.2511669936426935</v>
      </c>
      <c r="U56" s="12">
        <f t="shared" si="24"/>
        <v>78.028007847424647</v>
      </c>
      <c r="V56" s="12">
        <f t="shared" si="25"/>
        <v>6.9444444444444438</v>
      </c>
      <c r="W56" s="70">
        <f t="shared" si="2"/>
        <v>1.6161764705882353</v>
      </c>
      <c r="X56" s="13">
        <v>22</v>
      </c>
      <c r="Y56" s="67">
        <f t="shared" si="3"/>
        <v>1.8333333333333333</v>
      </c>
      <c r="Z56" s="14">
        <v>20.983000000000001</v>
      </c>
      <c r="AA56" s="12">
        <f t="shared" si="4"/>
        <v>2.1036962900040961</v>
      </c>
      <c r="AB56" s="12">
        <f t="shared" si="5"/>
        <v>50.488710960098302</v>
      </c>
      <c r="AC56" s="12">
        <f t="shared" si="6"/>
        <v>4.4934640522875817</v>
      </c>
      <c r="AD56" s="67">
        <f t="shared" si="7"/>
        <v>0.37445533769063183</v>
      </c>
      <c r="AE56" s="13">
        <v>7</v>
      </c>
      <c r="AF56" s="14">
        <v>13.916</v>
      </c>
      <c r="AG56" s="10">
        <v>0</v>
      </c>
      <c r="AH56" s="12">
        <f t="shared" si="8"/>
        <v>0</v>
      </c>
      <c r="AI56" s="12">
        <f t="shared" si="9"/>
        <v>0</v>
      </c>
      <c r="AJ56" s="12">
        <f t="shared" si="10"/>
        <v>0</v>
      </c>
      <c r="AK56" s="13">
        <v>69</v>
      </c>
      <c r="AL56" s="52">
        <v>92.531999999999996</v>
      </c>
      <c r="AM56" s="61">
        <v>56</v>
      </c>
      <c r="AN56" s="16">
        <f t="shared" si="26"/>
        <v>5.3548632836467895</v>
      </c>
      <c r="AO56" s="48">
        <f t="shared" si="27"/>
        <v>128.51671880752295</v>
      </c>
      <c r="AP56" s="48">
        <f t="shared" si="28"/>
        <v>11.437908496732026</v>
      </c>
      <c r="AQ56" s="57">
        <v>10</v>
      </c>
      <c r="AR56" s="14">
        <v>10.766999999999999</v>
      </c>
      <c r="AS56" s="12">
        <f t="shared" si="29"/>
        <v>0.95622558636549815</v>
      </c>
      <c r="AT56" s="12">
        <f t="shared" si="30"/>
        <v>22.949414072771955</v>
      </c>
      <c r="AU56" s="12">
        <f t="shared" si="31"/>
        <v>2.0424836601307188</v>
      </c>
      <c r="AV56" s="13">
        <v>7</v>
      </c>
      <c r="AW56" s="14">
        <v>6.5830000000000002</v>
      </c>
      <c r="AX56" s="12">
        <f t="shared" si="11"/>
        <v>0.66935791045584869</v>
      </c>
      <c r="AY56" s="12">
        <f t="shared" si="12"/>
        <v>16.064589850940369</v>
      </c>
      <c r="AZ56" s="12">
        <f t="shared" si="13"/>
        <v>1.4297385620915033</v>
      </c>
      <c r="BA56" s="13">
        <v>4</v>
      </c>
      <c r="BB56" s="14">
        <v>2.117</v>
      </c>
      <c r="BC56" s="12">
        <f t="shared" si="14"/>
        <v>0.38249023454619924</v>
      </c>
      <c r="BD56" s="12">
        <f t="shared" si="15"/>
        <v>9.1797656291087826</v>
      </c>
      <c r="BE56" s="12">
        <f t="shared" si="16"/>
        <v>0.81699346405228757</v>
      </c>
      <c r="BF56" s="13">
        <v>1</v>
      </c>
      <c r="BG56" s="52">
        <v>1.5169999999999999</v>
      </c>
      <c r="BH56" s="48">
        <f t="shared" si="17"/>
        <v>9.5622558636549809E-2</v>
      </c>
      <c r="BI56" s="48">
        <f t="shared" si="18"/>
        <v>2.2949414072771956</v>
      </c>
      <c r="BJ56" s="48">
        <f t="shared" si="19"/>
        <v>0.20424836601307189</v>
      </c>
      <c r="BK56" s="9" t="str">
        <f>"55"</f>
        <v>55</v>
      </c>
      <c r="BL56" s="9" t="str">
        <f>"4040 10080 124 1-1"</f>
        <v>4040 10080 124 1-1</v>
      </c>
      <c r="BM56" s="9" t="str">
        <f>"1195 Z"</f>
        <v>1195 Z</v>
      </c>
      <c r="BN56" s="10">
        <f t="shared" si="32"/>
        <v>780.28007847424647</v>
      </c>
      <c r="BO56" s="11">
        <f t="shared" si="33"/>
        <v>87.148194444444442</v>
      </c>
    </row>
    <row r="57" spans="1:67">
      <c r="A57" s="15" t="s">
        <v>217</v>
      </c>
      <c r="B57" s="9" t="str">
        <f>"56"</f>
        <v>56</v>
      </c>
      <c r="C57" s="9" t="str">
        <f>"4040 10080 124 1-1"</f>
        <v>4040 10080 124 1-1</v>
      </c>
      <c r="D57" s="9" t="str">
        <f>"1022 Z"</f>
        <v>1022 Z</v>
      </c>
      <c r="E57" s="10">
        <f t="shared" si="20"/>
        <v>697.79259965062727</v>
      </c>
      <c r="F57" s="11">
        <f t="shared" si="21"/>
        <v>87.458333333333343</v>
      </c>
      <c r="G57" s="11">
        <v>629.70000000000005</v>
      </c>
      <c r="H57" s="11">
        <v>90.3</v>
      </c>
      <c r="I57" s="11">
        <v>439.4</v>
      </c>
      <c r="J57" s="65">
        <f t="shared" si="0"/>
        <v>10.495000000000001</v>
      </c>
      <c r="K57" s="11">
        <v>140.4</v>
      </c>
      <c r="L57" s="11">
        <v>3840540.3</v>
      </c>
      <c r="M57" s="11">
        <v>37782</v>
      </c>
      <c r="N57" s="11">
        <f t="shared" si="22"/>
        <v>101.64999999999999</v>
      </c>
      <c r="O57" s="13">
        <v>3</v>
      </c>
      <c r="P57" s="14">
        <v>2</v>
      </c>
      <c r="Q57" s="13">
        <v>26</v>
      </c>
      <c r="R57" s="67">
        <f t="shared" si="1"/>
        <v>2.1666666666666665</v>
      </c>
      <c r="S57" s="14">
        <v>48.917000000000002</v>
      </c>
      <c r="T57" s="12">
        <f t="shared" si="23"/>
        <v>2.477370176274416</v>
      </c>
      <c r="U57" s="12">
        <f t="shared" si="24"/>
        <v>59.456884230585992</v>
      </c>
      <c r="V57" s="12">
        <f t="shared" si="25"/>
        <v>5.9171597633136095</v>
      </c>
      <c r="W57" s="70">
        <f t="shared" si="2"/>
        <v>1.8814230769230771</v>
      </c>
      <c r="X57" s="13">
        <v>33</v>
      </c>
      <c r="Y57" s="67">
        <f t="shared" si="3"/>
        <v>2.75</v>
      </c>
      <c r="Z57" s="14">
        <v>36.85</v>
      </c>
      <c r="AA57" s="12">
        <f t="shared" si="4"/>
        <v>3.1443544545021438</v>
      </c>
      <c r="AB57" s="12">
        <f t="shared" si="5"/>
        <v>75.464506908051447</v>
      </c>
      <c r="AC57" s="12">
        <f t="shared" si="6"/>
        <v>7.510241238051889</v>
      </c>
      <c r="AD57" s="67">
        <f t="shared" si="7"/>
        <v>0.62585343650432412</v>
      </c>
      <c r="AE57" s="13">
        <v>2</v>
      </c>
      <c r="AF57" s="14">
        <v>2.5329999999999999</v>
      </c>
      <c r="AG57" s="10">
        <v>0</v>
      </c>
      <c r="AH57" s="12">
        <f t="shared" si="8"/>
        <v>0</v>
      </c>
      <c r="AI57" s="12">
        <f t="shared" si="9"/>
        <v>0</v>
      </c>
      <c r="AJ57" s="12">
        <f t="shared" si="10"/>
        <v>0</v>
      </c>
      <c r="AK57" s="13">
        <v>64</v>
      </c>
      <c r="AL57" s="52">
        <v>90.3</v>
      </c>
      <c r="AM57" s="61">
        <v>59</v>
      </c>
      <c r="AN57" s="16">
        <f t="shared" si="26"/>
        <v>5.6217246307765603</v>
      </c>
      <c r="AO57" s="48">
        <f t="shared" si="27"/>
        <v>134.92139113863743</v>
      </c>
      <c r="AP57" s="48">
        <f t="shared" si="28"/>
        <v>13.427401001365499</v>
      </c>
      <c r="AQ57" s="57">
        <v>10</v>
      </c>
      <c r="AR57" s="14">
        <v>9.1669999999999998</v>
      </c>
      <c r="AS57" s="12">
        <f t="shared" si="29"/>
        <v>0.95283468318246778</v>
      </c>
      <c r="AT57" s="12">
        <f t="shared" si="30"/>
        <v>22.868032396379228</v>
      </c>
      <c r="AU57" s="12">
        <f t="shared" si="31"/>
        <v>2.2758306781975421</v>
      </c>
      <c r="AV57" s="13">
        <v>11</v>
      </c>
      <c r="AW57" s="14">
        <v>18.45</v>
      </c>
      <c r="AX57" s="12">
        <f t="shared" si="11"/>
        <v>1.0481181515007145</v>
      </c>
      <c r="AY57" s="12">
        <f t="shared" si="12"/>
        <v>25.15483563601715</v>
      </c>
      <c r="AZ57" s="12">
        <f t="shared" si="13"/>
        <v>2.5034137460172965</v>
      </c>
      <c r="BA57" s="13">
        <v>9</v>
      </c>
      <c r="BB57" s="14">
        <v>7.75</v>
      </c>
      <c r="BC57" s="12">
        <f t="shared" si="14"/>
        <v>0.85755121486422103</v>
      </c>
      <c r="BD57" s="12">
        <f t="shared" si="15"/>
        <v>20.581229156741305</v>
      </c>
      <c r="BE57" s="12">
        <f t="shared" si="16"/>
        <v>2.0482476103777878</v>
      </c>
      <c r="BF57" s="13">
        <v>3</v>
      </c>
      <c r="BG57" s="52">
        <v>1.4830000000000001</v>
      </c>
      <c r="BH57" s="48">
        <f t="shared" si="17"/>
        <v>0.28585040495474034</v>
      </c>
      <c r="BI57" s="48">
        <f t="shared" si="18"/>
        <v>6.8604097189137683</v>
      </c>
      <c r="BJ57" s="48">
        <f t="shared" si="19"/>
        <v>0.68274920345926271</v>
      </c>
      <c r="BK57" s="9" t="str">
        <f>"56"</f>
        <v>56</v>
      </c>
      <c r="BL57" s="9" t="str">
        <f>"4040 10080 124 1-1"</f>
        <v>4040 10080 124 1-1</v>
      </c>
      <c r="BM57" s="9" t="str">
        <f>"1022 Z"</f>
        <v>1022 Z</v>
      </c>
      <c r="BN57" s="10">
        <f t="shared" si="32"/>
        <v>697.79259965062727</v>
      </c>
      <c r="BO57" s="11">
        <f t="shared" si="33"/>
        <v>87.458333333333343</v>
      </c>
    </row>
    <row r="58" spans="1:67">
      <c r="A58" s="15" t="s">
        <v>217</v>
      </c>
      <c r="B58" s="9" t="str">
        <f>"57"</f>
        <v>57</v>
      </c>
      <c r="C58" s="9" t="str">
        <f>"6060 18587 126 4-1"</f>
        <v>6060 18587 126 4-1</v>
      </c>
      <c r="D58" s="9" t="str">
        <f>"1043 Z"</f>
        <v>1043 Z</v>
      </c>
      <c r="E58" s="10">
        <f t="shared" si="20"/>
        <v>661.49688638232874</v>
      </c>
      <c r="F58" s="11">
        <f t="shared" si="21"/>
        <v>59.100062495660026</v>
      </c>
      <c r="G58" s="11">
        <v>425.55</v>
      </c>
      <c r="H58" s="11">
        <v>294.5</v>
      </c>
      <c r="I58" s="11">
        <v>281.5</v>
      </c>
      <c r="J58" s="65">
        <f t="shared" si="0"/>
        <v>7.0925000000000002</v>
      </c>
      <c r="K58" s="11">
        <v>84.7</v>
      </c>
      <c r="L58" s="11">
        <v>2337035.4900000002</v>
      </c>
      <c r="M58" s="11">
        <v>25533</v>
      </c>
      <c r="N58" s="11">
        <f t="shared" si="22"/>
        <v>91.530000000000015</v>
      </c>
      <c r="O58" s="13">
        <v>16</v>
      </c>
      <c r="P58" s="14">
        <v>22.5</v>
      </c>
      <c r="Q58" s="13">
        <v>14</v>
      </c>
      <c r="R58" s="67">
        <f t="shared" si="1"/>
        <v>1.1666666666666667</v>
      </c>
      <c r="S58" s="14">
        <v>44.65</v>
      </c>
      <c r="T58" s="12">
        <f t="shared" si="23"/>
        <v>1.973916108565386</v>
      </c>
      <c r="U58" s="12">
        <f t="shared" si="24"/>
        <v>47.373986605569264</v>
      </c>
      <c r="V58" s="12">
        <f t="shared" si="25"/>
        <v>4.9733570159857905</v>
      </c>
      <c r="W58" s="70">
        <f t="shared" si="2"/>
        <v>3.1892857142857141</v>
      </c>
      <c r="X58" s="13">
        <v>21</v>
      </c>
      <c r="Y58" s="67">
        <f t="shared" si="3"/>
        <v>1.75</v>
      </c>
      <c r="Z58" s="14">
        <v>11.9</v>
      </c>
      <c r="AA58" s="12">
        <f t="shared" si="4"/>
        <v>2.960874162848079</v>
      </c>
      <c r="AB58" s="12">
        <f t="shared" si="5"/>
        <v>71.060979908353886</v>
      </c>
      <c r="AC58" s="12">
        <f t="shared" si="6"/>
        <v>7.4600355239786857</v>
      </c>
      <c r="AD58" s="67">
        <f t="shared" si="7"/>
        <v>0.62166962699822381</v>
      </c>
      <c r="AE58" s="13">
        <v>5</v>
      </c>
      <c r="AF58" s="14">
        <v>215.45</v>
      </c>
      <c r="AG58" s="10">
        <v>0</v>
      </c>
      <c r="AH58" s="12">
        <f t="shared" si="8"/>
        <v>0</v>
      </c>
      <c r="AI58" s="12">
        <f t="shared" si="9"/>
        <v>0</v>
      </c>
      <c r="AJ58" s="12">
        <f t="shared" si="10"/>
        <v>0</v>
      </c>
      <c r="AK58" s="13">
        <v>56</v>
      </c>
      <c r="AL58" s="52">
        <v>294.5</v>
      </c>
      <c r="AM58" s="61">
        <v>35</v>
      </c>
      <c r="AN58" s="16">
        <f t="shared" si="26"/>
        <v>4.9347902714134646</v>
      </c>
      <c r="AO58" s="48">
        <f t="shared" si="27"/>
        <v>118.43496651392316</v>
      </c>
      <c r="AP58" s="48">
        <f t="shared" si="28"/>
        <v>12.433392539964476</v>
      </c>
      <c r="AQ58" s="57">
        <v>6</v>
      </c>
      <c r="AR58" s="14">
        <v>2.4169999999999998</v>
      </c>
      <c r="AS58" s="12">
        <f t="shared" si="29"/>
        <v>0.84596404652802248</v>
      </c>
      <c r="AT58" s="12">
        <f t="shared" si="30"/>
        <v>20.303137116672541</v>
      </c>
      <c r="AU58" s="12">
        <f t="shared" si="31"/>
        <v>2.1314387211367674</v>
      </c>
      <c r="AV58" s="13">
        <v>10</v>
      </c>
      <c r="AW58" s="14">
        <v>5.633</v>
      </c>
      <c r="AX58" s="12">
        <f t="shared" si="11"/>
        <v>1.4099400775467041</v>
      </c>
      <c r="AY58" s="12">
        <f t="shared" si="12"/>
        <v>33.838561861120901</v>
      </c>
      <c r="AZ58" s="12">
        <f t="shared" si="13"/>
        <v>3.5523978685612789</v>
      </c>
      <c r="BA58" s="13">
        <v>2</v>
      </c>
      <c r="BB58" s="14">
        <v>1.417</v>
      </c>
      <c r="BC58" s="12">
        <f t="shared" si="14"/>
        <v>0.28198801550934083</v>
      </c>
      <c r="BD58" s="12">
        <f t="shared" si="15"/>
        <v>6.7677123722241799</v>
      </c>
      <c r="BE58" s="12">
        <f t="shared" si="16"/>
        <v>0.71047957371225579</v>
      </c>
      <c r="BF58" s="13">
        <v>3</v>
      </c>
      <c r="BG58" s="52">
        <v>2.4329999999999998</v>
      </c>
      <c r="BH58" s="48">
        <f t="shared" si="17"/>
        <v>0.42298202326401124</v>
      </c>
      <c r="BI58" s="48">
        <f t="shared" si="18"/>
        <v>10.151568558336271</v>
      </c>
      <c r="BJ58" s="48">
        <f t="shared" si="19"/>
        <v>1.0657193605683837</v>
      </c>
      <c r="BK58" s="9" t="str">
        <f>"57"</f>
        <v>57</v>
      </c>
      <c r="BL58" s="9" t="str">
        <f>"6060 18587 126 4-1"</f>
        <v>6060 18587 126 4-1</v>
      </c>
      <c r="BM58" s="9" t="str">
        <f>"1043 Z"</f>
        <v>1043 Z</v>
      </c>
      <c r="BN58" s="10">
        <f t="shared" si="32"/>
        <v>661.49688638232874</v>
      </c>
      <c r="BO58" s="11">
        <f t="shared" si="33"/>
        <v>59.100062495660026</v>
      </c>
    </row>
    <row r="59" spans="1:67">
      <c r="A59" s="15" t="s">
        <v>217</v>
      </c>
      <c r="B59" s="9" t="str">
        <f>"58"</f>
        <v>58</v>
      </c>
      <c r="C59" s="9" t="str">
        <f>"6060 18587 123 4-1"</f>
        <v>6060 18587 123 4-1</v>
      </c>
      <c r="D59" s="9" t="str">
        <f>"1029 R"</f>
        <v>1029 R</v>
      </c>
      <c r="E59" s="10">
        <f t="shared" si="20"/>
        <v>648.40603459528495</v>
      </c>
      <c r="F59" s="11">
        <f t="shared" si="21"/>
        <v>88.314861111111114</v>
      </c>
      <c r="G59" s="11">
        <v>635.86699999999996</v>
      </c>
      <c r="H59" s="11">
        <v>84.132999999999996</v>
      </c>
      <c r="I59" s="11">
        <v>412.3</v>
      </c>
      <c r="J59" s="65">
        <f t="shared" si="0"/>
        <v>10.597783333333332</v>
      </c>
      <c r="K59" s="11">
        <v>120.4</v>
      </c>
      <c r="L59" s="11">
        <v>3649238.8</v>
      </c>
      <c r="M59" s="11">
        <v>38152</v>
      </c>
      <c r="N59" s="11">
        <f t="shared" si="22"/>
        <v>95.649999999999991</v>
      </c>
      <c r="O59" s="13">
        <v>4</v>
      </c>
      <c r="P59" s="14">
        <v>3.7</v>
      </c>
      <c r="Q59" s="13">
        <v>27</v>
      </c>
      <c r="R59" s="67">
        <f t="shared" si="1"/>
        <v>2.25</v>
      </c>
      <c r="S59" s="14">
        <v>56.933</v>
      </c>
      <c r="T59" s="12">
        <f t="shared" si="23"/>
        <v>2.5477025856035933</v>
      </c>
      <c r="U59" s="12">
        <f t="shared" si="24"/>
        <v>61.144862054486239</v>
      </c>
      <c r="V59" s="12">
        <f t="shared" si="25"/>
        <v>6.5486296386126606</v>
      </c>
      <c r="W59" s="70">
        <f t="shared" si="2"/>
        <v>2.1086296296296294</v>
      </c>
      <c r="X59" s="13">
        <v>34</v>
      </c>
      <c r="Y59" s="67">
        <f t="shared" si="3"/>
        <v>2.8333333333333335</v>
      </c>
      <c r="Z59" s="14">
        <v>21.85</v>
      </c>
      <c r="AA59" s="12">
        <f t="shared" si="4"/>
        <v>3.2082180707600805</v>
      </c>
      <c r="AB59" s="12">
        <f t="shared" si="5"/>
        <v>76.997233698241928</v>
      </c>
      <c r="AC59" s="12">
        <f t="shared" si="6"/>
        <v>8.2464225078826097</v>
      </c>
      <c r="AD59" s="67">
        <f t="shared" si="7"/>
        <v>0.68720187565688418</v>
      </c>
      <c r="AE59" s="13">
        <v>1</v>
      </c>
      <c r="AF59" s="14">
        <v>1.65</v>
      </c>
      <c r="AG59" s="10">
        <v>0</v>
      </c>
      <c r="AH59" s="12">
        <f t="shared" si="8"/>
        <v>0</v>
      </c>
      <c r="AI59" s="12">
        <f t="shared" si="9"/>
        <v>0</v>
      </c>
      <c r="AJ59" s="12">
        <f t="shared" si="10"/>
        <v>0</v>
      </c>
      <c r="AK59" s="13">
        <v>66</v>
      </c>
      <c r="AL59" s="52">
        <v>84.132999999999996</v>
      </c>
      <c r="AM59" s="61">
        <v>61</v>
      </c>
      <c r="AN59" s="16">
        <f t="shared" si="26"/>
        <v>5.7559206563636742</v>
      </c>
      <c r="AO59" s="48">
        <f t="shared" si="27"/>
        <v>138.14209575272818</v>
      </c>
      <c r="AP59" s="48">
        <f t="shared" si="28"/>
        <v>14.795052146495269</v>
      </c>
      <c r="AQ59" s="57">
        <v>11</v>
      </c>
      <c r="AR59" s="14">
        <v>4.9829999999999997</v>
      </c>
      <c r="AS59" s="12">
        <f t="shared" si="29"/>
        <v>1.0379529052459084</v>
      </c>
      <c r="AT59" s="12">
        <f t="shared" si="30"/>
        <v>24.910869725901801</v>
      </c>
      <c r="AU59" s="12">
        <f t="shared" si="31"/>
        <v>2.6679602231384911</v>
      </c>
      <c r="AV59" s="13">
        <v>19</v>
      </c>
      <c r="AW59" s="14">
        <v>12.467000000000001</v>
      </c>
      <c r="AX59" s="12">
        <f t="shared" si="11"/>
        <v>1.792827745424751</v>
      </c>
      <c r="AY59" s="12">
        <f t="shared" si="12"/>
        <v>43.027865890194022</v>
      </c>
      <c r="AZ59" s="12">
        <f t="shared" si="13"/>
        <v>4.6082949308755756</v>
      </c>
      <c r="BA59" s="13">
        <v>1</v>
      </c>
      <c r="BB59" s="14">
        <v>0.11700000000000001</v>
      </c>
      <c r="BC59" s="12">
        <f t="shared" si="14"/>
        <v>9.4359355022355304E-2</v>
      </c>
      <c r="BD59" s="12">
        <f t="shared" si="15"/>
        <v>2.2646245205365276</v>
      </c>
      <c r="BE59" s="12">
        <f t="shared" si="16"/>
        <v>0.24254183846713556</v>
      </c>
      <c r="BF59" s="13">
        <v>3</v>
      </c>
      <c r="BG59" s="52">
        <v>4.2830000000000004</v>
      </c>
      <c r="BH59" s="48">
        <f t="shared" si="17"/>
        <v>0.28307806506706595</v>
      </c>
      <c r="BI59" s="48">
        <f t="shared" si="18"/>
        <v>6.7938735616095824</v>
      </c>
      <c r="BJ59" s="48">
        <f t="shared" si="19"/>
        <v>0.72762551540140674</v>
      </c>
      <c r="BK59" s="9" t="str">
        <f>"58"</f>
        <v>58</v>
      </c>
      <c r="BL59" s="9" t="str">
        <f>"6060 18587 123 4-1"</f>
        <v>6060 18587 123 4-1</v>
      </c>
      <c r="BM59" s="9" t="str">
        <f>"1029 R"</f>
        <v>1029 R</v>
      </c>
      <c r="BN59" s="10">
        <f t="shared" si="32"/>
        <v>648.40603459528495</v>
      </c>
      <c r="BO59" s="11">
        <f t="shared" si="33"/>
        <v>88.314861111111114</v>
      </c>
    </row>
    <row r="60" spans="1:67">
      <c r="A60" s="15" t="s">
        <v>217</v>
      </c>
      <c r="B60" s="9" t="str">
        <f>"59"</f>
        <v>59</v>
      </c>
      <c r="C60" s="9" t="str">
        <f>"6060 178120 100 4-1"</f>
        <v>6060 178120 100 4-1</v>
      </c>
      <c r="D60" s="9" t="str">
        <f>"1051 Z"</f>
        <v>1051 Z</v>
      </c>
      <c r="E60" s="10">
        <f t="shared" si="20"/>
        <v>693.33333333333337</v>
      </c>
      <c r="F60" s="11">
        <f t="shared" si="21"/>
        <v>60.416666666666664</v>
      </c>
      <c r="G60" s="11">
        <v>435</v>
      </c>
      <c r="H60" s="11">
        <v>285</v>
      </c>
      <c r="I60" s="11">
        <v>301.60000000000002</v>
      </c>
      <c r="J60" s="65">
        <f t="shared" si="0"/>
        <v>7.25</v>
      </c>
      <c r="K60" s="11">
        <v>65.099999999999994</v>
      </c>
      <c r="L60" s="11">
        <v>1618200</v>
      </c>
      <c r="M60" s="11">
        <v>26100</v>
      </c>
      <c r="N60" s="11">
        <f t="shared" si="22"/>
        <v>62</v>
      </c>
      <c r="O60" s="13">
        <v>2</v>
      </c>
      <c r="P60" s="14">
        <v>2.2170000000000001</v>
      </c>
      <c r="Q60" s="13">
        <v>33</v>
      </c>
      <c r="R60" s="67">
        <f t="shared" si="1"/>
        <v>2.75</v>
      </c>
      <c r="S60" s="14">
        <v>108.833</v>
      </c>
      <c r="T60" s="12">
        <f t="shared" si="23"/>
        <v>4.5517241379310347</v>
      </c>
      <c r="U60" s="12">
        <f t="shared" si="24"/>
        <v>109.24137931034483</v>
      </c>
      <c r="V60" s="12">
        <f t="shared" si="25"/>
        <v>10.941644562334217</v>
      </c>
      <c r="W60" s="70">
        <f t="shared" si="2"/>
        <v>3.2979696969696968</v>
      </c>
      <c r="X60" s="13">
        <v>24</v>
      </c>
      <c r="Y60" s="67">
        <f t="shared" si="3"/>
        <v>2</v>
      </c>
      <c r="Z60" s="14">
        <v>21.966999999999999</v>
      </c>
      <c r="AA60" s="12">
        <f t="shared" si="4"/>
        <v>3.3103448275862069</v>
      </c>
      <c r="AB60" s="12">
        <f t="shared" si="5"/>
        <v>79.448275862068968</v>
      </c>
      <c r="AC60" s="12">
        <f t="shared" si="6"/>
        <v>7.957559681697612</v>
      </c>
      <c r="AD60" s="67">
        <f t="shared" si="7"/>
        <v>0.66312997347480096</v>
      </c>
      <c r="AE60" s="13">
        <v>3</v>
      </c>
      <c r="AF60" s="14">
        <v>151.983</v>
      </c>
      <c r="AG60" s="10">
        <v>0</v>
      </c>
      <c r="AH60" s="12">
        <f t="shared" si="8"/>
        <v>0</v>
      </c>
      <c r="AI60" s="12">
        <f t="shared" si="9"/>
        <v>0</v>
      </c>
      <c r="AJ60" s="12">
        <f t="shared" si="10"/>
        <v>0</v>
      </c>
      <c r="AK60" s="13">
        <v>62</v>
      </c>
      <c r="AL60" s="52">
        <v>285</v>
      </c>
      <c r="AM60" s="61">
        <v>57</v>
      </c>
      <c r="AN60" s="16">
        <f t="shared" si="26"/>
        <v>7.8620689655172411</v>
      </c>
      <c r="AO60" s="48">
        <f t="shared" si="27"/>
        <v>188.68965517241378</v>
      </c>
      <c r="AP60" s="48">
        <f t="shared" si="28"/>
        <v>18.899204244031829</v>
      </c>
      <c r="AQ60" s="57">
        <v>6</v>
      </c>
      <c r="AR60" s="14">
        <v>4.0999999999999996</v>
      </c>
      <c r="AS60" s="12">
        <f t="shared" si="29"/>
        <v>0.82758620689655171</v>
      </c>
      <c r="AT60" s="12">
        <f t="shared" si="30"/>
        <v>19.862068965517242</v>
      </c>
      <c r="AU60" s="12">
        <f t="shared" si="31"/>
        <v>1.989389920424403</v>
      </c>
      <c r="AV60" s="13">
        <v>10</v>
      </c>
      <c r="AW60" s="14">
        <v>10.167</v>
      </c>
      <c r="AX60" s="12">
        <f t="shared" si="11"/>
        <v>1.3793103448275863</v>
      </c>
      <c r="AY60" s="12">
        <f t="shared" si="12"/>
        <v>33.103448275862071</v>
      </c>
      <c r="AZ60" s="12">
        <f t="shared" si="13"/>
        <v>3.3156498673740051</v>
      </c>
      <c r="BA60" s="13">
        <v>4</v>
      </c>
      <c r="BB60" s="14">
        <v>5.05</v>
      </c>
      <c r="BC60" s="12">
        <f t="shared" si="14"/>
        <v>0.55172413793103448</v>
      </c>
      <c r="BD60" s="12">
        <f t="shared" si="15"/>
        <v>13.241379310344827</v>
      </c>
      <c r="BE60" s="12">
        <f t="shared" si="16"/>
        <v>1.3262599469496019</v>
      </c>
      <c r="BF60" s="13">
        <v>4</v>
      </c>
      <c r="BG60" s="52">
        <v>2.65</v>
      </c>
      <c r="BH60" s="48">
        <f t="shared" si="17"/>
        <v>0.55172413793103448</v>
      </c>
      <c r="BI60" s="48">
        <f t="shared" si="18"/>
        <v>13.241379310344827</v>
      </c>
      <c r="BJ60" s="48">
        <f t="shared" si="19"/>
        <v>1.3262599469496019</v>
      </c>
      <c r="BK60" s="9" t="str">
        <f>"59"</f>
        <v>59</v>
      </c>
      <c r="BL60" s="9" t="str">
        <f>"6060 178120 100 4-1"</f>
        <v>6060 178120 100 4-1</v>
      </c>
      <c r="BM60" s="9" t="str">
        <f>"1051 Z"</f>
        <v>1051 Z</v>
      </c>
      <c r="BN60" s="10">
        <f t="shared" si="32"/>
        <v>693.33333333333337</v>
      </c>
      <c r="BO60" s="11">
        <f t="shared" si="33"/>
        <v>60.416666666666664</v>
      </c>
    </row>
    <row r="61" spans="1:67">
      <c r="A61" s="15" t="s">
        <v>217</v>
      </c>
      <c r="B61" s="9" t="str">
        <f>"60"</f>
        <v>60</v>
      </c>
      <c r="C61" s="9" t="str">
        <f>"8080 10288 46x2 1-1"</f>
        <v>8080 10288 46x2 1-1</v>
      </c>
      <c r="D61" s="9" t="str">
        <f>"1067 Z"</f>
        <v>1067 Z</v>
      </c>
      <c r="E61" s="10">
        <f t="shared" si="20"/>
        <v>796.67840966280824</v>
      </c>
      <c r="F61" s="11">
        <f t="shared" si="21"/>
        <v>82.791666666666671</v>
      </c>
      <c r="G61" s="11">
        <v>596.1</v>
      </c>
      <c r="H61" s="11">
        <v>123.9</v>
      </c>
      <c r="I61" s="11">
        <v>474.9</v>
      </c>
      <c r="J61" s="65">
        <f t="shared" si="0"/>
        <v>9.9350000000000005</v>
      </c>
      <c r="K61" s="11">
        <v>137.1</v>
      </c>
      <c r="L61" s="11">
        <v>2283301.44</v>
      </c>
      <c r="M61" s="11">
        <v>35766</v>
      </c>
      <c r="N61" s="11">
        <f t="shared" si="22"/>
        <v>63.839999999999996</v>
      </c>
      <c r="O61" s="13">
        <v>3</v>
      </c>
      <c r="P61" s="14">
        <v>2.617</v>
      </c>
      <c r="Q61" s="13">
        <v>33</v>
      </c>
      <c r="R61" s="67">
        <f t="shared" si="1"/>
        <v>2.75</v>
      </c>
      <c r="S61" s="14">
        <v>69.95</v>
      </c>
      <c r="T61" s="12">
        <f t="shared" si="23"/>
        <v>3.3215903371917461</v>
      </c>
      <c r="U61" s="12">
        <f t="shared" si="24"/>
        <v>79.718168092601914</v>
      </c>
      <c r="V61" s="12">
        <f t="shared" si="25"/>
        <v>6.9488313329121922</v>
      </c>
      <c r="W61" s="70">
        <f t="shared" si="2"/>
        <v>2.1196969696969696</v>
      </c>
      <c r="X61" s="13">
        <v>55</v>
      </c>
      <c r="Y61" s="67">
        <f t="shared" si="3"/>
        <v>4.583333333333333</v>
      </c>
      <c r="Z61" s="14">
        <v>42.3</v>
      </c>
      <c r="AA61" s="12">
        <f t="shared" si="4"/>
        <v>5.5359838953195775</v>
      </c>
      <c r="AB61" s="12">
        <f t="shared" si="5"/>
        <v>132.86361348766985</v>
      </c>
      <c r="AC61" s="12">
        <f t="shared" si="6"/>
        <v>11.581385554853654</v>
      </c>
      <c r="AD61" s="67">
        <f t="shared" si="7"/>
        <v>0.96511546290447114</v>
      </c>
      <c r="AE61" s="13">
        <v>4</v>
      </c>
      <c r="AF61" s="14">
        <v>9.0329999999999995</v>
      </c>
      <c r="AG61" s="10">
        <v>0</v>
      </c>
      <c r="AH61" s="12">
        <f t="shared" si="8"/>
        <v>0</v>
      </c>
      <c r="AI61" s="12">
        <f t="shared" si="9"/>
        <v>0</v>
      </c>
      <c r="AJ61" s="12">
        <f t="shared" si="10"/>
        <v>0</v>
      </c>
      <c r="AK61" s="13">
        <v>95</v>
      </c>
      <c r="AL61" s="52">
        <v>123.9</v>
      </c>
      <c r="AM61" s="61">
        <v>88</v>
      </c>
      <c r="AN61" s="16">
        <f t="shared" si="26"/>
        <v>8.8575742325113236</v>
      </c>
      <c r="AO61" s="48">
        <f t="shared" si="27"/>
        <v>212.58178158027175</v>
      </c>
      <c r="AP61" s="48">
        <f t="shared" si="28"/>
        <v>18.530216887765846</v>
      </c>
      <c r="AQ61" s="57">
        <v>24</v>
      </c>
      <c r="AR61" s="14">
        <v>14.882999999999999</v>
      </c>
      <c r="AS61" s="12">
        <f t="shared" si="29"/>
        <v>2.4157020634121791</v>
      </c>
      <c r="AT61" s="12">
        <f t="shared" si="30"/>
        <v>57.976849521892298</v>
      </c>
      <c r="AU61" s="12">
        <f t="shared" si="31"/>
        <v>5.0536955148452307</v>
      </c>
      <c r="AV61" s="13">
        <v>22</v>
      </c>
      <c r="AW61" s="14">
        <v>21.033000000000001</v>
      </c>
      <c r="AX61" s="12">
        <f t="shared" si="11"/>
        <v>2.2143935581278309</v>
      </c>
      <c r="AY61" s="12">
        <f t="shared" si="12"/>
        <v>53.145445395067938</v>
      </c>
      <c r="AZ61" s="12">
        <f t="shared" si="13"/>
        <v>4.6325542219414615</v>
      </c>
      <c r="BA61" s="13">
        <v>5</v>
      </c>
      <c r="BB61" s="14">
        <v>3.55</v>
      </c>
      <c r="BC61" s="12">
        <f t="shared" si="14"/>
        <v>0.50327126321087068</v>
      </c>
      <c r="BD61" s="12">
        <f t="shared" si="15"/>
        <v>12.078510317060895</v>
      </c>
      <c r="BE61" s="12">
        <f t="shared" si="16"/>
        <v>1.0528532322594231</v>
      </c>
      <c r="BF61" s="13">
        <v>4</v>
      </c>
      <c r="BG61" s="52">
        <v>2.8330000000000002</v>
      </c>
      <c r="BH61" s="48">
        <f t="shared" si="17"/>
        <v>0.40261701056869653</v>
      </c>
      <c r="BI61" s="48">
        <f t="shared" si="18"/>
        <v>9.6628082536487163</v>
      </c>
      <c r="BJ61" s="48">
        <f t="shared" si="19"/>
        <v>0.84228258580753845</v>
      </c>
      <c r="BK61" s="9" t="str">
        <f>"60"</f>
        <v>60</v>
      </c>
      <c r="BL61" s="9" t="str">
        <f>"8080 10288 46x2 1-1"</f>
        <v>8080 10288 46x2 1-1</v>
      </c>
      <c r="BM61" s="9" t="str">
        <f>"1067 Z"</f>
        <v>1067 Z</v>
      </c>
      <c r="BN61" s="10">
        <f t="shared" si="32"/>
        <v>796.67840966280824</v>
      </c>
      <c r="BO61" s="11">
        <f t="shared" si="33"/>
        <v>82.791666666666671</v>
      </c>
    </row>
    <row r="62" spans="1:67">
      <c r="A62" s="15" t="s">
        <v>217</v>
      </c>
      <c r="B62" s="9" t="str">
        <f>"61"</f>
        <v>61</v>
      </c>
      <c r="C62" s="9" t="str">
        <f>"8080 8080 86 1-1"</f>
        <v>8080 8080 86 1-1</v>
      </c>
      <c r="D62" s="9" t="str">
        <f>"1057 Z"</f>
        <v>1057 Z</v>
      </c>
      <c r="E62" s="10">
        <f t="shared" si="20"/>
        <v>796.62118258609485</v>
      </c>
      <c r="F62" s="11">
        <f t="shared" si="21"/>
        <v>85.5</v>
      </c>
      <c r="G62" s="11">
        <v>615.6</v>
      </c>
      <c r="H62" s="11">
        <v>104.4</v>
      </c>
      <c r="I62" s="11">
        <v>490.4</v>
      </c>
      <c r="J62" s="65">
        <f t="shared" si="0"/>
        <v>10.26</v>
      </c>
      <c r="K62" s="11">
        <v>155.69999999999999</v>
      </c>
      <c r="L62" s="11">
        <v>2089838.88</v>
      </c>
      <c r="M62" s="11">
        <v>36936</v>
      </c>
      <c r="N62" s="11">
        <f t="shared" si="22"/>
        <v>56.58</v>
      </c>
      <c r="O62" s="13">
        <v>4</v>
      </c>
      <c r="P62" s="14">
        <v>2.95</v>
      </c>
      <c r="Q62" s="13">
        <v>30</v>
      </c>
      <c r="R62" s="67">
        <f t="shared" si="1"/>
        <v>2.5</v>
      </c>
      <c r="S62" s="14">
        <v>47.616999999999997</v>
      </c>
      <c r="T62" s="12">
        <f t="shared" si="23"/>
        <v>2.9239766081871346</v>
      </c>
      <c r="U62" s="12">
        <f t="shared" si="24"/>
        <v>70.175438596491219</v>
      </c>
      <c r="V62" s="12">
        <f t="shared" si="25"/>
        <v>6.1174551386623168</v>
      </c>
      <c r="W62" s="70">
        <f t="shared" si="2"/>
        <v>1.5872333333333333</v>
      </c>
      <c r="X62" s="13">
        <v>53</v>
      </c>
      <c r="Y62" s="67">
        <f t="shared" si="3"/>
        <v>4.416666666666667</v>
      </c>
      <c r="Z62" s="14">
        <v>48.033000000000001</v>
      </c>
      <c r="AA62" s="12">
        <f t="shared" si="4"/>
        <v>5.1656920077972703</v>
      </c>
      <c r="AB62" s="12">
        <f t="shared" si="5"/>
        <v>123.9766081871345</v>
      </c>
      <c r="AC62" s="12">
        <f t="shared" si="6"/>
        <v>10.807504078303426</v>
      </c>
      <c r="AD62" s="67">
        <f t="shared" si="7"/>
        <v>0.90062533985861881</v>
      </c>
      <c r="AE62" s="13">
        <v>4</v>
      </c>
      <c r="AF62" s="14">
        <v>5.8</v>
      </c>
      <c r="AG62" s="10">
        <v>0</v>
      </c>
      <c r="AH62" s="12">
        <f t="shared" si="8"/>
        <v>0</v>
      </c>
      <c r="AI62" s="12">
        <f t="shared" si="9"/>
        <v>0</v>
      </c>
      <c r="AJ62" s="12">
        <f t="shared" si="10"/>
        <v>0</v>
      </c>
      <c r="AK62" s="13">
        <v>91</v>
      </c>
      <c r="AL62" s="52">
        <v>104.4</v>
      </c>
      <c r="AM62" s="61">
        <v>83</v>
      </c>
      <c r="AN62" s="16">
        <f t="shared" si="26"/>
        <v>8.0896686159844045</v>
      </c>
      <c r="AO62" s="48">
        <f t="shared" si="27"/>
        <v>194.15204678362574</v>
      </c>
      <c r="AP62" s="48">
        <f t="shared" si="28"/>
        <v>16.924959216965743</v>
      </c>
      <c r="AQ62" s="57">
        <v>23</v>
      </c>
      <c r="AR62" s="14">
        <v>13.717000000000001</v>
      </c>
      <c r="AS62" s="12">
        <f t="shared" si="29"/>
        <v>2.2417153996101362</v>
      </c>
      <c r="AT62" s="12">
        <f t="shared" si="30"/>
        <v>53.801169590643276</v>
      </c>
      <c r="AU62" s="12">
        <f t="shared" si="31"/>
        <v>4.6900489396411098</v>
      </c>
      <c r="AV62" s="13">
        <v>27</v>
      </c>
      <c r="AW62" s="14">
        <v>28.55</v>
      </c>
      <c r="AX62" s="12">
        <f t="shared" si="11"/>
        <v>2.6315789473684208</v>
      </c>
      <c r="AY62" s="12">
        <f t="shared" si="12"/>
        <v>63.157894736842103</v>
      </c>
      <c r="AZ62" s="12">
        <f t="shared" si="13"/>
        <v>5.5057096247960855</v>
      </c>
      <c r="BA62" s="13">
        <v>2</v>
      </c>
      <c r="BB62" s="14">
        <v>3.1669999999999998</v>
      </c>
      <c r="BC62" s="12">
        <f t="shared" si="14"/>
        <v>0.19493177387914229</v>
      </c>
      <c r="BD62" s="12">
        <f t="shared" si="15"/>
        <v>4.6783625730994149</v>
      </c>
      <c r="BE62" s="12">
        <f t="shared" si="16"/>
        <v>0.40783034257748779</v>
      </c>
      <c r="BF62" s="13">
        <v>1</v>
      </c>
      <c r="BG62" s="52">
        <v>2.6</v>
      </c>
      <c r="BH62" s="48">
        <f t="shared" si="17"/>
        <v>9.7465886939571145E-2</v>
      </c>
      <c r="BI62" s="48">
        <f t="shared" si="18"/>
        <v>2.3391812865497075</v>
      </c>
      <c r="BJ62" s="48">
        <f t="shared" si="19"/>
        <v>0.2039151712887439</v>
      </c>
      <c r="BK62" s="9" t="str">
        <f>"61"</f>
        <v>61</v>
      </c>
      <c r="BL62" s="9" t="str">
        <f>"8080 8080 86 1-1"</f>
        <v>8080 8080 86 1-1</v>
      </c>
      <c r="BM62" s="9" t="str">
        <f>"1057 Z"</f>
        <v>1057 Z</v>
      </c>
      <c r="BN62" s="10">
        <f t="shared" si="32"/>
        <v>796.62118258609485</v>
      </c>
      <c r="BO62" s="11">
        <f t="shared" si="33"/>
        <v>85.5</v>
      </c>
    </row>
    <row r="63" spans="1:67">
      <c r="A63" s="15" t="s">
        <v>217</v>
      </c>
      <c r="B63" s="9" t="str">
        <f>"62"</f>
        <v>62</v>
      </c>
      <c r="C63" s="9" t="str">
        <f>"8080 9088 46x2 1-1"</f>
        <v>8080 9088 46x2 1-1</v>
      </c>
      <c r="D63" s="9" t="str">
        <f>"1056 Z"</f>
        <v>1056 Z</v>
      </c>
      <c r="E63" s="10">
        <f t="shared" si="20"/>
        <v>793.49779959237674</v>
      </c>
      <c r="F63" s="11">
        <f t="shared" si="21"/>
        <v>84.296250000000001</v>
      </c>
      <c r="G63" s="11">
        <v>606.93299999999999</v>
      </c>
      <c r="H63" s="11">
        <v>113.06699999999999</v>
      </c>
      <c r="I63" s="11">
        <v>481.6</v>
      </c>
      <c r="J63" s="65">
        <f t="shared" si="0"/>
        <v>10.115550000000001</v>
      </c>
      <c r="K63" s="11">
        <v>139</v>
      </c>
      <c r="L63" s="11">
        <v>2456623.36</v>
      </c>
      <c r="M63" s="11">
        <v>36416</v>
      </c>
      <c r="N63" s="11">
        <f t="shared" si="22"/>
        <v>67.459999999999994</v>
      </c>
      <c r="O63" s="13">
        <v>5</v>
      </c>
      <c r="P63" s="14">
        <v>1.9830000000000001</v>
      </c>
      <c r="Q63" s="13">
        <v>24</v>
      </c>
      <c r="R63" s="67">
        <f t="shared" si="1"/>
        <v>2</v>
      </c>
      <c r="S63" s="14">
        <v>50.716999999999999</v>
      </c>
      <c r="T63" s="12">
        <f t="shared" si="23"/>
        <v>2.3725847828343491</v>
      </c>
      <c r="U63" s="12">
        <f t="shared" si="24"/>
        <v>56.94203478802438</v>
      </c>
      <c r="V63" s="12">
        <f t="shared" si="25"/>
        <v>4.9833887043189362</v>
      </c>
      <c r="W63" s="70">
        <f t="shared" si="2"/>
        <v>2.1132083333333331</v>
      </c>
      <c r="X63" s="13">
        <v>68</v>
      </c>
      <c r="Y63" s="67">
        <f t="shared" si="3"/>
        <v>5.666666666666667</v>
      </c>
      <c r="Z63" s="14">
        <v>57.017000000000003</v>
      </c>
      <c r="AA63" s="12">
        <f t="shared" si="4"/>
        <v>6.7223235513639894</v>
      </c>
      <c r="AB63" s="12">
        <f t="shared" si="5"/>
        <v>161.33576523273575</v>
      </c>
      <c r="AC63" s="12">
        <f t="shared" si="6"/>
        <v>14.119601328903654</v>
      </c>
      <c r="AD63" s="67">
        <f t="shared" si="7"/>
        <v>1.1766334440753046</v>
      </c>
      <c r="AE63" s="13">
        <v>4</v>
      </c>
      <c r="AF63" s="14">
        <v>3.35</v>
      </c>
      <c r="AG63" s="10">
        <v>0</v>
      </c>
      <c r="AH63" s="12">
        <f t="shared" si="8"/>
        <v>0</v>
      </c>
      <c r="AI63" s="12">
        <f t="shared" si="9"/>
        <v>0</v>
      </c>
      <c r="AJ63" s="12">
        <f t="shared" si="10"/>
        <v>0</v>
      </c>
      <c r="AK63" s="13">
        <v>101</v>
      </c>
      <c r="AL63" s="52">
        <v>113.06699999999999</v>
      </c>
      <c r="AM63" s="61">
        <v>92</v>
      </c>
      <c r="AN63" s="16">
        <f t="shared" si="26"/>
        <v>9.0949083341983386</v>
      </c>
      <c r="AO63" s="48">
        <f t="shared" si="27"/>
        <v>218.27780002076011</v>
      </c>
      <c r="AP63" s="48">
        <f t="shared" si="28"/>
        <v>19.102990033222589</v>
      </c>
      <c r="AQ63" s="57">
        <v>22</v>
      </c>
      <c r="AR63" s="14">
        <v>20.033000000000001</v>
      </c>
      <c r="AS63" s="12">
        <f t="shared" si="29"/>
        <v>2.1748693842648201</v>
      </c>
      <c r="AT63" s="12">
        <f t="shared" si="30"/>
        <v>52.196865222355683</v>
      </c>
      <c r="AU63" s="12">
        <f t="shared" si="31"/>
        <v>4.5681063122923584</v>
      </c>
      <c r="AV63" s="13">
        <v>41</v>
      </c>
      <c r="AW63" s="14">
        <v>31.65</v>
      </c>
      <c r="AX63" s="12">
        <f t="shared" si="11"/>
        <v>4.0531656706753463</v>
      </c>
      <c r="AY63" s="12">
        <f t="shared" si="12"/>
        <v>97.275976096208311</v>
      </c>
      <c r="AZ63" s="12">
        <f t="shared" si="13"/>
        <v>8.5132890365448493</v>
      </c>
      <c r="BA63" s="13">
        <v>5</v>
      </c>
      <c r="BB63" s="14">
        <v>4.9169999999999998</v>
      </c>
      <c r="BC63" s="12">
        <f t="shared" si="14"/>
        <v>0.49428849642382272</v>
      </c>
      <c r="BD63" s="12">
        <f t="shared" si="15"/>
        <v>11.862923914171745</v>
      </c>
      <c r="BE63" s="12">
        <f t="shared" si="16"/>
        <v>1.0382059800664452</v>
      </c>
      <c r="BF63" s="13">
        <v>0</v>
      </c>
      <c r="BG63" s="52">
        <v>0.41699999999999998</v>
      </c>
      <c r="BH63" s="48">
        <f t="shared" si="17"/>
        <v>0</v>
      </c>
      <c r="BI63" s="48">
        <f t="shared" si="18"/>
        <v>0</v>
      </c>
      <c r="BJ63" s="48">
        <f t="shared" si="19"/>
        <v>0</v>
      </c>
      <c r="BK63" s="9" t="str">
        <f>"62"</f>
        <v>62</v>
      </c>
      <c r="BL63" s="9" t="str">
        <f>"8080 9088 46x2 1-1"</f>
        <v>8080 9088 46x2 1-1</v>
      </c>
      <c r="BM63" s="9" t="str">
        <f>"1056 Z"</f>
        <v>1056 Z</v>
      </c>
      <c r="BN63" s="10">
        <f t="shared" si="32"/>
        <v>793.49779959237674</v>
      </c>
      <c r="BO63" s="11">
        <f t="shared" si="33"/>
        <v>84.296250000000001</v>
      </c>
    </row>
    <row r="64" spans="1:67">
      <c r="A64" s="15" t="s">
        <v>217</v>
      </c>
      <c r="B64" s="9" t="str">
        <f>"63"</f>
        <v>63</v>
      </c>
      <c r="C64" s="9" t="str">
        <f>"3030 7674 77 1-1"</f>
        <v>3030 7674 77 1-1</v>
      </c>
      <c r="D64" s="9" t="str">
        <f>"1124"</f>
        <v>1124</v>
      </c>
      <c r="E64" s="10">
        <f t="shared" si="20"/>
        <v>944.54948112228078</v>
      </c>
      <c r="F64" s="11">
        <f t="shared" si="21"/>
        <v>88.960694444444457</v>
      </c>
      <c r="G64" s="11">
        <v>640.51700000000005</v>
      </c>
      <c r="H64" s="11">
        <v>79.483000000000004</v>
      </c>
      <c r="I64" s="11">
        <v>605</v>
      </c>
      <c r="J64" s="65">
        <f t="shared" si="0"/>
        <v>10.675283333333335</v>
      </c>
      <c r="K64" s="11">
        <v>209</v>
      </c>
      <c r="L64" s="11">
        <v>2337757.73</v>
      </c>
      <c r="M64" s="11">
        <v>38431</v>
      </c>
      <c r="N64" s="11">
        <f t="shared" si="22"/>
        <v>60.83</v>
      </c>
      <c r="O64" s="13">
        <v>4</v>
      </c>
      <c r="P64" s="14">
        <v>1.35</v>
      </c>
      <c r="Q64" s="13">
        <v>17</v>
      </c>
      <c r="R64" s="67">
        <f t="shared" si="1"/>
        <v>1.4166666666666667</v>
      </c>
      <c r="S64" s="14">
        <v>20.233000000000001</v>
      </c>
      <c r="T64" s="12">
        <f t="shared" si="23"/>
        <v>1.5924635880078124</v>
      </c>
      <c r="U64" s="12">
        <f t="shared" si="24"/>
        <v>38.219126112187496</v>
      </c>
      <c r="V64" s="12">
        <f t="shared" si="25"/>
        <v>2.8099173553719008</v>
      </c>
      <c r="W64" s="70">
        <f t="shared" si="2"/>
        <v>1.1901764705882354</v>
      </c>
      <c r="X64" s="13">
        <v>62</v>
      </c>
      <c r="Y64" s="67">
        <f t="shared" si="3"/>
        <v>5.166666666666667</v>
      </c>
      <c r="Z64" s="14">
        <v>50.482999999999997</v>
      </c>
      <c r="AA64" s="12">
        <f t="shared" si="4"/>
        <v>5.8078083797931974</v>
      </c>
      <c r="AB64" s="12">
        <f t="shared" si="5"/>
        <v>139.38740111503674</v>
      </c>
      <c r="AC64" s="12">
        <f t="shared" si="6"/>
        <v>10.24793388429752</v>
      </c>
      <c r="AD64" s="67">
        <f t="shared" si="7"/>
        <v>0.85399449035812669</v>
      </c>
      <c r="AE64" s="13">
        <v>4</v>
      </c>
      <c r="AF64" s="14">
        <v>7.4169999999999998</v>
      </c>
      <c r="AG64" s="10">
        <v>1</v>
      </c>
      <c r="AH64" s="12">
        <f t="shared" si="8"/>
        <v>9.3674328706341903E-2</v>
      </c>
      <c r="AI64" s="12">
        <f t="shared" si="9"/>
        <v>2.2481838889522057</v>
      </c>
      <c r="AJ64" s="12">
        <f t="shared" si="10"/>
        <v>0.16528925619834711</v>
      </c>
      <c r="AK64" s="13">
        <v>87</v>
      </c>
      <c r="AL64" s="52">
        <v>79.483000000000004</v>
      </c>
      <c r="AM64" s="61">
        <v>80</v>
      </c>
      <c r="AN64" s="16">
        <f t="shared" si="26"/>
        <v>7.4939462965073522</v>
      </c>
      <c r="AO64" s="48">
        <f t="shared" si="27"/>
        <v>179.85471111617645</v>
      </c>
      <c r="AP64" s="48">
        <f t="shared" si="28"/>
        <v>13.223140495867769</v>
      </c>
      <c r="AQ64" s="57">
        <v>11</v>
      </c>
      <c r="AR64" s="14">
        <v>11.532999999999999</v>
      </c>
      <c r="AS64" s="12">
        <f t="shared" si="29"/>
        <v>1.0304176157697609</v>
      </c>
      <c r="AT64" s="12">
        <f t="shared" si="30"/>
        <v>24.730022778474261</v>
      </c>
      <c r="AU64" s="12">
        <f t="shared" si="31"/>
        <v>1.8181818181818181</v>
      </c>
      <c r="AV64" s="13">
        <v>44</v>
      </c>
      <c r="AW64" s="14">
        <v>28.6</v>
      </c>
      <c r="AX64" s="12">
        <f t="shared" si="11"/>
        <v>4.1216704630790435</v>
      </c>
      <c r="AY64" s="12">
        <f t="shared" si="12"/>
        <v>98.920091113897044</v>
      </c>
      <c r="AZ64" s="12">
        <f t="shared" si="13"/>
        <v>7.2727272727272725</v>
      </c>
      <c r="BA64" s="13">
        <v>4</v>
      </c>
      <c r="BB64" s="14">
        <v>5.4829999999999997</v>
      </c>
      <c r="BC64" s="12">
        <f t="shared" si="14"/>
        <v>0.37469731482536761</v>
      </c>
      <c r="BD64" s="12">
        <f t="shared" si="15"/>
        <v>8.9927355558088227</v>
      </c>
      <c r="BE64" s="12">
        <f t="shared" si="16"/>
        <v>0.66115702479338845</v>
      </c>
      <c r="BF64" s="13">
        <v>3</v>
      </c>
      <c r="BG64" s="52">
        <v>4.867</v>
      </c>
      <c r="BH64" s="48">
        <f t="shared" si="17"/>
        <v>0.28102298611902571</v>
      </c>
      <c r="BI64" s="48">
        <f t="shared" si="18"/>
        <v>6.7445516668566166</v>
      </c>
      <c r="BJ64" s="48">
        <f t="shared" si="19"/>
        <v>0.49586776859504134</v>
      </c>
      <c r="BK64" s="9" t="str">
        <f>"63"</f>
        <v>63</v>
      </c>
      <c r="BL64" s="9" t="str">
        <f>"3030 7674 77 1-1"</f>
        <v>3030 7674 77 1-1</v>
      </c>
      <c r="BM64" s="9" t="str">
        <f>"1124"</f>
        <v>1124</v>
      </c>
      <c r="BN64" s="10">
        <f t="shared" si="32"/>
        <v>944.54948112228078</v>
      </c>
      <c r="BO64" s="11">
        <f t="shared" si="33"/>
        <v>88.960694444444457</v>
      </c>
    </row>
    <row r="65" spans="1:67">
      <c r="A65" s="15" t="s">
        <v>217</v>
      </c>
      <c r="B65" s="9" t="str">
        <f>"64"</f>
        <v>64</v>
      </c>
      <c r="C65" s="9" t="str">
        <f>"4040 11085 75 1-1"</f>
        <v>4040 11085 75 1-1</v>
      </c>
      <c r="D65" s="9" t="str">
        <f>"1125 Z"</f>
        <v>1125 Z</v>
      </c>
      <c r="E65" s="10">
        <f t="shared" si="20"/>
        <v>938.08375812455608</v>
      </c>
      <c r="F65" s="11">
        <f t="shared" si="21"/>
        <v>92.120416666666685</v>
      </c>
      <c r="G65" s="11">
        <v>663.26700000000005</v>
      </c>
      <c r="H65" s="11">
        <v>56.732999999999997</v>
      </c>
      <c r="I65" s="11">
        <v>622.20000000000005</v>
      </c>
      <c r="J65" s="65">
        <f t="shared" si="0"/>
        <v>11.054450000000001</v>
      </c>
      <c r="K65" s="11">
        <v>188.1</v>
      </c>
      <c r="L65" s="11">
        <v>2893169.2</v>
      </c>
      <c r="M65" s="11">
        <v>39796</v>
      </c>
      <c r="N65" s="11">
        <f t="shared" si="22"/>
        <v>72.7</v>
      </c>
      <c r="O65" s="13">
        <v>9</v>
      </c>
      <c r="P65" s="14">
        <v>3.85</v>
      </c>
      <c r="Q65" s="13">
        <v>14</v>
      </c>
      <c r="R65" s="67">
        <f t="shared" si="1"/>
        <v>1.1666666666666667</v>
      </c>
      <c r="S65" s="14">
        <v>20.65</v>
      </c>
      <c r="T65" s="12">
        <f t="shared" si="23"/>
        <v>1.2664583041218693</v>
      </c>
      <c r="U65" s="12">
        <f t="shared" si="24"/>
        <v>30.394999298924866</v>
      </c>
      <c r="V65" s="12">
        <f t="shared" si="25"/>
        <v>2.2500803600128574</v>
      </c>
      <c r="W65" s="70">
        <f t="shared" si="2"/>
        <v>1.4749999999999999</v>
      </c>
      <c r="X65" s="13">
        <v>53</v>
      </c>
      <c r="Y65" s="67">
        <f t="shared" si="3"/>
        <v>4.416666666666667</v>
      </c>
      <c r="Z65" s="14">
        <v>29.132999999999999</v>
      </c>
      <c r="AA65" s="12">
        <f t="shared" si="4"/>
        <v>4.7944492941756485</v>
      </c>
      <c r="AB65" s="12">
        <f t="shared" si="5"/>
        <v>115.06678306021556</v>
      </c>
      <c r="AC65" s="12">
        <f t="shared" si="6"/>
        <v>8.5181613629058166</v>
      </c>
      <c r="AD65" s="67">
        <f t="shared" si="7"/>
        <v>0.70984678024215142</v>
      </c>
      <c r="AE65" s="13">
        <v>3</v>
      </c>
      <c r="AF65" s="14">
        <v>3.1</v>
      </c>
      <c r="AG65" s="10">
        <v>0</v>
      </c>
      <c r="AH65" s="12">
        <f t="shared" si="8"/>
        <v>0</v>
      </c>
      <c r="AI65" s="12">
        <f t="shared" si="9"/>
        <v>0</v>
      </c>
      <c r="AJ65" s="12">
        <f t="shared" si="10"/>
        <v>0</v>
      </c>
      <c r="AK65" s="13">
        <v>79</v>
      </c>
      <c r="AL65" s="52">
        <v>56.732999999999997</v>
      </c>
      <c r="AM65" s="61">
        <v>67</v>
      </c>
      <c r="AN65" s="16">
        <f t="shared" si="26"/>
        <v>6.0609075982975176</v>
      </c>
      <c r="AO65" s="48">
        <f t="shared" si="27"/>
        <v>145.46178235914041</v>
      </c>
      <c r="AP65" s="48">
        <f t="shared" si="28"/>
        <v>10.768241722918676</v>
      </c>
      <c r="AQ65" s="57">
        <v>26</v>
      </c>
      <c r="AR65" s="14">
        <v>11.067</v>
      </c>
      <c r="AS65" s="12">
        <f t="shared" si="29"/>
        <v>2.3519939933691858</v>
      </c>
      <c r="AT65" s="12">
        <f t="shared" si="30"/>
        <v>56.447855840860463</v>
      </c>
      <c r="AU65" s="12">
        <f t="shared" si="31"/>
        <v>4.1787206685953064</v>
      </c>
      <c r="AV65" s="13">
        <v>7</v>
      </c>
      <c r="AW65" s="14">
        <v>3.1829999999999998</v>
      </c>
      <c r="AX65" s="12">
        <f t="shared" si="11"/>
        <v>0.63322915206093466</v>
      </c>
      <c r="AY65" s="12">
        <f t="shared" si="12"/>
        <v>15.197499649462433</v>
      </c>
      <c r="AZ65" s="12">
        <f t="shared" si="13"/>
        <v>1.1250401800064287</v>
      </c>
      <c r="BA65" s="13">
        <v>8</v>
      </c>
      <c r="BB65" s="14">
        <v>6.9329999999999998</v>
      </c>
      <c r="BC65" s="12">
        <f t="shared" si="14"/>
        <v>0.72369045949821109</v>
      </c>
      <c r="BD65" s="12">
        <f t="shared" si="15"/>
        <v>17.368571027957067</v>
      </c>
      <c r="BE65" s="12">
        <f t="shared" si="16"/>
        <v>1.2857602057216329</v>
      </c>
      <c r="BF65" s="13">
        <v>12</v>
      </c>
      <c r="BG65" s="52">
        <v>7.95</v>
      </c>
      <c r="BH65" s="48">
        <f t="shared" si="17"/>
        <v>1.0855356892473167</v>
      </c>
      <c r="BI65" s="48">
        <f t="shared" si="18"/>
        <v>26.052856541935597</v>
      </c>
      <c r="BJ65" s="48">
        <f t="shared" si="19"/>
        <v>1.9286403085824493</v>
      </c>
      <c r="BK65" s="9" t="str">
        <f>"64"</f>
        <v>64</v>
      </c>
      <c r="BL65" s="9" t="str">
        <f>"4040 11085 75 1-1"</f>
        <v>4040 11085 75 1-1</v>
      </c>
      <c r="BM65" s="9" t="str">
        <f>"1125 Z"</f>
        <v>1125 Z</v>
      </c>
      <c r="BN65" s="10">
        <f t="shared" si="32"/>
        <v>938.08375812455608</v>
      </c>
      <c r="BO65" s="11">
        <f t="shared" si="33"/>
        <v>92.120416666666685</v>
      </c>
    </row>
    <row r="66" spans="1:67">
      <c r="A66" s="15" t="s">
        <v>217</v>
      </c>
      <c r="B66" s="9" t="str">
        <f>"65"</f>
        <v>65</v>
      </c>
      <c r="C66" s="9" t="str">
        <f>"3030 7674 72 1-1"</f>
        <v>3030 7674 72 1-1</v>
      </c>
      <c r="D66" s="9" t="str">
        <f>"1123 R"</f>
        <v>1123 R</v>
      </c>
      <c r="E66" s="10">
        <f t="shared" si="20"/>
        <v>967.94430418483671</v>
      </c>
      <c r="F66" s="11">
        <f t="shared" si="21"/>
        <v>90.770833333333329</v>
      </c>
      <c r="G66" s="11">
        <v>653.54999999999995</v>
      </c>
      <c r="H66" s="11">
        <v>66.45</v>
      </c>
      <c r="I66" s="11">
        <v>632.6</v>
      </c>
      <c r="J66" s="65">
        <f>G66/60</f>
        <v>10.8925</v>
      </c>
      <c r="K66" s="11">
        <v>218.6</v>
      </c>
      <c r="L66" s="11">
        <v>2253571.11</v>
      </c>
      <c r="M66" s="11">
        <v>39213</v>
      </c>
      <c r="N66" s="11">
        <f t="shared" si="22"/>
        <v>57.47</v>
      </c>
      <c r="O66" s="13">
        <v>5</v>
      </c>
      <c r="P66" s="14">
        <v>2.133</v>
      </c>
      <c r="Q66" s="13">
        <v>13</v>
      </c>
      <c r="R66" s="67">
        <f>Q66/12</f>
        <v>1.0833333333333333</v>
      </c>
      <c r="S66" s="14">
        <v>33.1</v>
      </c>
      <c r="T66" s="12">
        <f t="shared" si="23"/>
        <v>1.1934817535001148</v>
      </c>
      <c r="U66" s="12">
        <f t="shared" si="24"/>
        <v>28.643562084002756</v>
      </c>
      <c r="V66" s="12">
        <f t="shared" si="25"/>
        <v>2.0550110654441984</v>
      </c>
      <c r="W66" s="70">
        <f>+S66/Q66</f>
        <v>2.5461538461538464</v>
      </c>
      <c r="X66" s="13">
        <v>31</v>
      </c>
      <c r="Y66" s="67">
        <f>+X66/12</f>
        <v>2.5833333333333335</v>
      </c>
      <c r="Z66" s="14">
        <v>30.15</v>
      </c>
      <c r="AA66" s="12">
        <f>IF($G66=0,0,(60*X66)/$G66)</f>
        <v>2.84599495065412</v>
      </c>
      <c r="AB66" s="12">
        <f>IF($G66=0,0,(60*24*X66)/$G66)</f>
        <v>68.30387881569888</v>
      </c>
      <c r="AC66" s="12">
        <f>IF($I66=0,0,(100*X66)/$I66)</f>
        <v>4.9004110022130885</v>
      </c>
      <c r="AD66" s="67">
        <f>+AC66/12</f>
        <v>0.40836758351775737</v>
      </c>
      <c r="AE66" s="13">
        <v>2</v>
      </c>
      <c r="AF66" s="14">
        <v>1.0669999999999999</v>
      </c>
      <c r="AG66" s="10">
        <v>0</v>
      </c>
      <c r="AH66" s="12">
        <f>IF($G66=0,0,(60*AG66)/$G66)</f>
        <v>0</v>
      </c>
      <c r="AI66" s="12">
        <f>IF($G66=0,0,(60*24*AG66)/$G66)</f>
        <v>0</v>
      </c>
      <c r="AJ66" s="12">
        <f>IF($I66=0,0,(100*AG66)/$I66)</f>
        <v>0</v>
      </c>
      <c r="AK66" s="13">
        <v>51</v>
      </c>
      <c r="AL66" s="52">
        <v>66.45</v>
      </c>
      <c r="AM66" s="61">
        <v>44</v>
      </c>
      <c r="AN66" s="16">
        <f t="shared" si="26"/>
        <v>4.039476704154235</v>
      </c>
      <c r="AO66" s="48">
        <f t="shared" si="27"/>
        <v>96.947440899701633</v>
      </c>
      <c r="AP66" s="48">
        <f t="shared" si="28"/>
        <v>6.9554220676572873</v>
      </c>
      <c r="AQ66" s="57">
        <v>14</v>
      </c>
      <c r="AR66" s="14">
        <v>10</v>
      </c>
      <c r="AS66" s="12">
        <f t="shared" si="29"/>
        <v>1.285288042230893</v>
      </c>
      <c r="AT66" s="12">
        <f t="shared" si="30"/>
        <v>30.846913013541428</v>
      </c>
      <c r="AU66" s="12">
        <f t="shared" si="31"/>
        <v>2.2130888397091368</v>
      </c>
      <c r="AV66" s="13">
        <v>8</v>
      </c>
      <c r="AW66" s="14">
        <v>6.9329999999999998</v>
      </c>
      <c r="AX66" s="12">
        <f>IF($G66=0,0,(60*AV66)/$G66)</f>
        <v>0.7344503098462245</v>
      </c>
      <c r="AY66" s="12">
        <f>IF($G66=0,0,(60*24*AV66)/$G66)</f>
        <v>17.626807436309388</v>
      </c>
      <c r="AZ66" s="12">
        <f>IF($I66=0,0,(100*AV66)/$I66)</f>
        <v>1.2646221941195068</v>
      </c>
      <c r="BA66" s="13">
        <v>5</v>
      </c>
      <c r="BB66" s="14">
        <v>5.3330000000000002</v>
      </c>
      <c r="BC66" s="12">
        <f>IF($G66=0,0,(60*BA66)/$G66)</f>
        <v>0.45903144365389031</v>
      </c>
      <c r="BD66" s="12">
        <f>IF($G66=0,0,(60*24*BA66)/$G66)</f>
        <v>11.016754647693368</v>
      </c>
      <c r="BE66" s="12">
        <f>IF($I66=0,0,(100*BA66)/$I66)</f>
        <v>0.79038887132469171</v>
      </c>
      <c r="BF66" s="13">
        <v>4</v>
      </c>
      <c r="BG66" s="52">
        <v>7.883</v>
      </c>
      <c r="BH66" s="48">
        <f>IF($G66=0,0,(60*BF66)/$G66)</f>
        <v>0.36722515492311225</v>
      </c>
      <c r="BI66" s="48">
        <f>IF($G66=0,0,(60*24*BF66)/$G66)</f>
        <v>8.813403718154694</v>
      </c>
      <c r="BJ66" s="48">
        <f>IF($I66=0,0,(100*BF66)/$I66)</f>
        <v>0.63231109705975341</v>
      </c>
      <c r="BK66" s="9" t="str">
        <f>"65"</f>
        <v>65</v>
      </c>
      <c r="BL66" s="9" t="str">
        <f>"3030 7674 72 1-1"</f>
        <v>3030 7674 72 1-1</v>
      </c>
      <c r="BM66" s="9" t="str">
        <f>"1123 R"</f>
        <v>1123 R</v>
      </c>
      <c r="BN66" s="10">
        <f t="shared" si="32"/>
        <v>967.94430418483671</v>
      </c>
      <c r="BO66" s="11">
        <f t="shared" si="33"/>
        <v>90.770833333333329</v>
      </c>
    </row>
    <row r="67" spans="1:67">
      <c r="A67" s="30" t="s">
        <v>217</v>
      </c>
      <c r="B67" s="31" t="str">
        <f>"66"</f>
        <v>66</v>
      </c>
      <c r="C67" s="31" t="str">
        <f>"4040 13079 59 4-1"</f>
        <v>4040 13079 59 4-1</v>
      </c>
      <c r="D67" s="31" t="str">
        <f>"1136 Z"</f>
        <v>1136 Z</v>
      </c>
      <c r="E67" s="32">
        <f>IF($G67=0,0,(1000*$I67)/$G67)</f>
        <v>952.69954661984355</v>
      </c>
      <c r="F67" s="33">
        <f>IF($G67=0,0,(100*$G67)/($G67+$H67))</f>
        <v>90.720707995295328</v>
      </c>
      <c r="G67" s="33">
        <v>648.68299999999999</v>
      </c>
      <c r="H67" s="33">
        <v>66.349999999999994</v>
      </c>
      <c r="I67" s="33">
        <v>618</v>
      </c>
      <c r="J67" s="65">
        <f>G67/60</f>
        <v>10.811383333333334</v>
      </c>
      <c r="K67" s="33">
        <v>198.7</v>
      </c>
      <c r="L67" s="33">
        <v>2210712.7999999998</v>
      </c>
      <c r="M67" s="33">
        <v>38921</v>
      </c>
      <c r="N67" s="33">
        <f>IF(M67="","",IF(M67=0,0,L67/M67))</f>
        <v>56.8</v>
      </c>
      <c r="O67" s="34">
        <v>8</v>
      </c>
      <c r="P67" s="35">
        <v>4.117</v>
      </c>
      <c r="Q67" s="34">
        <v>16</v>
      </c>
      <c r="R67" s="67">
        <f>Q67/12</f>
        <v>1.3333333333333333</v>
      </c>
      <c r="S67" s="35">
        <v>40.183</v>
      </c>
      <c r="T67" s="36">
        <f>IF($G67=0,0,(60*Q67)/$G67)</f>
        <v>1.4799216258172327</v>
      </c>
      <c r="U67" s="36">
        <f>IF($G67=0,0,(60*24*Q67)/$G67)</f>
        <v>35.518119019613586</v>
      </c>
      <c r="V67" s="36">
        <f>IF($I67=0,0,(100*Q67)/$I67)</f>
        <v>2.5889967637540452</v>
      </c>
      <c r="W67" s="70">
        <f>+S67/Q67</f>
        <v>2.5114375</v>
      </c>
      <c r="X67" s="34">
        <v>29</v>
      </c>
      <c r="Y67" s="67">
        <f>+X67/12</f>
        <v>2.4166666666666665</v>
      </c>
      <c r="Z67" s="35">
        <v>19.882999999999999</v>
      </c>
      <c r="AA67" s="36">
        <f>IF($G67=0,0,(60*X67)/$G67)</f>
        <v>2.6823579467937346</v>
      </c>
      <c r="AB67" s="36">
        <f>IF($G67=0,0,(60*24*X67)/$G67)</f>
        <v>64.376590723049631</v>
      </c>
      <c r="AC67" s="36">
        <f>IF($I67=0,0,(100*X67)/$I67)</f>
        <v>4.6925566343042071</v>
      </c>
      <c r="AD67" s="67">
        <f>+AC67/12</f>
        <v>0.39104638619201726</v>
      </c>
      <c r="AE67" s="34">
        <v>2</v>
      </c>
      <c r="AF67" s="35">
        <v>2.1669999999999998</v>
      </c>
      <c r="AG67" s="32">
        <v>0</v>
      </c>
      <c r="AH67" s="36">
        <f>IF($G67=0,0,(60*AG67)/$G67)</f>
        <v>0</v>
      </c>
      <c r="AI67" s="36">
        <f>IF($G67=0,0,(60*24*AG67)/$G67)</f>
        <v>0</v>
      </c>
      <c r="AJ67" s="36">
        <f>IF($I67=0,0,(100*AG67)/$I67)</f>
        <v>0</v>
      </c>
      <c r="AK67" s="34">
        <v>55</v>
      </c>
      <c r="AL67" s="53">
        <v>66.349999999999994</v>
      </c>
      <c r="AM67" s="62">
        <v>45</v>
      </c>
      <c r="AN67" s="37">
        <f>IF($G67=0,0,(60*AM67)/$G67)</f>
        <v>4.1622795726109674</v>
      </c>
      <c r="AO67" s="49">
        <f>IF($G67=0,0,(60*24*AM67)/$G67)</f>
        <v>99.89470974266321</v>
      </c>
      <c r="AP67" s="49">
        <f>IF($I67=0,0,(100*AM67)/$I67)</f>
        <v>7.2815533980582527</v>
      </c>
      <c r="AQ67" s="58">
        <v>12</v>
      </c>
      <c r="AR67" s="35">
        <v>6.8170000000000002</v>
      </c>
      <c r="AS67" s="36">
        <f>IF($G67=0,0,(60*AQ67)/$G67)</f>
        <v>1.1099412193629246</v>
      </c>
      <c r="AT67" s="36">
        <f>IF($G67=0,0,(60*24*AQ67)/$G67)</f>
        <v>26.638589264710191</v>
      </c>
      <c r="AU67" s="36">
        <f>IF($I67=0,0,(100*AQ67)/$I67)</f>
        <v>1.941747572815534</v>
      </c>
      <c r="AV67" s="34">
        <v>16</v>
      </c>
      <c r="AW67" s="35">
        <v>12.867000000000001</v>
      </c>
      <c r="AX67" s="36">
        <f>IF($G67=0,0,(60*AV67)/$G67)</f>
        <v>1.4799216258172327</v>
      </c>
      <c r="AY67" s="36">
        <f>IF($G67=0,0,(60*24*AV67)/$G67)</f>
        <v>35.518119019613586</v>
      </c>
      <c r="AZ67" s="36">
        <f>IF($I67=0,0,(100*AV67)/$I67)</f>
        <v>2.5889967637540452</v>
      </c>
      <c r="BA67" s="34">
        <v>1</v>
      </c>
      <c r="BB67" s="35">
        <v>0.2</v>
      </c>
      <c r="BC67" s="36">
        <f>IF($G67=0,0,(60*BA67)/$G67)</f>
        <v>9.2495101613577047E-2</v>
      </c>
      <c r="BD67" s="36">
        <f>IF($G67=0,0,(60*24*BA67)/$G67)</f>
        <v>2.2198824387258491</v>
      </c>
      <c r="BE67" s="36">
        <f>IF($I67=0,0,(100*BA67)/$I67)</f>
        <v>0.16181229773462782</v>
      </c>
      <c r="BF67" s="34">
        <v>0</v>
      </c>
      <c r="BG67" s="53">
        <v>0</v>
      </c>
      <c r="BH67" s="49">
        <f>IF($G67=0,0,(60*BF67)/$G67)</f>
        <v>0</v>
      </c>
      <c r="BI67" s="49">
        <f>IF($G67=0,0,(60*24*BF67)/$G67)</f>
        <v>0</v>
      </c>
      <c r="BJ67" s="49">
        <f>IF($I67=0,0,(100*BF67)/$I67)</f>
        <v>0</v>
      </c>
      <c r="BK67" s="31" t="str">
        <f>"66"</f>
        <v>66</v>
      </c>
      <c r="BL67" s="31" t="str">
        <f>"4040 13079 59 4-1"</f>
        <v>4040 13079 59 4-1</v>
      </c>
      <c r="BM67" s="31" t="str">
        <f>"1136 Z"</f>
        <v>1136 Z</v>
      </c>
      <c r="BN67" s="32">
        <f>IF($G67=0,0,(1000*$I67)/$G67)</f>
        <v>952.69954661984355</v>
      </c>
      <c r="BO67" s="33">
        <f>IF($G67=0,0,(100*$G67)/($G67+$H67))</f>
        <v>90.720707995295328</v>
      </c>
    </row>
    <row r="68" spans="1:67" ht="17.25" customHeight="1">
      <c r="A68" s="73" t="s">
        <v>222</v>
      </c>
      <c r="B68" s="74"/>
      <c r="C68" s="75"/>
      <c r="D68" s="76"/>
      <c r="E68" s="77">
        <f>IF($G68=0,0,(1000*$I68)/$G68)</f>
        <v>742.75811585293684</v>
      </c>
      <c r="F68" s="78">
        <f>IF($G68=0,0,(100*$G68)/($G68+$H68))</f>
        <v>84.419680949129543</v>
      </c>
      <c r="G68" s="79">
        <f>SUBTOTAL(9,G2:G67)</f>
        <v>40093.536999999989</v>
      </c>
      <c r="H68" s="66">
        <f>SUBTOTAL(9,H2:H67)</f>
        <v>7399.5790000000015</v>
      </c>
      <c r="I68" s="66">
        <f>SUBTOTAL(9,I2:I67)</f>
        <v>29779.8</v>
      </c>
      <c r="J68" s="66">
        <f>SUBTOTAL(9,J2:J67)/66</f>
        <v>10.124630555555553</v>
      </c>
      <c r="K68" s="66">
        <f>SUBTOTAL(9,K2:K67)</f>
        <v>8917.9000000000015</v>
      </c>
      <c r="L68" s="66">
        <f>SUBTOTAL(9,L26:L67)</f>
        <v>121016408.61999997</v>
      </c>
      <c r="M68" s="66">
        <f>SUBTOTAL(9,M26:M67)</f>
        <v>1550398</v>
      </c>
      <c r="N68" s="66">
        <f>SUBTOTAL(9,N2:N67)</f>
        <v>5311.3499999999995</v>
      </c>
      <c r="O68" s="66">
        <f>SUBTOTAL(9,O2:O67)/66</f>
        <v>5.5151515151515156</v>
      </c>
      <c r="P68" s="66">
        <f>SUBTOTAL(9,P2:P67)/66</f>
        <v>4.6151363636363643</v>
      </c>
      <c r="Q68" s="66">
        <f>SUBTOTAL(9,Q2:Q67)/66</f>
        <v>24.818181818181817</v>
      </c>
      <c r="R68" s="68">
        <f>+Q68/12/66</f>
        <v>3.133608815426997E-2</v>
      </c>
      <c r="S68" s="80">
        <f>SUBTOTAL(9,S2:S67)/66/12</f>
        <v>4.4047159090909096</v>
      </c>
      <c r="T68" s="81">
        <f>IF($G68=0,0,(60*Q68)/$G68)</f>
        <v>3.7140422634473716E-2</v>
      </c>
      <c r="U68" s="81">
        <f>IF($G68=0,0,(60*24*Q68)/$G68)</f>
        <v>0.89137014322736918</v>
      </c>
      <c r="V68" s="81">
        <f>IF($I68=0,0,(100*Q68)/$I68)</f>
        <v>8.3338980846687408E-2</v>
      </c>
      <c r="W68" s="71">
        <f>SUBTOTAL(9,W2:W67)/66</f>
        <v>2.0936748189233176</v>
      </c>
      <c r="X68" s="82">
        <f>SUBTOTAL(9,X2:X67)/66</f>
        <v>44.803030303030305</v>
      </c>
      <c r="Y68" s="72">
        <f>+X68/12/66</f>
        <v>5.6569482705846344E-2</v>
      </c>
      <c r="Z68" s="80">
        <f>SUBTOTAL(9,Z2:Z67)/66/12</f>
        <v>3.1552815656565656</v>
      </c>
      <c r="AA68" s="81">
        <f>IF($G68=0,0,(60*X68)/$G68)</f>
        <v>6.7047759298009033E-2</v>
      </c>
      <c r="AB68" s="81">
        <f>IF($G68=0,0,(60*24*X68)/$G68)</f>
        <v>1.6091462231522167</v>
      </c>
      <c r="AC68" s="81">
        <f>IF($I68=0,0,(100*X68)/$I68)</f>
        <v>0.15044772061273179</v>
      </c>
      <c r="AD68" s="71">
        <f>SUBTOTAL(9,AD2:AD67)/66</f>
        <v>0.88967815011723217</v>
      </c>
      <c r="AE68" s="83">
        <f>SUBTOTAL(9,AE2:AE67)/66</f>
        <v>4.1060606060606064</v>
      </c>
      <c r="AF68" s="84">
        <f>SUBTOTAL(9,AF2:AF67)/66/12</f>
        <v>1.398319444444444</v>
      </c>
      <c r="AG68" s="85">
        <f>SUBTOTAL(9,AG44:AG67)</f>
        <v>7</v>
      </c>
      <c r="AH68" s="81">
        <f>IF($G68=0,0,(60*AG68)/$G68)</f>
        <v>1.0475503819979767E-2</v>
      </c>
      <c r="AI68" s="81">
        <f>IF($G68=0,0,(60*24*AG68)/$G68)</f>
        <v>0.25141209167951439</v>
      </c>
      <c r="AJ68" s="81">
        <f>IF($I68=0,0,(100*AG68)/$I68)</f>
        <v>2.3505866392655426E-2</v>
      </c>
      <c r="AK68" s="86">
        <f>SUBTOTAL(9,AK2:AK67)/66/12</f>
        <v>6.6035353535353538</v>
      </c>
      <c r="AL68" s="87">
        <f>SUBTOTAL(9,AL2:AL67)/66/12</f>
        <v>9.3429116161616168</v>
      </c>
      <c r="AM68" s="88">
        <f>SUBTOTAL(9,AM44:AM67)</f>
        <v>1534</v>
      </c>
      <c r="AN68" s="89">
        <f>IF($G68=0,0,(60*AM68)/$G68)</f>
        <v>2.2956318371212805</v>
      </c>
      <c r="AO68" s="90">
        <f>IF($G68=0,0,(60*24*AM68)/$G68)</f>
        <v>55.095164090910728</v>
      </c>
      <c r="AP68" s="90">
        <f>IF($I68=0,0,(100*AM68)/$I68)</f>
        <v>5.1511427209047742</v>
      </c>
      <c r="AQ68" s="91">
        <f>SUBTOTAL(9,AQ2:AQ67)/66/12</f>
        <v>1.5517676767676767</v>
      </c>
      <c r="AR68" s="92">
        <f>SUBTOTAL(9,AR2:AR67)/66/12</f>
        <v>1.177237373737374</v>
      </c>
      <c r="AS68" s="93">
        <f>IF($G68=0,0,(60*AQ68)/$G68)</f>
        <v>2.3222211751001321E-3</v>
      </c>
      <c r="AT68" s="93">
        <f>IF($G68=0,0,(60*24*AQ68)/$G68)</f>
        <v>5.5733308202403173E-2</v>
      </c>
      <c r="AU68" s="93">
        <f>IF($I68=0,0,(100*AQ68)/$I68)</f>
        <v>5.2108062403631878E-3</v>
      </c>
      <c r="AV68" s="93">
        <f>SUBTOTAL(9,AV2:AV67)/66/12</f>
        <v>1.5315656565656566</v>
      </c>
      <c r="AW68" s="93">
        <f>SUBTOTAL(9,AW2:AW67)/66/12</f>
        <v>1.2661628787878787</v>
      </c>
      <c r="AX68" s="93">
        <f>IF($G68=0,0,(60*AV68)/$G68)</f>
        <v>2.2919888408433364E-3</v>
      </c>
      <c r="AY68" s="93">
        <f>IF($G68=0,0,(60*24*AV68)/$G68)</f>
        <v>5.5007732180240076E-2</v>
      </c>
      <c r="AZ68" s="93">
        <f>IF($I68=0,0,(100*AV68)/$I68)</f>
        <v>5.1429682421159865E-3</v>
      </c>
      <c r="BA68" s="93">
        <f>SUBTOTAL(9,BA2:BA67)/66/12</f>
        <v>0.38383838383838387</v>
      </c>
      <c r="BB68" s="92">
        <f>SUBTOTAL(9,BB2:BB67)/24/12</f>
        <v>1.1489618055555553</v>
      </c>
      <c r="BC68" s="93">
        <f>IF($G68=0,0,(60*BA68)/$G68)</f>
        <v>5.7441435087912142E-4</v>
      </c>
      <c r="BD68" s="93">
        <f>IF($G68=0,0,(60*24*BA68)/$G68)</f>
        <v>1.3785944421098914E-2</v>
      </c>
      <c r="BE68" s="93">
        <f>IF($I68=0,0,(100*BA68)/$I68)</f>
        <v>1.2889219666968343E-3</v>
      </c>
      <c r="BF68" s="92">
        <f>SUBTOTAL(9,BF2:BF67)/24/12</f>
        <v>0.73263888888888884</v>
      </c>
      <c r="BG68" s="94">
        <f>SUBTOTAL(9,BG2:BG67)</f>
        <v>232.91400000000002</v>
      </c>
      <c r="BH68" s="95">
        <f>IF($G68=0,0,(60*BF68)/$G68)</f>
        <v>1.0963944970316124E-3</v>
      </c>
      <c r="BI68" s="95">
        <f>IF($G68=0,0,(60*24*BF68)/$G68)</f>
        <v>2.6313467928758699E-2</v>
      </c>
      <c r="BJ68" s="95">
        <f>IF($I68=0,0,(100*BF68)/$I68)</f>
        <v>2.4601874051836778E-3</v>
      </c>
      <c r="BK68" s="74"/>
      <c r="BL68" s="75"/>
      <c r="BM68" s="76"/>
      <c r="BN68" s="77">
        <f>IF($G68=0,0,(1000*$I68)/$G68)</f>
        <v>742.75811585293684</v>
      </c>
      <c r="BO68" s="78">
        <f>IF($G68=0,0,(100*$G68)/($G68+$H68))</f>
        <v>84.419680949129543</v>
      </c>
    </row>
    <row r="69" spans="1:67" ht="15.75" customHeight="1">
      <c r="B69" s="96"/>
      <c r="C69" s="97" t="s">
        <v>223</v>
      </c>
      <c r="D69" s="98">
        <f>AVERAGE(F2:F25)</f>
        <v>82.598933643910598</v>
      </c>
      <c r="E69" s="98">
        <f>AVERAGE(F26:F67)</f>
        <v>85.464349945653723</v>
      </c>
      <c r="F69" s="78">
        <f>F68</f>
        <v>84.419680949129543</v>
      </c>
      <c r="G69" s="99"/>
      <c r="H69" s="99"/>
      <c r="I69" s="99"/>
      <c r="J69" s="99"/>
      <c r="K69" s="99"/>
      <c r="L69" s="99"/>
      <c r="M69" s="99"/>
      <c r="N69" s="100">
        <f>N68/66</f>
        <v>80.474999999999994</v>
      </c>
      <c r="O69" s="99"/>
      <c r="P69" s="99"/>
      <c r="Q69" s="100">
        <f>+Q68/12</f>
        <v>2.0681818181818179</v>
      </c>
      <c r="R69" s="101"/>
      <c r="S69" s="99"/>
      <c r="T69" s="99"/>
      <c r="U69" s="99"/>
      <c r="V69" s="99"/>
      <c r="W69" s="99"/>
      <c r="X69" s="100">
        <f>+X68/12</f>
        <v>3.7335858585858586</v>
      </c>
      <c r="Y69" s="99"/>
      <c r="Z69" s="99"/>
      <c r="AA69" s="99"/>
      <c r="AB69" s="99"/>
      <c r="AC69" s="99"/>
      <c r="AD69" s="99"/>
      <c r="AE69" s="99"/>
      <c r="AF69" s="99"/>
      <c r="AG69" s="99"/>
      <c r="AH69" s="99"/>
      <c r="AI69" s="99"/>
      <c r="AJ69" s="99"/>
      <c r="AK69" s="99"/>
      <c r="AL69" s="99"/>
      <c r="AM69" s="99"/>
      <c r="AN69" s="99"/>
      <c r="AO69" s="99"/>
      <c r="AP69" s="99"/>
      <c r="AQ69" s="99"/>
      <c r="AR69" s="99"/>
      <c r="AS69" s="99"/>
      <c r="AT69" s="99"/>
      <c r="AU69" s="99"/>
      <c r="AV69" s="99"/>
      <c r="AW69" s="99"/>
      <c r="AX69" s="99"/>
      <c r="AY69" s="99"/>
      <c r="AZ69" s="99"/>
      <c r="BA69" s="99"/>
      <c r="BB69" s="99"/>
      <c r="BC69" s="99"/>
      <c r="BD69" s="99"/>
      <c r="BE69" s="99"/>
      <c r="BF69" s="99"/>
      <c r="BG69" s="101"/>
      <c r="BK69" s="96"/>
      <c r="BM69" s="102"/>
      <c r="BN69" s="99"/>
      <c r="BO69" s="99"/>
    </row>
    <row r="70" spans="1:67" ht="18" customHeight="1">
      <c r="B70" s="102"/>
      <c r="C70" s="97" t="s">
        <v>224</v>
      </c>
      <c r="D70" s="103" t="s">
        <v>225</v>
      </c>
      <c r="E70" s="103" t="s">
        <v>226</v>
      </c>
      <c r="F70" s="103" t="s">
        <v>123</v>
      </c>
    </row>
  </sheetData>
  <autoFilter ref="A1:BJ67" xr:uid="{00000000-0009-0000-0000-000002000000}"/>
  <phoneticPr fontId="0" type="noConversion"/>
  <conditionalFormatting sqref="B68:B69">
    <cfRule type="duplicateValues" dxfId="431" priority="432" stopIfTrue="1"/>
  </conditionalFormatting>
  <conditionalFormatting sqref="B68:B69">
    <cfRule type="duplicateValues" dxfId="430" priority="431" stopIfTrue="1"/>
  </conditionalFormatting>
  <conditionalFormatting sqref="BK69">
    <cfRule type="duplicateValues" dxfId="429" priority="430" stopIfTrue="1"/>
  </conditionalFormatting>
  <conditionalFormatting sqref="B68:B69">
    <cfRule type="duplicateValues" dxfId="428" priority="429" stopIfTrue="1"/>
  </conditionalFormatting>
  <conditionalFormatting sqref="B68:B69">
    <cfRule type="duplicateValues" dxfId="427" priority="428" stopIfTrue="1"/>
  </conditionalFormatting>
  <conditionalFormatting sqref="BK69">
    <cfRule type="duplicateValues" dxfId="426" priority="427" stopIfTrue="1"/>
  </conditionalFormatting>
  <conditionalFormatting sqref="BK69">
    <cfRule type="duplicateValues" dxfId="425" priority="426" stopIfTrue="1"/>
  </conditionalFormatting>
  <conditionalFormatting sqref="BK69">
    <cfRule type="duplicateValues" dxfId="424" priority="425" stopIfTrue="1"/>
  </conditionalFormatting>
  <conditionalFormatting sqref="BK69">
    <cfRule type="duplicateValues" dxfId="423" priority="424" stopIfTrue="1"/>
  </conditionalFormatting>
  <conditionalFormatting sqref="BK69">
    <cfRule type="duplicateValues" dxfId="422" priority="423" stopIfTrue="1"/>
  </conditionalFormatting>
  <conditionalFormatting sqref="BK69">
    <cfRule type="duplicateValues" dxfId="421" priority="422" stopIfTrue="1"/>
  </conditionalFormatting>
  <conditionalFormatting sqref="BK69">
    <cfRule type="duplicateValues" dxfId="420" priority="421" stopIfTrue="1"/>
  </conditionalFormatting>
  <conditionalFormatting sqref="BK69">
    <cfRule type="duplicateValues" dxfId="419" priority="420" stopIfTrue="1"/>
  </conditionalFormatting>
  <conditionalFormatting sqref="BK69">
    <cfRule type="duplicateValues" dxfId="418" priority="419" stopIfTrue="1"/>
  </conditionalFormatting>
  <conditionalFormatting sqref="BK69">
    <cfRule type="duplicateValues" dxfId="417" priority="418" stopIfTrue="1"/>
  </conditionalFormatting>
  <conditionalFormatting sqref="BK69">
    <cfRule type="duplicateValues" dxfId="416" priority="417" stopIfTrue="1"/>
  </conditionalFormatting>
  <conditionalFormatting sqref="BK69">
    <cfRule type="duplicateValues" dxfId="415" priority="416" stopIfTrue="1"/>
  </conditionalFormatting>
  <conditionalFormatting sqref="BK69">
    <cfRule type="duplicateValues" dxfId="414" priority="415" stopIfTrue="1"/>
  </conditionalFormatting>
  <conditionalFormatting sqref="BK69">
    <cfRule type="duplicateValues" dxfId="413" priority="414" stopIfTrue="1"/>
  </conditionalFormatting>
  <conditionalFormatting sqref="BK69">
    <cfRule type="duplicateValues" dxfId="412" priority="413" stopIfTrue="1"/>
  </conditionalFormatting>
  <conditionalFormatting sqref="BK69">
    <cfRule type="duplicateValues" dxfId="411" priority="412" stopIfTrue="1"/>
  </conditionalFormatting>
  <conditionalFormatting sqref="BK69">
    <cfRule type="duplicateValues" dxfId="410" priority="411" stopIfTrue="1"/>
  </conditionalFormatting>
  <conditionalFormatting sqref="BK69">
    <cfRule type="duplicateValues" dxfId="409" priority="410" stopIfTrue="1"/>
  </conditionalFormatting>
  <conditionalFormatting sqref="BK69">
    <cfRule type="duplicateValues" dxfId="408" priority="409" stopIfTrue="1"/>
  </conditionalFormatting>
  <conditionalFormatting sqref="BK69">
    <cfRule type="duplicateValues" dxfId="407" priority="408" stopIfTrue="1"/>
  </conditionalFormatting>
  <conditionalFormatting sqref="BK69">
    <cfRule type="duplicateValues" dxfId="406" priority="407" stopIfTrue="1"/>
  </conditionalFormatting>
  <conditionalFormatting sqref="BK69">
    <cfRule type="duplicateValues" dxfId="405" priority="406" stopIfTrue="1"/>
  </conditionalFormatting>
  <conditionalFormatting sqref="BK69">
    <cfRule type="duplicateValues" dxfId="404" priority="405" stopIfTrue="1"/>
  </conditionalFormatting>
  <conditionalFormatting sqref="BK69">
    <cfRule type="duplicateValues" dxfId="403" priority="404" stopIfTrue="1"/>
  </conditionalFormatting>
  <conditionalFormatting sqref="BK69">
    <cfRule type="duplicateValues" dxfId="402" priority="403" stopIfTrue="1"/>
  </conditionalFormatting>
  <conditionalFormatting sqref="BK69">
    <cfRule type="duplicateValues" dxfId="401" priority="402" stopIfTrue="1"/>
  </conditionalFormatting>
  <conditionalFormatting sqref="BK69">
    <cfRule type="duplicateValues" dxfId="400" priority="401" stopIfTrue="1"/>
  </conditionalFormatting>
  <conditionalFormatting sqref="BK69">
    <cfRule type="duplicateValues" dxfId="399" priority="400" stopIfTrue="1"/>
  </conditionalFormatting>
  <conditionalFormatting sqref="BK69">
    <cfRule type="duplicateValues" dxfId="398" priority="399" stopIfTrue="1"/>
  </conditionalFormatting>
  <conditionalFormatting sqref="BK69">
    <cfRule type="duplicateValues" dxfId="397" priority="398" stopIfTrue="1"/>
  </conditionalFormatting>
  <conditionalFormatting sqref="BK69">
    <cfRule type="duplicateValues" dxfId="396" priority="397" stopIfTrue="1"/>
  </conditionalFormatting>
  <conditionalFormatting sqref="BK69">
    <cfRule type="duplicateValues" dxfId="395" priority="396" stopIfTrue="1"/>
  </conditionalFormatting>
  <conditionalFormatting sqref="BK69">
    <cfRule type="duplicateValues" dxfId="394" priority="395" stopIfTrue="1"/>
  </conditionalFormatting>
  <conditionalFormatting sqref="BK69">
    <cfRule type="duplicateValues" dxfId="393" priority="394" stopIfTrue="1"/>
  </conditionalFormatting>
  <conditionalFormatting sqref="BK69">
    <cfRule type="duplicateValues" dxfId="392" priority="393" stopIfTrue="1"/>
  </conditionalFormatting>
  <conditionalFormatting sqref="BK69">
    <cfRule type="duplicateValues" dxfId="391" priority="392" stopIfTrue="1"/>
  </conditionalFormatting>
  <conditionalFormatting sqref="BK69">
    <cfRule type="duplicateValues" dxfId="390" priority="391" stopIfTrue="1"/>
  </conditionalFormatting>
  <conditionalFormatting sqref="BK69">
    <cfRule type="duplicateValues" dxfId="389" priority="390" stopIfTrue="1"/>
  </conditionalFormatting>
  <conditionalFormatting sqref="BK69">
    <cfRule type="duplicateValues" dxfId="388" priority="389" stopIfTrue="1"/>
  </conditionalFormatting>
  <conditionalFormatting sqref="BK69">
    <cfRule type="duplicateValues" dxfId="387" priority="388" stopIfTrue="1"/>
  </conditionalFormatting>
  <conditionalFormatting sqref="BK69">
    <cfRule type="duplicateValues" dxfId="386" priority="387" stopIfTrue="1"/>
  </conditionalFormatting>
  <conditionalFormatting sqref="BK69">
    <cfRule type="duplicateValues" dxfId="385" priority="386" stopIfTrue="1"/>
  </conditionalFormatting>
  <conditionalFormatting sqref="BK69">
    <cfRule type="duplicateValues" dxfId="384" priority="385" stopIfTrue="1"/>
  </conditionalFormatting>
  <conditionalFormatting sqref="BK69">
    <cfRule type="duplicateValues" dxfId="383" priority="384" stopIfTrue="1"/>
  </conditionalFormatting>
  <conditionalFormatting sqref="BK69">
    <cfRule type="duplicateValues" dxfId="382" priority="383" stopIfTrue="1"/>
  </conditionalFormatting>
  <conditionalFormatting sqref="B68:B69">
    <cfRule type="duplicateValues" dxfId="381" priority="382" stopIfTrue="1"/>
  </conditionalFormatting>
  <conditionalFormatting sqref="B68:B69">
    <cfRule type="duplicateValues" dxfId="380" priority="381" stopIfTrue="1"/>
  </conditionalFormatting>
  <conditionalFormatting sqref="BK69">
    <cfRule type="duplicateValues" dxfId="379" priority="380" stopIfTrue="1"/>
  </conditionalFormatting>
  <conditionalFormatting sqref="B68:B69">
    <cfRule type="duplicateValues" dxfId="378" priority="379" stopIfTrue="1"/>
  </conditionalFormatting>
  <conditionalFormatting sqref="B68:B69">
    <cfRule type="duplicateValues" dxfId="377" priority="378" stopIfTrue="1"/>
  </conditionalFormatting>
  <conditionalFormatting sqref="BK69">
    <cfRule type="duplicateValues" dxfId="376" priority="377" stopIfTrue="1"/>
  </conditionalFormatting>
  <conditionalFormatting sqref="BK69">
    <cfRule type="duplicateValues" dxfId="375" priority="376" stopIfTrue="1"/>
  </conditionalFormatting>
  <conditionalFormatting sqref="BK69">
    <cfRule type="duplicateValues" dxfId="374" priority="375" stopIfTrue="1"/>
  </conditionalFormatting>
  <conditionalFormatting sqref="BK69">
    <cfRule type="duplicateValues" dxfId="373" priority="374" stopIfTrue="1"/>
  </conditionalFormatting>
  <conditionalFormatting sqref="BK69">
    <cfRule type="duplicateValues" dxfId="372" priority="373" stopIfTrue="1"/>
  </conditionalFormatting>
  <conditionalFormatting sqref="BK69">
    <cfRule type="duplicateValues" dxfId="371" priority="372" stopIfTrue="1"/>
  </conditionalFormatting>
  <conditionalFormatting sqref="BK69">
    <cfRule type="duplicateValues" dxfId="370" priority="371" stopIfTrue="1"/>
  </conditionalFormatting>
  <conditionalFormatting sqref="BK69">
    <cfRule type="duplicateValues" dxfId="369" priority="370" stopIfTrue="1"/>
  </conditionalFormatting>
  <conditionalFormatting sqref="BK69">
    <cfRule type="duplicateValues" dxfId="368" priority="369" stopIfTrue="1"/>
  </conditionalFormatting>
  <conditionalFormatting sqref="BK69">
    <cfRule type="duplicateValues" dxfId="367" priority="368" stopIfTrue="1"/>
  </conditionalFormatting>
  <conditionalFormatting sqref="BK69">
    <cfRule type="duplicateValues" dxfId="366" priority="367" stopIfTrue="1"/>
  </conditionalFormatting>
  <conditionalFormatting sqref="BK69">
    <cfRule type="duplicateValues" dxfId="365" priority="366" stopIfTrue="1"/>
  </conditionalFormatting>
  <conditionalFormatting sqref="BK69">
    <cfRule type="duplicateValues" dxfId="364" priority="365" stopIfTrue="1"/>
  </conditionalFormatting>
  <conditionalFormatting sqref="BK69">
    <cfRule type="duplicateValues" dxfId="363" priority="364" stopIfTrue="1"/>
  </conditionalFormatting>
  <conditionalFormatting sqref="BK69">
    <cfRule type="duplicateValues" dxfId="362" priority="363" stopIfTrue="1"/>
  </conditionalFormatting>
  <conditionalFormatting sqref="BK69">
    <cfRule type="duplicateValues" dxfId="361" priority="362" stopIfTrue="1"/>
  </conditionalFormatting>
  <conditionalFormatting sqref="BK69">
    <cfRule type="duplicateValues" dxfId="360" priority="361" stopIfTrue="1"/>
  </conditionalFormatting>
  <conditionalFormatting sqref="BK69">
    <cfRule type="duplicateValues" dxfId="359" priority="360" stopIfTrue="1"/>
  </conditionalFormatting>
  <conditionalFormatting sqref="BK69">
    <cfRule type="duplicateValues" dxfId="358" priority="359" stopIfTrue="1"/>
  </conditionalFormatting>
  <conditionalFormatting sqref="BK69">
    <cfRule type="duplicateValues" dxfId="357" priority="358" stopIfTrue="1"/>
  </conditionalFormatting>
  <conditionalFormatting sqref="BK69">
    <cfRule type="duplicateValues" dxfId="356" priority="357" stopIfTrue="1"/>
  </conditionalFormatting>
  <conditionalFormatting sqref="BK69">
    <cfRule type="duplicateValues" dxfId="355" priority="356" stopIfTrue="1"/>
  </conditionalFormatting>
  <conditionalFormatting sqref="BK69">
    <cfRule type="duplicateValues" dxfId="354" priority="355" stopIfTrue="1"/>
  </conditionalFormatting>
  <conditionalFormatting sqref="BK69">
    <cfRule type="duplicateValues" dxfId="353" priority="354" stopIfTrue="1"/>
  </conditionalFormatting>
  <conditionalFormatting sqref="BK69">
    <cfRule type="duplicateValues" dxfId="352" priority="353" stopIfTrue="1"/>
  </conditionalFormatting>
  <conditionalFormatting sqref="BK69">
    <cfRule type="duplicateValues" dxfId="351" priority="352" stopIfTrue="1"/>
  </conditionalFormatting>
  <conditionalFormatting sqref="BK69">
    <cfRule type="duplicateValues" dxfId="350" priority="351" stopIfTrue="1"/>
  </conditionalFormatting>
  <conditionalFormatting sqref="BK69">
    <cfRule type="duplicateValues" dxfId="349" priority="350" stopIfTrue="1"/>
  </conditionalFormatting>
  <conditionalFormatting sqref="BK69">
    <cfRule type="duplicateValues" dxfId="348" priority="349" stopIfTrue="1"/>
  </conditionalFormatting>
  <conditionalFormatting sqref="BK69">
    <cfRule type="duplicateValues" dxfId="347" priority="348" stopIfTrue="1"/>
  </conditionalFormatting>
  <conditionalFormatting sqref="BK69">
    <cfRule type="duplicateValues" dxfId="346" priority="347" stopIfTrue="1"/>
  </conditionalFormatting>
  <conditionalFormatting sqref="BK69">
    <cfRule type="duplicateValues" dxfId="345" priority="346" stopIfTrue="1"/>
  </conditionalFormatting>
  <conditionalFormatting sqref="BK69">
    <cfRule type="duplicateValues" dxfId="344" priority="345" stopIfTrue="1"/>
  </conditionalFormatting>
  <conditionalFormatting sqref="BK69">
    <cfRule type="duplicateValues" dxfId="343" priority="344" stopIfTrue="1"/>
  </conditionalFormatting>
  <conditionalFormatting sqref="BK69">
    <cfRule type="duplicateValues" dxfId="342" priority="343" stopIfTrue="1"/>
  </conditionalFormatting>
  <conditionalFormatting sqref="BK69">
    <cfRule type="duplicateValues" dxfId="341" priority="342" stopIfTrue="1"/>
  </conditionalFormatting>
  <conditionalFormatting sqref="BK69">
    <cfRule type="duplicateValues" dxfId="340" priority="341" stopIfTrue="1"/>
  </conditionalFormatting>
  <conditionalFormatting sqref="BK69">
    <cfRule type="duplicateValues" dxfId="339" priority="340" stopIfTrue="1"/>
  </conditionalFormatting>
  <conditionalFormatting sqref="BK69">
    <cfRule type="duplicateValues" dxfId="338" priority="339" stopIfTrue="1"/>
  </conditionalFormatting>
  <conditionalFormatting sqref="BK69">
    <cfRule type="duplicateValues" dxfId="337" priority="338" stopIfTrue="1"/>
  </conditionalFormatting>
  <conditionalFormatting sqref="BK69">
    <cfRule type="duplicateValues" dxfId="336" priority="337" stopIfTrue="1"/>
  </conditionalFormatting>
  <conditionalFormatting sqref="BK69">
    <cfRule type="duplicateValues" dxfId="335" priority="336" stopIfTrue="1"/>
  </conditionalFormatting>
  <conditionalFormatting sqref="BK69">
    <cfRule type="duplicateValues" dxfId="334" priority="335" stopIfTrue="1"/>
  </conditionalFormatting>
  <conditionalFormatting sqref="BK69">
    <cfRule type="duplicateValues" dxfId="333" priority="334" stopIfTrue="1"/>
  </conditionalFormatting>
  <conditionalFormatting sqref="BK69">
    <cfRule type="duplicateValues" dxfId="332" priority="333" stopIfTrue="1"/>
  </conditionalFormatting>
  <conditionalFormatting sqref="B68:B69">
    <cfRule type="duplicateValues" dxfId="331" priority="332" stopIfTrue="1"/>
  </conditionalFormatting>
  <conditionalFormatting sqref="B68:B69">
    <cfRule type="duplicateValues" dxfId="330" priority="331" stopIfTrue="1"/>
  </conditionalFormatting>
  <conditionalFormatting sqref="BK69">
    <cfRule type="duplicateValues" dxfId="329" priority="330" stopIfTrue="1"/>
  </conditionalFormatting>
  <conditionalFormatting sqref="B68:B69">
    <cfRule type="duplicateValues" dxfId="328" priority="329" stopIfTrue="1"/>
  </conditionalFormatting>
  <conditionalFormatting sqref="B68:B69">
    <cfRule type="duplicateValues" dxfId="327" priority="328" stopIfTrue="1"/>
  </conditionalFormatting>
  <conditionalFormatting sqref="BK69">
    <cfRule type="duplicateValues" dxfId="326" priority="327" stopIfTrue="1"/>
  </conditionalFormatting>
  <conditionalFormatting sqref="BK69">
    <cfRule type="duplicateValues" dxfId="325" priority="326" stopIfTrue="1"/>
  </conditionalFormatting>
  <conditionalFormatting sqref="BK69">
    <cfRule type="duplicateValues" dxfId="324" priority="325" stopIfTrue="1"/>
  </conditionalFormatting>
  <conditionalFormatting sqref="BK69">
    <cfRule type="duplicateValues" dxfId="323" priority="324" stopIfTrue="1"/>
  </conditionalFormatting>
  <conditionalFormatting sqref="BK69">
    <cfRule type="duplicateValues" dxfId="322" priority="323" stopIfTrue="1"/>
  </conditionalFormatting>
  <conditionalFormatting sqref="BK69">
    <cfRule type="duplicateValues" dxfId="321" priority="322" stopIfTrue="1"/>
  </conditionalFormatting>
  <conditionalFormatting sqref="BK69">
    <cfRule type="duplicateValues" dxfId="320" priority="321" stopIfTrue="1"/>
  </conditionalFormatting>
  <conditionalFormatting sqref="BK69">
    <cfRule type="duplicateValues" dxfId="319" priority="320" stopIfTrue="1"/>
  </conditionalFormatting>
  <conditionalFormatting sqref="BK69">
    <cfRule type="duplicateValues" dxfId="318" priority="319" stopIfTrue="1"/>
  </conditionalFormatting>
  <conditionalFormatting sqref="BK69">
    <cfRule type="duplicateValues" dxfId="317" priority="318" stopIfTrue="1"/>
  </conditionalFormatting>
  <conditionalFormatting sqref="BK69">
    <cfRule type="duplicateValues" dxfId="316" priority="317" stopIfTrue="1"/>
  </conditionalFormatting>
  <conditionalFormatting sqref="BK69">
    <cfRule type="duplicateValues" dxfId="315" priority="316" stopIfTrue="1"/>
  </conditionalFormatting>
  <conditionalFormatting sqref="BK69">
    <cfRule type="duplicateValues" dxfId="314" priority="315" stopIfTrue="1"/>
  </conditionalFormatting>
  <conditionalFormatting sqref="BK69">
    <cfRule type="duplicateValues" dxfId="313" priority="314" stopIfTrue="1"/>
  </conditionalFormatting>
  <conditionalFormatting sqref="BK69">
    <cfRule type="duplicateValues" dxfId="312" priority="313" stopIfTrue="1"/>
  </conditionalFormatting>
  <conditionalFormatting sqref="BK69">
    <cfRule type="duplicateValues" dxfId="311" priority="312" stopIfTrue="1"/>
  </conditionalFormatting>
  <conditionalFormatting sqref="BK69">
    <cfRule type="duplicateValues" dxfId="310" priority="311" stopIfTrue="1"/>
  </conditionalFormatting>
  <conditionalFormatting sqref="BK69">
    <cfRule type="duplicateValues" dxfId="309" priority="310" stopIfTrue="1"/>
  </conditionalFormatting>
  <conditionalFormatting sqref="BK69">
    <cfRule type="duplicateValues" dxfId="308" priority="309" stopIfTrue="1"/>
  </conditionalFormatting>
  <conditionalFormatting sqref="BK69">
    <cfRule type="duplicateValues" dxfId="307" priority="308" stopIfTrue="1"/>
  </conditionalFormatting>
  <conditionalFormatting sqref="BK69">
    <cfRule type="duplicateValues" dxfId="306" priority="307" stopIfTrue="1"/>
  </conditionalFormatting>
  <conditionalFormatting sqref="BK69">
    <cfRule type="duplicateValues" dxfId="305" priority="306" stopIfTrue="1"/>
  </conditionalFormatting>
  <conditionalFormatting sqref="BK69">
    <cfRule type="duplicateValues" dxfId="304" priority="305" stopIfTrue="1"/>
  </conditionalFormatting>
  <conditionalFormatting sqref="BK69">
    <cfRule type="duplicateValues" dxfId="303" priority="304" stopIfTrue="1"/>
  </conditionalFormatting>
  <conditionalFormatting sqref="BK69">
    <cfRule type="duplicateValues" dxfId="302" priority="303" stopIfTrue="1"/>
  </conditionalFormatting>
  <conditionalFormatting sqref="BK69">
    <cfRule type="duplicateValues" dxfId="301" priority="302" stopIfTrue="1"/>
  </conditionalFormatting>
  <conditionalFormatting sqref="BK69">
    <cfRule type="duplicateValues" dxfId="300" priority="301" stopIfTrue="1"/>
  </conditionalFormatting>
  <conditionalFormatting sqref="BK69">
    <cfRule type="duplicateValues" dxfId="299" priority="300" stopIfTrue="1"/>
  </conditionalFormatting>
  <conditionalFormatting sqref="BK69">
    <cfRule type="duplicateValues" dxfId="298" priority="299" stopIfTrue="1"/>
  </conditionalFormatting>
  <conditionalFormatting sqref="BK69">
    <cfRule type="duplicateValues" dxfId="297" priority="298" stopIfTrue="1"/>
  </conditionalFormatting>
  <conditionalFormatting sqref="BK69">
    <cfRule type="duplicateValues" dxfId="296" priority="297" stopIfTrue="1"/>
  </conditionalFormatting>
  <conditionalFormatting sqref="BK69">
    <cfRule type="duplicateValues" dxfId="295" priority="296" stopIfTrue="1"/>
  </conditionalFormatting>
  <conditionalFormatting sqref="BK69">
    <cfRule type="duplicateValues" dxfId="294" priority="295" stopIfTrue="1"/>
  </conditionalFormatting>
  <conditionalFormatting sqref="BK69">
    <cfRule type="duplicateValues" dxfId="293" priority="294" stopIfTrue="1"/>
  </conditionalFormatting>
  <conditionalFormatting sqref="BK69">
    <cfRule type="duplicateValues" dxfId="292" priority="293" stopIfTrue="1"/>
  </conditionalFormatting>
  <conditionalFormatting sqref="BK69">
    <cfRule type="duplicateValues" dxfId="291" priority="292" stopIfTrue="1"/>
  </conditionalFormatting>
  <conditionalFormatting sqref="BK69">
    <cfRule type="duplicateValues" dxfId="290" priority="291" stopIfTrue="1"/>
  </conditionalFormatting>
  <conditionalFormatting sqref="BK69">
    <cfRule type="duplicateValues" dxfId="289" priority="290" stopIfTrue="1"/>
  </conditionalFormatting>
  <conditionalFormatting sqref="BK69">
    <cfRule type="duplicateValues" dxfId="288" priority="289" stopIfTrue="1"/>
  </conditionalFormatting>
  <conditionalFormatting sqref="BK69">
    <cfRule type="duplicateValues" dxfId="287" priority="288" stopIfTrue="1"/>
  </conditionalFormatting>
  <conditionalFormatting sqref="BK69">
    <cfRule type="duplicateValues" dxfId="286" priority="287" stopIfTrue="1"/>
  </conditionalFormatting>
  <conditionalFormatting sqref="BK69">
    <cfRule type="duplicateValues" dxfId="285" priority="286" stopIfTrue="1"/>
  </conditionalFormatting>
  <conditionalFormatting sqref="BK69">
    <cfRule type="duplicateValues" dxfId="284" priority="285" stopIfTrue="1"/>
  </conditionalFormatting>
  <conditionalFormatting sqref="BK69">
    <cfRule type="duplicateValues" dxfId="283" priority="284" stopIfTrue="1"/>
  </conditionalFormatting>
  <conditionalFormatting sqref="BK69">
    <cfRule type="duplicateValues" dxfId="282" priority="283" stopIfTrue="1"/>
  </conditionalFormatting>
  <conditionalFormatting sqref="B68:B69">
    <cfRule type="duplicateValues" dxfId="281" priority="282" stopIfTrue="1"/>
  </conditionalFormatting>
  <conditionalFormatting sqref="B68:B69">
    <cfRule type="duplicateValues" dxfId="280" priority="281" stopIfTrue="1"/>
  </conditionalFormatting>
  <conditionalFormatting sqref="BK69">
    <cfRule type="duplicateValues" dxfId="279" priority="280" stopIfTrue="1"/>
  </conditionalFormatting>
  <conditionalFormatting sqref="B68:B69">
    <cfRule type="duplicateValues" dxfId="278" priority="279" stopIfTrue="1"/>
  </conditionalFormatting>
  <conditionalFormatting sqref="B68:B69">
    <cfRule type="duplicateValues" dxfId="277" priority="278" stopIfTrue="1"/>
  </conditionalFormatting>
  <conditionalFormatting sqref="BK69">
    <cfRule type="duplicateValues" dxfId="276" priority="277" stopIfTrue="1"/>
  </conditionalFormatting>
  <conditionalFormatting sqref="BK69">
    <cfRule type="duplicateValues" dxfId="275" priority="276" stopIfTrue="1"/>
  </conditionalFormatting>
  <conditionalFormatting sqref="BK69">
    <cfRule type="duplicateValues" dxfId="274" priority="275" stopIfTrue="1"/>
  </conditionalFormatting>
  <conditionalFormatting sqref="BK69">
    <cfRule type="duplicateValues" dxfId="273" priority="274" stopIfTrue="1"/>
  </conditionalFormatting>
  <conditionalFormatting sqref="BK69">
    <cfRule type="duplicateValues" dxfId="272" priority="273" stopIfTrue="1"/>
  </conditionalFormatting>
  <conditionalFormatting sqref="BK69">
    <cfRule type="duplicateValues" dxfId="271" priority="272" stopIfTrue="1"/>
  </conditionalFormatting>
  <conditionalFormatting sqref="BK69">
    <cfRule type="duplicateValues" dxfId="270" priority="271" stopIfTrue="1"/>
  </conditionalFormatting>
  <conditionalFormatting sqref="BK69">
    <cfRule type="duplicateValues" dxfId="269" priority="270" stopIfTrue="1"/>
  </conditionalFormatting>
  <conditionalFormatting sqref="BK69">
    <cfRule type="duplicateValues" dxfId="268" priority="269" stopIfTrue="1"/>
  </conditionalFormatting>
  <conditionalFormatting sqref="BK69">
    <cfRule type="duplicateValues" dxfId="267" priority="268" stopIfTrue="1"/>
  </conditionalFormatting>
  <conditionalFormatting sqref="BK69">
    <cfRule type="duplicateValues" dxfId="266" priority="267" stopIfTrue="1"/>
  </conditionalFormatting>
  <conditionalFormatting sqref="BK69">
    <cfRule type="duplicateValues" dxfId="265" priority="266" stopIfTrue="1"/>
  </conditionalFormatting>
  <conditionalFormatting sqref="BK69">
    <cfRule type="duplicateValues" dxfId="264" priority="265" stopIfTrue="1"/>
  </conditionalFormatting>
  <conditionalFormatting sqref="BK69">
    <cfRule type="duplicateValues" dxfId="263" priority="264" stopIfTrue="1"/>
  </conditionalFormatting>
  <conditionalFormatting sqref="BK69">
    <cfRule type="duplicateValues" dxfId="262" priority="263" stopIfTrue="1"/>
  </conditionalFormatting>
  <conditionalFormatting sqref="BK69">
    <cfRule type="duplicateValues" dxfId="261" priority="262" stopIfTrue="1"/>
  </conditionalFormatting>
  <conditionalFormatting sqref="BK69">
    <cfRule type="duplicateValues" dxfId="260" priority="261" stopIfTrue="1"/>
  </conditionalFormatting>
  <conditionalFormatting sqref="BK69">
    <cfRule type="duplicateValues" dxfId="259" priority="260" stopIfTrue="1"/>
  </conditionalFormatting>
  <conditionalFormatting sqref="BK69">
    <cfRule type="duplicateValues" dxfId="258" priority="259" stopIfTrue="1"/>
  </conditionalFormatting>
  <conditionalFormatting sqref="BK69">
    <cfRule type="duplicateValues" dxfId="257" priority="258" stopIfTrue="1"/>
  </conditionalFormatting>
  <conditionalFormatting sqref="BK69">
    <cfRule type="duplicateValues" dxfId="256" priority="257" stopIfTrue="1"/>
  </conditionalFormatting>
  <conditionalFormatting sqref="BK69">
    <cfRule type="duplicateValues" dxfId="255" priority="256" stopIfTrue="1"/>
  </conditionalFormatting>
  <conditionalFormatting sqref="BK69">
    <cfRule type="duplicateValues" dxfId="254" priority="255" stopIfTrue="1"/>
  </conditionalFormatting>
  <conditionalFormatting sqref="BK69">
    <cfRule type="duplicateValues" dxfId="253" priority="254" stopIfTrue="1"/>
  </conditionalFormatting>
  <conditionalFormatting sqref="BK69">
    <cfRule type="duplicateValues" dxfId="252" priority="253" stopIfTrue="1"/>
  </conditionalFormatting>
  <conditionalFormatting sqref="BK69">
    <cfRule type="duplicateValues" dxfId="251" priority="252" stopIfTrue="1"/>
  </conditionalFormatting>
  <conditionalFormatting sqref="BK69">
    <cfRule type="duplicateValues" dxfId="250" priority="251" stopIfTrue="1"/>
  </conditionalFormatting>
  <conditionalFormatting sqref="BK69">
    <cfRule type="duplicateValues" dxfId="249" priority="250" stopIfTrue="1"/>
  </conditionalFormatting>
  <conditionalFormatting sqref="BK69">
    <cfRule type="duplicateValues" dxfId="248" priority="249" stopIfTrue="1"/>
  </conditionalFormatting>
  <conditionalFormatting sqref="BK69">
    <cfRule type="duplicateValues" dxfId="247" priority="248" stopIfTrue="1"/>
  </conditionalFormatting>
  <conditionalFormatting sqref="BK69">
    <cfRule type="duplicateValues" dxfId="246" priority="247" stopIfTrue="1"/>
  </conditionalFormatting>
  <conditionalFormatting sqref="BK69">
    <cfRule type="duplicateValues" dxfId="245" priority="246" stopIfTrue="1"/>
  </conditionalFormatting>
  <conditionalFormatting sqref="BK69">
    <cfRule type="duplicateValues" dxfId="244" priority="245" stopIfTrue="1"/>
  </conditionalFormatting>
  <conditionalFormatting sqref="BK69">
    <cfRule type="duplicateValues" dxfId="243" priority="244" stopIfTrue="1"/>
  </conditionalFormatting>
  <conditionalFormatting sqref="BK69">
    <cfRule type="duplicateValues" dxfId="242" priority="243" stopIfTrue="1"/>
  </conditionalFormatting>
  <conditionalFormatting sqref="BK69">
    <cfRule type="duplicateValues" dxfId="241" priority="242" stopIfTrue="1"/>
  </conditionalFormatting>
  <conditionalFormatting sqref="BK69">
    <cfRule type="duplicateValues" dxfId="240" priority="241" stopIfTrue="1"/>
  </conditionalFormatting>
  <conditionalFormatting sqref="BK69">
    <cfRule type="duplicateValues" dxfId="239" priority="240" stopIfTrue="1"/>
  </conditionalFormatting>
  <conditionalFormatting sqref="BK69">
    <cfRule type="duplicateValues" dxfId="238" priority="239" stopIfTrue="1"/>
  </conditionalFormatting>
  <conditionalFormatting sqref="BK69">
    <cfRule type="duplicateValues" dxfId="237" priority="238" stopIfTrue="1"/>
  </conditionalFormatting>
  <conditionalFormatting sqref="BK69">
    <cfRule type="duplicateValues" dxfId="236" priority="237" stopIfTrue="1"/>
  </conditionalFormatting>
  <conditionalFormatting sqref="BK69">
    <cfRule type="duplicateValues" dxfId="235" priority="236" stopIfTrue="1"/>
  </conditionalFormatting>
  <conditionalFormatting sqref="BK69">
    <cfRule type="duplicateValues" dxfId="234" priority="235" stopIfTrue="1"/>
  </conditionalFormatting>
  <conditionalFormatting sqref="BK69">
    <cfRule type="duplicateValues" dxfId="233" priority="234" stopIfTrue="1"/>
  </conditionalFormatting>
  <conditionalFormatting sqref="BK69">
    <cfRule type="duplicateValues" dxfId="232" priority="233" stopIfTrue="1"/>
  </conditionalFormatting>
  <conditionalFormatting sqref="B68:B69">
    <cfRule type="duplicateValues" dxfId="231" priority="232" stopIfTrue="1"/>
  </conditionalFormatting>
  <conditionalFormatting sqref="B68:B69">
    <cfRule type="duplicateValues" dxfId="230" priority="231" stopIfTrue="1"/>
  </conditionalFormatting>
  <conditionalFormatting sqref="BK69">
    <cfRule type="duplicateValues" dxfId="229" priority="230" stopIfTrue="1"/>
  </conditionalFormatting>
  <conditionalFormatting sqref="B68:B69">
    <cfRule type="duplicateValues" dxfId="228" priority="229" stopIfTrue="1"/>
  </conditionalFormatting>
  <conditionalFormatting sqref="B68:B69">
    <cfRule type="duplicateValues" dxfId="227" priority="228" stopIfTrue="1"/>
  </conditionalFormatting>
  <conditionalFormatting sqref="BK69">
    <cfRule type="duplicateValues" dxfId="226" priority="227" stopIfTrue="1"/>
  </conditionalFormatting>
  <conditionalFormatting sqref="BK69">
    <cfRule type="duplicateValues" dxfId="225" priority="226" stopIfTrue="1"/>
  </conditionalFormatting>
  <conditionalFormatting sqref="BK69">
    <cfRule type="duplicateValues" dxfId="224" priority="225" stopIfTrue="1"/>
  </conditionalFormatting>
  <conditionalFormatting sqref="BK69">
    <cfRule type="duplicateValues" dxfId="223" priority="224" stopIfTrue="1"/>
  </conditionalFormatting>
  <conditionalFormatting sqref="BK69">
    <cfRule type="duplicateValues" dxfId="222" priority="223" stopIfTrue="1"/>
  </conditionalFormatting>
  <conditionalFormatting sqref="BK69">
    <cfRule type="duplicateValues" dxfId="221" priority="222" stopIfTrue="1"/>
  </conditionalFormatting>
  <conditionalFormatting sqref="BK69">
    <cfRule type="duplicateValues" dxfId="220" priority="221" stopIfTrue="1"/>
  </conditionalFormatting>
  <conditionalFormatting sqref="BK69">
    <cfRule type="duplicateValues" dxfId="219" priority="220" stopIfTrue="1"/>
  </conditionalFormatting>
  <conditionalFormatting sqref="BK69">
    <cfRule type="duplicateValues" dxfId="218" priority="219" stopIfTrue="1"/>
  </conditionalFormatting>
  <conditionalFormatting sqref="BK69">
    <cfRule type="duplicateValues" dxfId="217" priority="218" stopIfTrue="1"/>
  </conditionalFormatting>
  <conditionalFormatting sqref="BK69">
    <cfRule type="duplicateValues" dxfId="216" priority="217" stopIfTrue="1"/>
  </conditionalFormatting>
  <conditionalFormatting sqref="BK69">
    <cfRule type="duplicateValues" dxfId="215" priority="216" stopIfTrue="1"/>
  </conditionalFormatting>
  <conditionalFormatting sqref="BK69">
    <cfRule type="duplicateValues" dxfId="214" priority="215" stopIfTrue="1"/>
  </conditionalFormatting>
  <conditionalFormatting sqref="BK69">
    <cfRule type="duplicateValues" dxfId="213" priority="214" stopIfTrue="1"/>
  </conditionalFormatting>
  <conditionalFormatting sqref="BK69">
    <cfRule type="duplicateValues" dxfId="212" priority="213" stopIfTrue="1"/>
  </conditionalFormatting>
  <conditionalFormatting sqref="BK69">
    <cfRule type="duplicateValues" dxfId="211" priority="212" stopIfTrue="1"/>
  </conditionalFormatting>
  <conditionalFormatting sqref="BK69">
    <cfRule type="duplicateValues" dxfId="210" priority="211" stopIfTrue="1"/>
  </conditionalFormatting>
  <conditionalFormatting sqref="BK69">
    <cfRule type="duplicateValues" dxfId="209" priority="210" stopIfTrue="1"/>
  </conditionalFormatting>
  <conditionalFormatting sqref="BK69">
    <cfRule type="duplicateValues" dxfId="208" priority="209" stopIfTrue="1"/>
  </conditionalFormatting>
  <conditionalFormatting sqref="BK69">
    <cfRule type="duplicateValues" dxfId="207" priority="208" stopIfTrue="1"/>
  </conditionalFormatting>
  <conditionalFormatting sqref="BK69">
    <cfRule type="duplicateValues" dxfId="206" priority="207" stopIfTrue="1"/>
  </conditionalFormatting>
  <conditionalFormatting sqref="BK69">
    <cfRule type="duplicateValues" dxfId="205" priority="206" stopIfTrue="1"/>
  </conditionalFormatting>
  <conditionalFormatting sqref="BK69">
    <cfRule type="duplicateValues" dxfId="204" priority="205" stopIfTrue="1"/>
  </conditionalFormatting>
  <conditionalFormatting sqref="BK69">
    <cfRule type="duplicateValues" dxfId="203" priority="204" stopIfTrue="1"/>
  </conditionalFormatting>
  <conditionalFormatting sqref="BK69">
    <cfRule type="duplicateValues" dxfId="202" priority="203" stopIfTrue="1"/>
  </conditionalFormatting>
  <conditionalFormatting sqref="BK69">
    <cfRule type="duplicateValues" dxfId="201" priority="202" stopIfTrue="1"/>
  </conditionalFormatting>
  <conditionalFormatting sqref="BK69">
    <cfRule type="duplicateValues" dxfId="200" priority="201" stopIfTrue="1"/>
  </conditionalFormatting>
  <conditionalFormatting sqref="BK69">
    <cfRule type="duplicateValues" dxfId="199" priority="200" stopIfTrue="1"/>
  </conditionalFormatting>
  <conditionalFormatting sqref="BK69">
    <cfRule type="duplicateValues" dxfId="198" priority="199" stopIfTrue="1"/>
  </conditionalFormatting>
  <conditionalFormatting sqref="BK69">
    <cfRule type="duplicateValues" dxfId="197" priority="198" stopIfTrue="1"/>
  </conditionalFormatting>
  <conditionalFormatting sqref="BK69">
    <cfRule type="duplicateValues" dxfId="196" priority="197" stopIfTrue="1"/>
  </conditionalFormatting>
  <conditionalFormatting sqref="BK69">
    <cfRule type="duplicateValues" dxfId="195" priority="196" stopIfTrue="1"/>
  </conditionalFormatting>
  <conditionalFormatting sqref="BK69">
    <cfRule type="duplicateValues" dxfId="194" priority="195" stopIfTrue="1"/>
  </conditionalFormatting>
  <conditionalFormatting sqref="BK69">
    <cfRule type="duplicateValues" dxfId="193" priority="194" stopIfTrue="1"/>
  </conditionalFormatting>
  <conditionalFormatting sqref="BK69">
    <cfRule type="duplicateValues" dxfId="192" priority="193" stopIfTrue="1"/>
  </conditionalFormatting>
  <conditionalFormatting sqref="BK69">
    <cfRule type="duplicateValues" dxfId="191" priority="192" stopIfTrue="1"/>
  </conditionalFormatting>
  <conditionalFormatting sqref="BK69">
    <cfRule type="duplicateValues" dxfId="190" priority="191" stopIfTrue="1"/>
  </conditionalFormatting>
  <conditionalFormatting sqref="BK69">
    <cfRule type="duplicateValues" dxfId="189" priority="190" stopIfTrue="1"/>
  </conditionalFormatting>
  <conditionalFormatting sqref="BK69">
    <cfRule type="duplicateValues" dxfId="188" priority="189" stopIfTrue="1"/>
  </conditionalFormatting>
  <conditionalFormatting sqref="BK69">
    <cfRule type="duplicateValues" dxfId="187" priority="188" stopIfTrue="1"/>
  </conditionalFormatting>
  <conditionalFormatting sqref="BK69">
    <cfRule type="duplicateValues" dxfId="186" priority="187" stopIfTrue="1"/>
  </conditionalFormatting>
  <conditionalFormatting sqref="BK69">
    <cfRule type="duplicateValues" dxfId="185" priority="186" stopIfTrue="1"/>
  </conditionalFormatting>
  <conditionalFormatting sqref="BK69">
    <cfRule type="duplicateValues" dxfId="184" priority="185" stopIfTrue="1"/>
  </conditionalFormatting>
  <conditionalFormatting sqref="BK69">
    <cfRule type="duplicateValues" dxfId="183" priority="184" stopIfTrue="1"/>
  </conditionalFormatting>
  <conditionalFormatting sqref="BK69">
    <cfRule type="duplicateValues" dxfId="182" priority="183" stopIfTrue="1"/>
  </conditionalFormatting>
  <conditionalFormatting sqref="B68:B69">
    <cfRule type="duplicateValues" dxfId="181" priority="182" stopIfTrue="1"/>
  </conditionalFormatting>
  <conditionalFormatting sqref="B68:B69">
    <cfRule type="duplicateValues" dxfId="180" priority="181" stopIfTrue="1"/>
  </conditionalFormatting>
  <conditionalFormatting sqref="BK69">
    <cfRule type="duplicateValues" dxfId="179" priority="180" stopIfTrue="1"/>
  </conditionalFormatting>
  <conditionalFormatting sqref="B68:B69">
    <cfRule type="duplicateValues" dxfId="178" priority="179" stopIfTrue="1"/>
  </conditionalFormatting>
  <conditionalFormatting sqref="B68:B69">
    <cfRule type="duplicateValues" dxfId="177" priority="178" stopIfTrue="1"/>
  </conditionalFormatting>
  <conditionalFormatting sqref="BK69">
    <cfRule type="duplicateValues" dxfId="176" priority="177" stopIfTrue="1"/>
  </conditionalFormatting>
  <conditionalFormatting sqref="BK69">
    <cfRule type="duplicateValues" dxfId="175" priority="176" stopIfTrue="1"/>
  </conditionalFormatting>
  <conditionalFormatting sqref="BK69">
    <cfRule type="duplicateValues" dxfId="174" priority="175" stopIfTrue="1"/>
  </conditionalFormatting>
  <conditionalFormatting sqref="BK69">
    <cfRule type="duplicateValues" dxfId="173" priority="174" stopIfTrue="1"/>
  </conditionalFormatting>
  <conditionalFormatting sqref="BK69">
    <cfRule type="duplicateValues" dxfId="172" priority="173" stopIfTrue="1"/>
  </conditionalFormatting>
  <conditionalFormatting sqref="BK69">
    <cfRule type="duplicateValues" dxfId="171" priority="172" stopIfTrue="1"/>
  </conditionalFormatting>
  <conditionalFormatting sqref="BK69">
    <cfRule type="duplicateValues" dxfId="170" priority="171" stopIfTrue="1"/>
  </conditionalFormatting>
  <conditionalFormatting sqref="BK69">
    <cfRule type="duplicateValues" dxfId="169" priority="170" stopIfTrue="1"/>
  </conditionalFormatting>
  <conditionalFormatting sqref="BK69">
    <cfRule type="duplicateValues" dxfId="168" priority="169" stopIfTrue="1"/>
  </conditionalFormatting>
  <conditionalFormatting sqref="BK69">
    <cfRule type="duplicateValues" dxfId="167" priority="168" stopIfTrue="1"/>
  </conditionalFormatting>
  <conditionalFormatting sqref="BK69">
    <cfRule type="duplicateValues" dxfId="166" priority="167" stopIfTrue="1"/>
  </conditionalFormatting>
  <conditionalFormatting sqref="BK69">
    <cfRule type="duplicateValues" dxfId="165" priority="166" stopIfTrue="1"/>
  </conditionalFormatting>
  <conditionalFormatting sqref="BK69">
    <cfRule type="duplicateValues" dxfId="164" priority="165" stopIfTrue="1"/>
  </conditionalFormatting>
  <conditionalFormatting sqref="BK69">
    <cfRule type="duplicateValues" dxfId="163" priority="164" stopIfTrue="1"/>
  </conditionalFormatting>
  <conditionalFormatting sqref="BK69">
    <cfRule type="duplicateValues" dxfId="162" priority="163" stopIfTrue="1"/>
  </conditionalFormatting>
  <conditionalFormatting sqref="BK69">
    <cfRule type="duplicateValues" dxfId="161" priority="162" stopIfTrue="1"/>
  </conditionalFormatting>
  <conditionalFormatting sqref="BK69">
    <cfRule type="duplicateValues" dxfId="160" priority="161" stopIfTrue="1"/>
  </conditionalFormatting>
  <conditionalFormatting sqref="BK69">
    <cfRule type="duplicateValues" dxfId="159" priority="160" stopIfTrue="1"/>
  </conditionalFormatting>
  <conditionalFormatting sqref="BK69">
    <cfRule type="duplicateValues" dxfId="158" priority="159" stopIfTrue="1"/>
  </conditionalFormatting>
  <conditionalFormatting sqref="BK69">
    <cfRule type="duplicateValues" dxfId="157" priority="158" stopIfTrue="1"/>
  </conditionalFormatting>
  <conditionalFormatting sqref="BK69">
    <cfRule type="duplicateValues" dxfId="156" priority="157" stopIfTrue="1"/>
  </conditionalFormatting>
  <conditionalFormatting sqref="BK69">
    <cfRule type="duplicateValues" dxfId="155" priority="156" stopIfTrue="1"/>
  </conditionalFormatting>
  <conditionalFormatting sqref="BK69">
    <cfRule type="duplicateValues" dxfId="154" priority="155" stopIfTrue="1"/>
  </conditionalFormatting>
  <conditionalFormatting sqref="BK69">
    <cfRule type="duplicateValues" dxfId="153" priority="154" stopIfTrue="1"/>
  </conditionalFormatting>
  <conditionalFormatting sqref="BK69">
    <cfRule type="duplicateValues" dxfId="152" priority="153" stopIfTrue="1"/>
  </conditionalFormatting>
  <conditionalFormatting sqref="BK69">
    <cfRule type="duplicateValues" dxfId="151" priority="152" stopIfTrue="1"/>
  </conditionalFormatting>
  <conditionalFormatting sqref="BK69">
    <cfRule type="duplicateValues" dxfId="150" priority="151" stopIfTrue="1"/>
  </conditionalFormatting>
  <conditionalFormatting sqref="BK69">
    <cfRule type="duplicateValues" dxfId="149" priority="150" stopIfTrue="1"/>
  </conditionalFormatting>
  <conditionalFormatting sqref="BK69">
    <cfRule type="duplicateValues" dxfId="148" priority="149" stopIfTrue="1"/>
  </conditionalFormatting>
  <conditionalFormatting sqref="BK69">
    <cfRule type="duplicateValues" dxfId="147" priority="148" stopIfTrue="1"/>
  </conditionalFormatting>
  <conditionalFormatting sqref="BK69">
    <cfRule type="duplicateValues" dxfId="146" priority="147" stopIfTrue="1"/>
  </conditionalFormatting>
  <conditionalFormatting sqref="BK69">
    <cfRule type="duplicateValues" dxfId="145" priority="146" stopIfTrue="1"/>
  </conditionalFormatting>
  <conditionalFormatting sqref="BK69">
    <cfRule type="duplicateValues" dxfId="144" priority="145" stopIfTrue="1"/>
  </conditionalFormatting>
  <conditionalFormatting sqref="BK69">
    <cfRule type="duplicateValues" dxfId="143" priority="144" stopIfTrue="1"/>
  </conditionalFormatting>
  <conditionalFormatting sqref="BK69">
    <cfRule type="duplicateValues" dxfId="142" priority="143" stopIfTrue="1"/>
  </conditionalFormatting>
  <conditionalFormatting sqref="BK69">
    <cfRule type="duplicateValues" dxfId="141" priority="142" stopIfTrue="1"/>
  </conditionalFormatting>
  <conditionalFormatting sqref="BK69">
    <cfRule type="duplicateValues" dxfId="140" priority="141" stopIfTrue="1"/>
  </conditionalFormatting>
  <conditionalFormatting sqref="BK69">
    <cfRule type="duplicateValues" dxfId="139" priority="140" stopIfTrue="1"/>
  </conditionalFormatting>
  <conditionalFormatting sqref="BK69">
    <cfRule type="duplicateValues" dxfId="138" priority="139" stopIfTrue="1"/>
  </conditionalFormatting>
  <conditionalFormatting sqref="BK69">
    <cfRule type="duplicateValues" dxfId="137" priority="138" stopIfTrue="1"/>
  </conditionalFormatting>
  <conditionalFormatting sqref="BK69">
    <cfRule type="duplicateValues" dxfId="136" priority="137" stopIfTrue="1"/>
  </conditionalFormatting>
  <conditionalFormatting sqref="BK69">
    <cfRule type="duplicateValues" dxfId="135" priority="136" stopIfTrue="1"/>
  </conditionalFormatting>
  <conditionalFormatting sqref="BK69">
    <cfRule type="duplicateValues" dxfId="134" priority="135" stopIfTrue="1"/>
  </conditionalFormatting>
  <conditionalFormatting sqref="BK69">
    <cfRule type="duplicateValues" dxfId="133" priority="134" stopIfTrue="1"/>
  </conditionalFormatting>
  <conditionalFormatting sqref="BK69">
    <cfRule type="duplicateValues" dxfId="132" priority="133" stopIfTrue="1"/>
  </conditionalFormatting>
  <conditionalFormatting sqref="B68:B69">
    <cfRule type="duplicateValues" dxfId="131" priority="132" stopIfTrue="1"/>
  </conditionalFormatting>
  <conditionalFormatting sqref="B68:B69">
    <cfRule type="duplicateValues" dxfId="130" priority="131" stopIfTrue="1"/>
  </conditionalFormatting>
  <conditionalFormatting sqref="BK69">
    <cfRule type="duplicateValues" dxfId="129" priority="130" stopIfTrue="1"/>
  </conditionalFormatting>
  <conditionalFormatting sqref="B68:B69">
    <cfRule type="duplicateValues" dxfId="128" priority="129" stopIfTrue="1"/>
  </conditionalFormatting>
  <conditionalFormatting sqref="B68:B69">
    <cfRule type="duplicateValues" dxfId="127" priority="128" stopIfTrue="1"/>
  </conditionalFormatting>
  <conditionalFormatting sqref="BK69">
    <cfRule type="duplicateValues" dxfId="126" priority="127" stopIfTrue="1"/>
  </conditionalFormatting>
  <conditionalFormatting sqref="BK69">
    <cfRule type="duplicateValues" dxfId="125" priority="126" stopIfTrue="1"/>
  </conditionalFormatting>
  <conditionalFormatting sqref="BK69">
    <cfRule type="duplicateValues" dxfId="124" priority="125" stopIfTrue="1"/>
  </conditionalFormatting>
  <conditionalFormatting sqref="BK69">
    <cfRule type="duplicateValues" dxfId="123" priority="124" stopIfTrue="1"/>
  </conditionalFormatting>
  <conditionalFormatting sqref="BK69">
    <cfRule type="duplicateValues" dxfId="122" priority="123" stopIfTrue="1"/>
  </conditionalFormatting>
  <conditionalFormatting sqref="BK69">
    <cfRule type="duplicateValues" dxfId="121" priority="122" stopIfTrue="1"/>
  </conditionalFormatting>
  <conditionalFormatting sqref="BK69">
    <cfRule type="duplicateValues" dxfId="120" priority="121" stopIfTrue="1"/>
  </conditionalFormatting>
  <conditionalFormatting sqref="BK69">
    <cfRule type="duplicateValues" dxfId="119" priority="120" stopIfTrue="1"/>
  </conditionalFormatting>
  <conditionalFormatting sqref="BK69">
    <cfRule type="duplicateValues" dxfId="118" priority="119" stopIfTrue="1"/>
  </conditionalFormatting>
  <conditionalFormatting sqref="BK69">
    <cfRule type="duplicateValues" dxfId="117" priority="118" stopIfTrue="1"/>
  </conditionalFormatting>
  <conditionalFormatting sqref="BK69">
    <cfRule type="duplicateValues" dxfId="116" priority="117" stopIfTrue="1"/>
  </conditionalFormatting>
  <conditionalFormatting sqref="BK69">
    <cfRule type="duplicateValues" dxfId="115" priority="116" stopIfTrue="1"/>
  </conditionalFormatting>
  <conditionalFormatting sqref="BK69">
    <cfRule type="duplicateValues" dxfId="114" priority="115" stopIfTrue="1"/>
  </conditionalFormatting>
  <conditionalFormatting sqref="BK69">
    <cfRule type="duplicateValues" dxfId="113" priority="114" stopIfTrue="1"/>
  </conditionalFormatting>
  <conditionalFormatting sqref="BK69">
    <cfRule type="duplicateValues" dxfId="112" priority="113" stopIfTrue="1"/>
  </conditionalFormatting>
  <conditionalFormatting sqref="BK69">
    <cfRule type="duplicateValues" dxfId="111" priority="112" stopIfTrue="1"/>
  </conditionalFormatting>
  <conditionalFormatting sqref="BK69">
    <cfRule type="duplicateValues" dxfId="110" priority="111" stopIfTrue="1"/>
  </conditionalFormatting>
  <conditionalFormatting sqref="BK69">
    <cfRule type="duplicateValues" dxfId="109" priority="110" stopIfTrue="1"/>
  </conditionalFormatting>
  <conditionalFormatting sqref="BK69">
    <cfRule type="duplicateValues" dxfId="108" priority="109" stopIfTrue="1"/>
  </conditionalFormatting>
  <conditionalFormatting sqref="BK69">
    <cfRule type="duplicateValues" dxfId="107" priority="108" stopIfTrue="1"/>
  </conditionalFormatting>
  <conditionalFormatting sqref="BK69">
    <cfRule type="duplicateValues" dxfId="106" priority="107" stopIfTrue="1"/>
  </conditionalFormatting>
  <conditionalFormatting sqref="BK69">
    <cfRule type="duplicateValues" dxfId="105" priority="106" stopIfTrue="1"/>
  </conditionalFormatting>
  <conditionalFormatting sqref="BK69">
    <cfRule type="duplicateValues" dxfId="104" priority="105" stopIfTrue="1"/>
  </conditionalFormatting>
  <conditionalFormatting sqref="BK69">
    <cfRule type="duplicateValues" dxfId="103" priority="104" stopIfTrue="1"/>
  </conditionalFormatting>
  <conditionalFormatting sqref="BK69">
    <cfRule type="duplicateValues" dxfId="102" priority="103" stopIfTrue="1"/>
  </conditionalFormatting>
  <conditionalFormatting sqref="BK69">
    <cfRule type="duplicateValues" dxfId="101" priority="102" stopIfTrue="1"/>
  </conditionalFormatting>
  <conditionalFormatting sqref="BK69">
    <cfRule type="duplicateValues" dxfId="100" priority="101" stopIfTrue="1"/>
  </conditionalFormatting>
  <conditionalFormatting sqref="BK69">
    <cfRule type="duplicateValues" dxfId="99" priority="100" stopIfTrue="1"/>
  </conditionalFormatting>
  <conditionalFormatting sqref="BK69">
    <cfRule type="duplicateValues" dxfId="98" priority="99" stopIfTrue="1"/>
  </conditionalFormatting>
  <conditionalFormatting sqref="BK69">
    <cfRule type="duplicateValues" dxfId="97" priority="98" stopIfTrue="1"/>
  </conditionalFormatting>
  <conditionalFormatting sqref="BK69">
    <cfRule type="duplicateValues" dxfId="96" priority="97" stopIfTrue="1"/>
  </conditionalFormatting>
  <conditionalFormatting sqref="BK69">
    <cfRule type="duplicateValues" dxfId="95" priority="96" stopIfTrue="1"/>
  </conditionalFormatting>
  <conditionalFormatting sqref="BK69">
    <cfRule type="duplicateValues" dxfId="94" priority="95" stopIfTrue="1"/>
  </conditionalFormatting>
  <conditionalFormatting sqref="BK69">
    <cfRule type="duplicateValues" dxfId="93" priority="94" stopIfTrue="1"/>
  </conditionalFormatting>
  <conditionalFormatting sqref="BK69">
    <cfRule type="duplicateValues" dxfId="92" priority="93" stopIfTrue="1"/>
  </conditionalFormatting>
  <conditionalFormatting sqref="BK69">
    <cfRule type="duplicateValues" dxfId="91" priority="92" stopIfTrue="1"/>
  </conditionalFormatting>
  <conditionalFormatting sqref="BK69">
    <cfRule type="duplicateValues" dxfId="90" priority="91" stopIfTrue="1"/>
  </conditionalFormatting>
  <conditionalFormatting sqref="BK69">
    <cfRule type="duplicateValues" dxfId="89" priority="90" stopIfTrue="1"/>
  </conditionalFormatting>
  <conditionalFormatting sqref="BK69">
    <cfRule type="duplicateValues" dxfId="88" priority="89" stopIfTrue="1"/>
  </conditionalFormatting>
  <conditionalFormatting sqref="BK69">
    <cfRule type="duplicateValues" dxfId="87" priority="88" stopIfTrue="1"/>
  </conditionalFormatting>
  <conditionalFormatting sqref="BK69">
    <cfRule type="duplicateValues" dxfId="86" priority="87" stopIfTrue="1"/>
  </conditionalFormatting>
  <conditionalFormatting sqref="BK69">
    <cfRule type="duplicateValues" dxfId="85" priority="86" stopIfTrue="1"/>
  </conditionalFormatting>
  <conditionalFormatting sqref="BK69">
    <cfRule type="duplicateValues" dxfId="84" priority="85" stopIfTrue="1"/>
  </conditionalFormatting>
  <conditionalFormatting sqref="BK69">
    <cfRule type="duplicateValues" dxfId="83" priority="84" stopIfTrue="1"/>
  </conditionalFormatting>
  <conditionalFormatting sqref="BK69">
    <cfRule type="duplicateValues" dxfId="82" priority="83" stopIfTrue="1"/>
  </conditionalFormatting>
  <conditionalFormatting sqref="B68:B69">
    <cfRule type="duplicateValues" dxfId="81" priority="82" stopIfTrue="1"/>
  </conditionalFormatting>
  <conditionalFormatting sqref="B68:B69">
    <cfRule type="duplicateValues" dxfId="80" priority="81" stopIfTrue="1"/>
  </conditionalFormatting>
  <conditionalFormatting sqref="BK69">
    <cfRule type="duplicateValues" dxfId="79" priority="80" stopIfTrue="1"/>
  </conditionalFormatting>
  <conditionalFormatting sqref="B68:B69">
    <cfRule type="duplicateValues" dxfId="78" priority="79" stopIfTrue="1"/>
  </conditionalFormatting>
  <conditionalFormatting sqref="B68:B69">
    <cfRule type="duplicateValues" dxfId="77" priority="78" stopIfTrue="1"/>
  </conditionalFormatting>
  <conditionalFormatting sqref="BK69">
    <cfRule type="duplicateValues" dxfId="76" priority="77" stopIfTrue="1"/>
  </conditionalFormatting>
  <conditionalFormatting sqref="BK69">
    <cfRule type="duplicateValues" dxfId="75" priority="76" stopIfTrue="1"/>
  </conditionalFormatting>
  <conditionalFormatting sqref="BK69">
    <cfRule type="duplicateValues" dxfId="74" priority="75" stopIfTrue="1"/>
  </conditionalFormatting>
  <conditionalFormatting sqref="BK69">
    <cfRule type="duplicateValues" dxfId="73" priority="74" stopIfTrue="1"/>
  </conditionalFormatting>
  <conditionalFormatting sqref="BK69">
    <cfRule type="duplicateValues" dxfId="72" priority="73" stopIfTrue="1"/>
  </conditionalFormatting>
  <conditionalFormatting sqref="BK69">
    <cfRule type="duplicateValues" dxfId="71" priority="72" stopIfTrue="1"/>
  </conditionalFormatting>
  <conditionalFormatting sqref="BK69">
    <cfRule type="duplicateValues" dxfId="70" priority="71" stopIfTrue="1"/>
  </conditionalFormatting>
  <conditionalFormatting sqref="BK69">
    <cfRule type="duplicateValues" dxfId="69" priority="70" stopIfTrue="1"/>
  </conditionalFormatting>
  <conditionalFormatting sqref="BK69">
    <cfRule type="duplicateValues" dxfId="68" priority="69" stopIfTrue="1"/>
  </conditionalFormatting>
  <conditionalFormatting sqref="BK69">
    <cfRule type="duplicateValues" dxfId="67" priority="68" stopIfTrue="1"/>
  </conditionalFormatting>
  <conditionalFormatting sqref="BK69">
    <cfRule type="duplicateValues" dxfId="66" priority="67" stopIfTrue="1"/>
  </conditionalFormatting>
  <conditionalFormatting sqref="BK69">
    <cfRule type="duplicateValues" dxfId="65" priority="66" stopIfTrue="1"/>
  </conditionalFormatting>
  <conditionalFormatting sqref="BK69">
    <cfRule type="duplicateValues" dxfId="64" priority="65" stopIfTrue="1"/>
  </conditionalFormatting>
  <conditionalFormatting sqref="BK69">
    <cfRule type="duplicateValues" dxfId="63" priority="64" stopIfTrue="1"/>
  </conditionalFormatting>
  <conditionalFormatting sqref="BK69">
    <cfRule type="duplicateValues" dxfId="62" priority="63" stopIfTrue="1"/>
  </conditionalFormatting>
  <conditionalFormatting sqref="BK69">
    <cfRule type="duplicateValues" dxfId="61" priority="62" stopIfTrue="1"/>
  </conditionalFormatting>
  <conditionalFormatting sqref="BK69">
    <cfRule type="duplicateValues" dxfId="60" priority="61" stopIfTrue="1"/>
  </conditionalFormatting>
  <conditionalFormatting sqref="BK69">
    <cfRule type="duplicateValues" dxfId="59" priority="60" stopIfTrue="1"/>
  </conditionalFormatting>
  <conditionalFormatting sqref="BK69">
    <cfRule type="duplicateValues" dxfId="58" priority="59" stopIfTrue="1"/>
  </conditionalFormatting>
  <conditionalFormatting sqref="BK69">
    <cfRule type="duplicateValues" dxfId="57" priority="58" stopIfTrue="1"/>
  </conditionalFormatting>
  <conditionalFormatting sqref="BK69">
    <cfRule type="duplicateValues" dxfId="56" priority="57" stopIfTrue="1"/>
  </conditionalFormatting>
  <conditionalFormatting sqref="BK69">
    <cfRule type="duplicateValues" dxfId="55" priority="56" stopIfTrue="1"/>
  </conditionalFormatting>
  <conditionalFormatting sqref="BK69">
    <cfRule type="duplicateValues" dxfId="54" priority="55" stopIfTrue="1"/>
  </conditionalFormatting>
  <conditionalFormatting sqref="BK69">
    <cfRule type="duplicateValues" dxfId="53" priority="54" stopIfTrue="1"/>
  </conditionalFormatting>
  <conditionalFormatting sqref="BK69">
    <cfRule type="duplicateValues" dxfId="52" priority="53" stopIfTrue="1"/>
  </conditionalFormatting>
  <conditionalFormatting sqref="BK69">
    <cfRule type="duplicateValues" dxfId="51" priority="52" stopIfTrue="1"/>
  </conditionalFormatting>
  <conditionalFormatting sqref="BK69">
    <cfRule type="duplicateValues" dxfId="50" priority="51" stopIfTrue="1"/>
  </conditionalFormatting>
  <conditionalFormatting sqref="BK69">
    <cfRule type="duplicateValues" dxfId="49" priority="50" stopIfTrue="1"/>
  </conditionalFormatting>
  <conditionalFormatting sqref="BK69">
    <cfRule type="duplicateValues" dxfId="48" priority="49" stopIfTrue="1"/>
  </conditionalFormatting>
  <conditionalFormatting sqref="BK69">
    <cfRule type="duplicateValues" dxfId="47" priority="48" stopIfTrue="1"/>
  </conditionalFormatting>
  <conditionalFormatting sqref="BK69">
    <cfRule type="duplicateValues" dxfId="46" priority="47" stopIfTrue="1"/>
  </conditionalFormatting>
  <conditionalFormatting sqref="BK69">
    <cfRule type="duplicateValues" dxfId="45" priority="46" stopIfTrue="1"/>
  </conditionalFormatting>
  <conditionalFormatting sqref="BK69">
    <cfRule type="duplicateValues" dxfId="44" priority="45" stopIfTrue="1"/>
  </conditionalFormatting>
  <conditionalFormatting sqref="BK69">
    <cfRule type="duplicateValues" dxfId="43" priority="44" stopIfTrue="1"/>
  </conditionalFormatting>
  <conditionalFormatting sqref="BK69">
    <cfRule type="duplicateValues" dxfId="42" priority="43" stopIfTrue="1"/>
  </conditionalFormatting>
  <conditionalFormatting sqref="BK69">
    <cfRule type="duplicateValues" dxfId="41" priority="42" stopIfTrue="1"/>
  </conditionalFormatting>
  <conditionalFormatting sqref="BK69">
    <cfRule type="duplicateValues" dxfId="40" priority="41" stopIfTrue="1"/>
  </conditionalFormatting>
  <conditionalFormatting sqref="BK69">
    <cfRule type="duplicateValues" dxfId="39" priority="40" stopIfTrue="1"/>
  </conditionalFormatting>
  <conditionalFormatting sqref="BK69">
    <cfRule type="duplicateValues" dxfId="38" priority="39" stopIfTrue="1"/>
  </conditionalFormatting>
  <conditionalFormatting sqref="BK69">
    <cfRule type="duplicateValues" dxfId="37" priority="38" stopIfTrue="1"/>
  </conditionalFormatting>
  <conditionalFormatting sqref="BK69">
    <cfRule type="duplicateValues" dxfId="36" priority="37" stopIfTrue="1"/>
  </conditionalFormatting>
  <conditionalFormatting sqref="BK69">
    <cfRule type="duplicateValues" dxfId="35" priority="36" stopIfTrue="1"/>
  </conditionalFormatting>
  <conditionalFormatting sqref="BK69">
    <cfRule type="duplicateValues" dxfId="34" priority="35" stopIfTrue="1"/>
  </conditionalFormatting>
  <conditionalFormatting sqref="BK69">
    <cfRule type="duplicateValues" dxfId="33" priority="34" stopIfTrue="1"/>
  </conditionalFormatting>
  <conditionalFormatting sqref="BK69">
    <cfRule type="duplicateValues" dxfId="32" priority="33" stopIfTrue="1"/>
  </conditionalFormatting>
  <conditionalFormatting sqref="BK68">
    <cfRule type="duplicateValues" dxfId="31" priority="32" stopIfTrue="1"/>
  </conditionalFormatting>
  <conditionalFormatting sqref="BK68">
    <cfRule type="duplicateValues" dxfId="30" priority="31" stopIfTrue="1"/>
  </conditionalFormatting>
  <conditionalFormatting sqref="BK68">
    <cfRule type="duplicateValues" dxfId="29" priority="30" stopIfTrue="1"/>
  </conditionalFormatting>
  <conditionalFormatting sqref="BK68">
    <cfRule type="duplicateValues" dxfId="28" priority="29" stopIfTrue="1"/>
  </conditionalFormatting>
  <conditionalFormatting sqref="BK68">
    <cfRule type="duplicateValues" dxfId="27" priority="28" stopIfTrue="1"/>
  </conditionalFormatting>
  <conditionalFormatting sqref="BK68">
    <cfRule type="duplicateValues" dxfId="26" priority="27" stopIfTrue="1"/>
  </conditionalFormatting>
  <conditionalFormatting sqref="BK68">
    <cfRule type="duplicateValues" dxfId="25" priority="26" stopIfTrue="1"/>
  </conditionalFormatting>
  <conditionalFormatting sqref="BK68">
    <cfRule type="duplicateValues" dxfId="24" priority="25" stopIfTrue="1"/>
  </conditionalFormatting>
  <conditionalFormatting sqref="BK68">
    <cfRule type="duplicateValues" dxfId="23" priority="24" stopIfTrue="1"/>
  </conditionalFormatting>
  <conditionalFormatting sqref="BK68">
    <cfRule type="duplicateValues" dxfId="22" priority="23" stopIfTrue="1"/>
  </conditionalFormatting>
  <conditionalFormatting sqref="BK68">
    <cfRule type="duplicateValues" dxfId="21" priority="22" stopIfTrue="1"/>
  </conditionalFormatting>
  <conditionalFormatting sqref="BK68">
    <cfRule type="duplicateValues" dxfId="20" priority="21" stopIfTrue="1"/>
  </conditionalFormatting>
  <conditionalFormatting sqref="BK68">
    <cfRule type="duplicateValues" dxfId="19" priority="20" stopIfTrue="1"/>
  </conditionalFormatting>
  <conditionalFormatting sqref="BK68">
    <cfRule type="duplicateValues" dxfId="18" priority="19" stopIfTrue="1"/>
  </conditionalFormatting>
  <conditionalFormatting sqref="BK68">
    <cfRule type="duplicateValues" dxfId="17" priority="18" stopIfTrue="1"/>
  </conditionalFormatting>
  <conditionalFormatting sqref="BK68">
    <cfRule type="duplicateValues" dxfId="16" priority="17" stopIfTrue="1"/>
  </conditionalFormatting>
  <conditionalFormatting sqref="BK68">
    <cfRule type="duplicateValues" dxfId="15" priority="16" stopIfTrue="1"/>
  </conditionalFormatting>
  <conditionalFormatting sqref="BK68">
    <cfRule type="duplicateValues" dxfId="14" priority="15" stopIfTrue="1"/>
  </conditionalFormatting>
  <conditionalFormatting sqref="BK68">
    <cfRule type="duplicateValues" dxfId="13" priority="14" stopIfTrue="1"/>
  </conditionalFormatting>
  <conditionalFormatting sqref="BK68">
    <cfRule type="duplicateValues" dxfId="12" priority="13" stopIfTrue="1"/>
  </conditionalFormatting>
  <conditionalFormatting sqref="BK68">
    <cfRule type="duplicateValues" dxfId="11" priority="12" stopIfTrue="1"/>
  </conditionalFormatting>
  <conditionalFormatting sqref="BK68">
    <cfRule type="duplicateValues" dxfId="10" priority="11" stopIfTrue="1"/>
  </conditionalFormatting>
  <conditionalFormatting sqref="BK68">
    <cfRule type="duplicateValues" dxfId="9" priority="10" stopIfTrue="1"/>
  </conditionalFormatting>
  <conditionalFormatting sqref="BK68">
    <cfRule type="duplicateValues" dxfId="8" priority="9" stopIfTrue="1"/>
  </conditionalFormatting>
  <conditionalFormatting sqref="BK68">
    <cfRule type="duplicateValues" dxfId="7" priority="8" stopIfTrue="1"/>
  </conditionalFormatting>
  <conditionalFormatting sqref="BK68">
    <cfRule type="duplicateValues" dxfId="6" priority="7" stopIfTrue="1"/>
  </conditionalFormatting>
  <conditionalFormatting sqref="BK68">
    <cfRule type="duplicateValues" dxfId="5" priority="6" stopIfTrue="1"/>
  </conditionalFormatting>
  <conditionalFormatting sqref="BK68">
    <cfRule type="duplicateValues" dxfId="4" priority="5" stopIfTrue="1"/>
  </conditionalFormatting>
  <conditionalFormatting sqref="BK68">
    <cfRule type="duplicateValues" dxfId="3" priority="4" stopIfTrue="1"/>
  </conditionalFormatting>
  <conditionalFormatting sqref="BK68">
    <cfRule type="duplicateValues" dxfId="2" priority="3" stopIfTrue="1"/>
  </conditionalFormatting>
  <conditionalFormatting sqref="BK68">
    <cfRule type="duplicateValues" dxfId="1" priority="2" stopIfTrue="1"/>
  </conditionalFormatting>
  <conditionalFormatting sqref="BK68">
    <cfRule type="duplicateValues" dxfId="0" priority="1" stopIfTrue="1"/>
  </conditionalFormatting>
  <printOptions horizontalCentered="1"/>
  <pageMargins left="0" right="0" top="0.5" bottom="0" header="0" footer="0"/>
  <pageSetup paperSize="9" scale="44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BE71"/>
  <sheetViews>
    <sheetView showGridLines="0" workbookViewId="0"/>
  </sheetViews>
  <sheetFormatPr defaultRowHeight="12.75"/>
  <cols>
    <col min="1" max="1" width="12" bestFit="1" customWidth="1"/>
    <col min="2" max="2" width="6.140625" customWidth="1"/>
    <col min="3" max="3" width="21.140625" customWidth="1"/>
    <col min="4" max="4" width="6.85546875" customWidth="1"/>
    <col min="5" max="5" width="5.140625" customWidth="1"/>
    <col min="6" max="6" width="5.42578125" customWidth="1"/>
    <col min="7" max="7" width="8.7109375" customWidth="1"/>
    <col min="8" max="8" width="7.7109375" hidden="1" customWidth="1"/>
    <col min="9" max="9" width="9.85546875" hidden="1" customWidth="1"/>
    <col min="10" max="10" width="8" customWidth="1"/>
    <col min="11" max="11" width="13.42578125" hidden="1" customWidth="1"/>
    <col min="12" max="12" width="11.28515625" hidden="1" customWidth="1"/>
    <col min="13" max="13" width="8" customWidth="1"/>
    <col min="14" max="14" width="7" customWidth="1"/>
    <col min="15" max="15" width="6.140625" customWidth="1"/>
    <col min="16" max="16" width="7" hidden="1" customWidth="1"/>
    <col min="17" max="17" width="7.7109375" hidden="1" customWidth="1"/>
    <col min="18" max="18" width="8.7109375" customWidth="1"/>
    <col min="19" max="19" width="10.85546875" hidden="1" customWidth="1"/>
    <col min="20" max="20" width="12.5703125" hidden="1" customWidth="1"/>
    <col min="21" max="21" width="7" hidden="1" customWidth="1"/>
    <col min="22" max="22" width="7.7109375" hidden="1" customWidth="1"/>
    <col min="23" max="23" width="8.7109375" customWidth="1"/>
    <col min="24" max="24" width="10.85546875" hidden="1" customWidth="1"/>
    <col min="25" max="25" width="12.5703125" hidden="1" customWidth="1"/>
    <col min="26" max="27" width="9.140625" hidden="1" customWidth="1"/>
    <col min="28" max="28" width="10.140625" hidden="1" customWidth="1"/>
    <col min="29" max="29" width="9.140625" customWidth="1"/>
    <col min="30" max="30" width="10.85546875" hidden="1" customWidth="1"/>
    <col min="31" max="31" width="12.5703125" hidden="1" customWidth="1"/>
    <col min="32" max="32" width="7" hidden="1" customWidth="1"/>
    <col min="33" max="33" width="7.7109375" hidden="1" customWidth="1"/>
    <col min="34" max="34" width="7" hidden="1" customWidth="1"/>
    <col min="35" max="35" width="8.7109375" customWidth="1"/>
    <col min="36" max="36" width="10.85546875" hidden="1" customWidth="1"/>
    <col min="37" max="37" width="12.5703125" hidden="1" customWidth="1"/>
    <col min="38" max="39" width="7.140625" hidden="1" customWidth="1"/>
    <col min="40" max="40" width="8.7109375" customWidth="1"/>
    <col min="41" max="41" width="10.85546875" hidden="1" customWidth="1"/>
    <col min="42" max="42" width="12.5703125" hidden="1" customWidth="1"/>
    <col min="43" max="43" width="7.140625" hidden="1" customWidth="1"/>
    <col min="44" max="44" width="7.7109375" hidden="1" customWidth="1"/>
    <col min="45" max="45" width="8.7109375" customWidth="1"/>
    <col min="46" max="46" width="10.85546875" hidden="1" customWidth="1"/>
    <col min="47" max="47" width="12.5703125" hidden="1" customWidth="1"/>
    <col min="48" max="49" width="7.140625" hidden="1" customWidth="1"/>
    <col min="50" max="50" width="8.7109375" customWidth="1"/>
    <col min="51" max="51" width="10.85546875" hidden="1" customWidth="1"/>
    <col min="52" max="52" width="12.5703125" hidden="1" customWidth="1"/>
    <col min="53" max="54" width="7.140625" hidden="1" customWidth="1"/>
    <col min="55" max="55" width="8.7109375" customWidth="1"/>
    <col min="56" max="56" width="10.85546875" hidden="1" customWidth="1"/>
    <col min="57" max="57" width="12.5703125" hidden="1" customWidth="1"/>
  </cols>
  <sheetData>
    <row r="1" spans="1:57">
      <c r="A1" s="4" t="s">
        <v>138</v>
      </c>
    </row>
    <row r="2" spans="1:57">
      <c r="A2" s="4" t="s">
        <v>139</v>
      </c>
    </row>
    <row r="4" spans="1:57" ht="25.5">
      <c r="A4" s="25" t="s">
        <v>4</v>
      </c>
      <c r="B4" s="26" t="s">
        <v>14</v>
      </c>
      <c r="C4" s="26" t="s">
        <v>18</v>
      </c>
      <c r="D4" s="26" t="s">
        <v>22</v>
      </c>
      <c r="E4" s="26" t="s">
        <v>24</v>
      </c>
      <c r="F4" s="26" t="s">
        <v>165</v>
      </c>
      <c r="G4" s="26" t="s">
        <v>166</v>
      </c>
      <c r="H4" s="26" t="s">
        <v>167</v>
      </c>
      <c r="I4" s="26" t="s">
        <v>168</v>
      </c>
      <c r="J4" s="26" t="s">
        <v>169</v>
      </c>
      <c r="K4" s="26" t="s">
        <v>170</v>
      </c>
      <c r="L4" s="26" t="s">
        <v>171</v>
      </c>
      <c r="M4" s="26" t="s">
        <v>172</v>
      </c>
      <c r="N4" s="27" t="s">
        <v>173</v>
      </c>
      <c r="O4" s="28" t="s">
        <v>174</v>
      </c>
      <c r="P4" s="27" t="s">
        <v>175</v>
      </c>
      <c r="Q4" s="28" t="s">
        <v>176</v>
      </c>
      <c r="R4" s="26" t="s">
        <v>177</v>
      </c>
      <c r="S4" s="26" t="s">
        <v>178</v>
      </c>
      <c r="T4" s="26" t="s">
        <v>179</v>
      </c>
      <c r="U4" s="27" t="s">
        <v>180</v>
      </c>
      <c r="V4" s="28" t="s">
        <v>181</v>
      </c>
      <c r="W4" s="26" t="s">
        <v>182</v>
      </c>
      <c r="X4" s="26" t="s">
        <v>183</v>
      </c>
      <c r="Y4" s="26" t="s">
        <v>184</v>
      </c>
      <c r="Z4" s="27" t="s">
        <v>185</v>
      </c>
      <c r="AA4" s="28" t="s">
        <v>186</v>
      </c>
      <c r="AB4" s="26" t="s">
        <v>187</v>
      </c>
      <c r="AC4" s="26" t="s">
        <v>188</v>
      </c>
      <c r="AD4" s="26" t="s">
        <v>189</v>
      </c>
      <c r="AE4" s="26" t="s">
        <v>190</v>
      </c>
      <c r="AF4" s="27" t="s">
        <v>191</v>
      </c>
      <c r="AG4" s="46" t="s">
        <v>192</v>
      </c>
      <c r="AH4" s="28" t="s">
        <v>193</v>
      </c>
      <c r="AI4" s="29" t="s">
        <v>194</v>
      </c>
      <c r="AJ4" s="46" t="s">
        <v>195</v>
      </c>
      <c r="AK4" s="46" t="s">
        <v>196</v>
      </c>
      <c r="AL4" s="55" t="s">
        <v>197</v>
      </c>
      <c r="AM4" s="28" t="s">
        <v>198</v>
      </c>
      <c r="AN4" s="26" t="s">
        <v>199</v>
      </c>
      <c r="AO4" s="26" t="s">
        <v>200</v>
      </c>
      <c r="AP4" s="26" t="s">
        <v>201</v>
      </c>
      <c r="AQ4" s="27" t="s">
        <v>202</v>
      </c>
      <c r="AR4" s="28" t="s">
        <v>203</v>
      </c>
      <c r="AS4" s="26" t="s">
        <v>204</v>
      </c>
      <c r="AT4" s="26" t="s">
        <v>205</v>
      </c>
      <c r="AU4" s="26" t="s">
        <v>206</v>
      </c>
      <c r="AV4" s="27" t="s">
        <v>207</v>
      </c>
      <c r="AW4" s="28" t="s">
        <v>208</v>
      </c>
      <c r="AX4" s="26" t="s">
        <v>209</v>
      </c>
      <c r="AY4" s="26" t="s">
        <v>210</v>
      </c>
      <c r="AZ4" s="26" t="s">
        <v>211</v>
      </c>
      <c r="BA4" s="27" t="s">
        <v>212</v>
      </c>
      <c r="BB4" s="46" t="s">
        <v>213</v>
      </c>
      <c r="BC4" s="46" t="s">
        <v>214</v>
      </c>
      <c r="BD4" s="46" t="s">
        <v>215</v>
      </c>
      <c r="BE4" s="46" t="s">
        <v>216</v>
      </c>
    </row>
    <row r="5" spans="1:57">
      <c r="A5" s="17" t="s">
        <v>217</v>
      </c>
      <c r="B5" s="18" t="str">
        <f>"001"</f>
        <v>001</v>
      </c>
      <c r="C5" s="18" t="str">
        <f>"8080 10288 46x2 1-1"</f>
        <v>8080 10288 46x2 1-1</v>
      </c>
      <c r="D5" s="18" t="str">
        <f>"1066 Z"</f>
        <v>1066 Z</v>
      </c>
      <c r="E5" s="19">
        <f>IF($G5=0,0,(1000*$I5)/$G5)</f>
        <v>800.08649583738782</v>
      </c>
      <c r="F5" s="20">
        <f>IF($G5=0,0,(100*$G5)/($G5+$H5))</f>
        <v>86.067083333333343</v>
      </c>
      <c r="G5" s="20">
        <v>619.68299999999999</v>
      </c>
      <c r="H5" s="20">
        <v>100.31699999999999</v>
      </c>
      <c r="I5" s="20">
        <v>495.8</v>
      </c>
      <c r="J5" s="20">
        <v>143.1</v>
      </c>
      <c r="K5" s="20">
        <v>2278823.4900000002</v>
      </c>
      <c r="L5" s="20">
        <v>37181</v>
      </c>
      <c r="M5" s="20">
        <f>IF(L5="","",IF(L5=0,0,K5/L5))</f>
        <v>61.290000000000006</v>
      </c>
      <c r="N5" s="21">
        <v>5</v>
      </c>
      <c r="O5" s="22">
        <v>1.383</v>
      </c>
      <c r="P5" s="21">
        <v>21</v>
      </c>
      <c r="Q5" s="22">
        <v>36.866999999999997</v>
      </c>
      <c r="R5" s="23">
        <f>IF($G5=0,0,(60*P5)/$G5)</f>
        <v>2.0332976699376939</v>
      </c>
      <c r="S5" s="23">
        <f>IF($G5=0,0,(60*24*P5)/$G5)</f>
        <v>48.799144078504654</v>
      </c>
      <c r="T5" s="23">
        <f>IF($I5=0,0,(100*P5)/$I5)</f>
        <v>4.2355788624445339</v>
      </c>
      <c r="U5" s="21">
        <v>53</v>
      </c>
      <c r="V5" s="22">
        <v>59.267000000000003</v>
      </c>
      <c r="W5" s="23">
        <f t="shared" ref="W5:W68" si="0">IF($G5=0,0,(60*U5)/$G5)</f>
        <v>5.1316560241284659</v>
      </c>
      <c r="X5" s="23">
        <f t="shared" ref="X5:X68" si="1">IF($G5=0,0,(60*24*U5)/$G5)</f>
        <v>123.15974457908318</v>
      </c>
      <c r="Y5" s="23">
        <f t="shared" ref="Y5:Y68" si="2">IF($I5=0,0,(100*U5)/$I5)</f>
        <v>10.689794271883823</v>
      </c>
      <c r="Z5" s="21">
        <v>3</v>
      </c>
      <c r="AA5" s="22">
        <v>2.8</v>
      </c>
      <c r="AB5" s="19">
        <v>0</v>
      </c>
      <c r="AC5" s="23">
        <f t="shared" ref="AC5:AC68" si="3">IF($G5=0,0,(60*AB5)/$G5)</f>
        <v>0</v>
      </c>
      <c r="AD5" s="23">
        <f t="shared" ref="AD5:AD68" si="4">IF($G5=0,0,(60*24*AB5)/$G5)</f>
        <v>0</v>
      </c>
      <c r="AE5" s="23">
        <f t="shared" ref="AE5:AE68" si="5">IF($I5=0,0,(100*AB5)/$I5)</f>
        <v>0</v>
      </c>
      <c r="AF5" s="21">
        <v>82</v>
      </c>
      <c r="AG5" s="51">
        <v>100.31699999999999</v>
      </c>
      <c r="AH5" s="60">
        <v>74</v>
      </c>
      <c r="AI5" s="24">
        <f>IF($G5=0,0,(60*AH5)/$G5)</f>
        <v>7.1649536940661598</v>
      </c>
      <c r="AJ5" s="47">
        <f>IF($G5=0,0,(60*24*AH5)/$G5)</f>
        <v>171.95888865758783</v>
      </c>
      <c r="AK5" s="47">
        <f>IF($I5=0,0,(100*AH5)/$I5)</f>
        <v>14.925373134328359</v>
      </c>
      <c r="AL5" s="56">
        <v>32</v>
      </c>
      <c r="AM5" s="22">
        <v>35.216999999999999</v>
      </c>
      <c r="AN5" s="23">
        <f>IF($G5=0,0,(60*AL5)/$G5)</f>
        <v>3.098358354190772</v>
      </c>
      <c r="AO5" s="23">
        <f>IF($G5=0,0,(60*24*AL5)/$G5)</f>
        <v>74.360600500578528</v>
      </c>
      <c r="AP5" s="23">
        <f>IF($I5=0,0,(100*AL5)/$I5)</f>
        <v>6.4542154094392901</v>
      </c>
      <c r="AQ5" s="21">
        <v>14</v>
      </c>
      <c r="AR5" s="22">
        <v>14.7</v>
      </c>
      <c r="AS5" s="23">
        <f t="shared" ref="AS5:AS68" si="6">IF($G5=0,0,(60*AQ5)/$G5)</f>
        <v>1.3555317799584627</v>
      </c>
      <c r="AT5" s="23">
        <f t="shared" ref="AT5:AT68" si="7">IF($G5=0,0,(60*24*AQ5)/$G5)</f>
        <v>32.532762719003102</v>
      </c>
      <c r="AU5" s="23">
        <f t="shared" ref="AU5:AU68" si="8">IF($I5=0,0,(100*AQ5)/$I5)</f>
        <v>2.8237192416296892</v>
      </c>
      <c r="AV5" s="21">
        <v>3</v>
      </c>
      <c r="AW5" s="22">
        <v>5.633</v>
      </c>
      <c r="AX5" s="23">
        <f t="shared" ref="AX5:AX68" si="9">IF($G5=0,0,(60*AV5)/$G5)</f>
        <v>0.29047109570538487</v>
      </c>
      <c r="AY5" s="23">
        <f t="shared" ref="AY5:AY68" si="10">IF($G5=0,0,(60*24*AV5)/$G5)</f>
        <v>6.9713062969292361</v>
      </c>
      <c r="AZ5" s="23">
        <f t="shared" ref="AZ5:AZ68" si="11">IF($I5=0,0,(100*AV5)/$I5)</f>
        <v>0.60508269463493347</v>
      </c>
      <c r="BA5" s="21">
        <v>4</v>
      </c>
      <c r="BB5" s="51">
        <v>3.7170000000000001</v>
      </c>
      <c r="BC5" s="47">
        <f t="shared" ref="BC5:BC68" si="12">IF($G5=0,0,(60*BA5)/$G5)</f>
        <v>0.3872947942738465</v>
      </c>
      <c r="BD5" s="47">
        <f t="shared" ref="BD5:BD68" si="13">IF($G5=0,0,(60*24*BA5)/$G5)</f>
        <v>9.295075062572316</v>
      </c>
      <c r="BE5" s="47">
        <f t="shared" ref="BE5:BE68" si="14">IF($I5=0,0,(100*BA5)/$I5)</f>
        <v>0.80677692617991126</v>
      </c>
    </row>
    <row r="6" spans="1:57">
      <c r="A6" s="15" t="s">
        <v>217</v>
      </c>
      <c r="B6" s="9" t="str">
        <f>"002"</f>
        <v>002</v>
      </c>
      <c r="C6" s="9" t="str">
        <f>"8080 8080 86 1-1"</f>
        <v>8080 8080 86 1-1</v>
      </c>
      <c r="D6" s="9" t="str">
        <f>"1059 Z"</f>
        <v>1059 Z</v>
      </c>
      <c r="E6" s="10">
        <f t="shared" ref="E6:E69" si="15">IF($G6=0,0,(1000*$I6)/$G6)</f>
        <v>792.64759145237224</v>
      </c>
      <c r="F6" s="11">
        <f t="shared" ref="F6:F69" si="16">IF($G6=0,0,(100*$G6)/($G6+$H6))</f>
        <v>76.694444444444457</v>
      </c>
      <c r="G6" s="11">
        <v>552.20000000000005</v>
      </c>
      <c r="H6" s="11">
        <v>167.8</v>
      </c>
      <c r="I6" s="11">
        <v>437.7</v>
      </c>
      <c r="J6" s="11">
        <v>138.9</v>
      </c>
      <c r="K6" s="11">
        <v>1885542.12</v>
      </c>
      <c r="L6" s="11">
        <v>33132</v>
      </c>
      <c r="M6" s="11">
        <f t="shared" ref="M6:M69" si="17">IF(L6="","",IF(L6=0,0,K6/L6))</f>
        <v>56.910000000000004</v>
      </c>
      <c r="N6" s="13">
        <v>4</v>
      </c>
      <c r="O6" s="14">
        <v>1.25</v>
      </c>
      <c r="P6" s="13">
        <v>35</v>
      </c>
      <c r="Q6" s="14">
        <v>69.617000000000004</v>
      </c>
      <c r="R6" s="12">
        <f t="shared" ref="R6:R69" si="18">IF($G6=0,0,(60*P6)/$G6)</f>
        <v>3.8029699384281055</v>
      </c>
      <c r="S6" s="12">
        <f t="shared" ref="S6:S69" si="19">IF($G6=0,0,(60*24*P6)/$G6)</f>
        <v>91.271278522274528</v>
      </c>
      <c r="T6" s="12">
        <f t="shared" ref="T6:T69" si="20">IF($I6=0,0,(100*P6)/$I6)</f>
        <v>7.9963445282156727</v>
      </c>
      <c r="U6" s="13">
        <v>78</v>
      </c>
      <c r="V6" s="14">
        <v>95.266999999999996</v>
      </c>
      <c r="W6" s="12">
        <f t="shared" si="0"/>
        <v>8.475190148496921</v>
      </c>
      <c r="X6" s="12">
        <f t="shared" si="1"/>
        <v>203.4045635639261</v>
      </c>
      <c r="Y6" s="12">
        <f t="shared" si="2"/>
        <v>17.82042494859493</v>
      </c>
      <c r="Z6" s="13">
        <v>2</v>
      </c>
      <c r="AA6" s="14">
        <v>1.667</v>
      </c>
      <c r="AB6" s="10">
        <v>0</v>
      </c>
      <c r="AC6" s="12">
        <f t="shared" si="3"/>
        <v>0</v>
      </c>
      <c r="AD6" s="12">
        <f t="shared" si="4"/>
        <v>0</v>
      </c>
      <c r="AE6" s="12">
        <f t="shared" si="5"/>
        <v>0</v>
      </c>
      <c r="AF6" s="13">
        <v>119</v>
      </c>
      <c r="AG6" s="52">
        <v>167.80099999999999</v>
      </c>
      <c r="AH6" s="61">
        <v>113</v>
      </c>
      <c r="AI6" s="16">
        <f t="shared" ref="AI6:AI69" si="21">IF($G6=0,0,(60*AH6)/$G6)</f>
        <v>12.278160086925027</v>
      </c>
      <c r="AJ6" s="48">
        <f t="shared" ref="AJ6:AJ69" si="22">IF($G6=0,0,(60*24*AH6)/$G6)</f>
        <v>294.67584208620065</v>
      </c>
      <c r="AK6" s="48">
        <f t="shared" ref="AK6:AK69" si="23">IF($I6=0,0,(100*AH6)/$I6)</f>
        <v>25.816769476810602</v>
      </c>
      <c r="AL6" s="57">
        <v>11</v>
      </c>
      <c r="AM6" s="14">
        <v>6.8170000000000002</v>
      </c>
      <c r="AN6" s="12">
        <f t="shared" ref="AN6:AN69" si="24">IF($G6=0,0,(60*AL6)/$G6)</f>
        <v>1.1952191235059759</v>
      </c>
      <c r="AO6" s="12">
        <f t="shared" ref="AO6:AO69" si="25">IF($G6=0,0,(60*24*AL6)/$G6)</f>
        <v>28.685258964143426</v>
      </c>
      <c r="AP6" s="12">
        <f t="shared" ref="AP6:AP69" si="26">IF($I6=0,0,(100*AL6)/$I6)</f>
        <v>2.513136851724926</v>
      </c>
      <c r="AQ6" s="13">
        <v>14</v>
      </c>
      <c r="AR6" s="14">
        <v>12.85</v>
      </c>
      <c r="AS6" s="12">
        <f t="shared" si="6"/>
        <v>1.5211879753712423</v>
      </c>
      <c r="AT6" s="12">
        <f t="shared" si="7"/>
        <v>36.508511408909811</v>
      </c>
      <c r="AU6" s="12">
        <f t="shared" si="8"/>
        <v>3.1985378112862692</v>
      </c>
      <c r="AV6" s="13">
        <v>34</v>
      </c>
      <c r="AW6" s="14">
        <v>54.283000000000001</v>
      </c>
      <c r="AX6" s="12">
        <f t="shared" si="9"/>
        <v>3.6943136544730169</v>
      </c>
      <c r="AY6" s="12">
        <f t="shared" si="10"/>
        <v>88.663527707352401</v>
      </c>
      <c r="AZ6" s="12">
        <f t="shared" si="11"/>
        <v>7.767877541695225</v>
      </c>
      <c r="BA6" s="13">
        <v>19</v>
      </c>
      <c r="BB6" s="52">
        <v>21.317</v>
      </c>
      <c r="BC6" s="48">
        <f t="shared" si="12"/>
        <v>2.0644693951466859</v>
      </c>
      <c r="BD6" s="48">
        <f t="shared" si="13"/>
        <v>49.547265483520462</v>
      </c>
      <c r="BE6" s="48">
        <f t="shared" si="14"/>
        <v>4.3408727438885082</v>
      </c>
    </row>
    <row r="7" spans="1:57">
      <c r="A7" s="15" t="s">
        <v>217</v>
      </c>
      <c r="B7" s="9" t="str">
        <f>"003"</f>
        <v>003</v>
      </c>
      <c r="C7" s="9" t="str">
        <f>"8080 8080 86 1-1"</f>
        <v>8080 8080 86 1-1</v>
      </c>
      <c r="D7" s="9" t="str">
        <f>"105 Z"</f>
        <v>105 Z</v>
      </c>
      <c r="E7" s="10">
        <f t="shared" si="15"/>
        <v>798.77290440262004</v>
      </c>
      <c r="F7" s="11">
        <f t="shared" si="16"/>
        <v>83.756944444444429</v>
      </c>
      <c r="G7" s="11">
        <v>603.04999999999995</v>
      </c>
      <c r="H7" s="11">
        <v>116.95</v>
      </c>
      <c r="I7" s="11">
        <v>481.7</v>
      </c>
      <c r="J7" s="11">
        <v>152.9</v>
      </c>
      <c r="K7" s="11">
        <v>2189433.33</v>
      </c>
      <c r="L7" s="11">
        <v>36183</v>
      </c>
      <c r="M7" s="11">
        <f t="shared" si="17"/>
        <v>60.510000000000005</v>
      </c>
      <c r="N7" s="13">
        <v>6</v>
      </c>
      <c r="O7" s="14">
        <v>1.95</v>
      </c>
      <c r="P7" s="13">
        <v>40</v>
      </c>
      <c r="Q7" s="14">
        <v>62.433</v>
      </c>
      <c r="R7" s="12">
        <f t="shared" si="18"/>
        <v>3.9797695050161681</v>
      </c>
      <c r="S7" s="12">
        <f t="shared" si="19"/>
        <v>95.514468120388031</v>
      </c>
      <c r="T7" s="12">
        <f t="shared" si="20"/>
        <v>8.3039236039028435</v>
      </c>
      <c r="U7" s="13">
        <v>57</v>
      </c>
      <c r="V7" s="14">
        <v>45.283000000000001</v>
      </c>
      <c r="W7" s="12">
        <f t="shared" si="0"/>
        <v>5.6711715446480397</v>
      </c>
      <c r="X7" s="12">
        <f t="shared" si="1"/>
        <v>136.10811707155295</v>
      </c>
      <c r="Y7" s="12">
        <f t="shared" si="2"/>
        <v>11.833091135561553</v>
      </c>
      <c r="Z7" s="13">
        <v>2</v>
      </c>
      <c r="AA7" s="14">
        <v>7.2839999999999998</v>
      </c>
      <c r="AB7" s="10">
        <v>1</v>
      </c>
      <c r="AC7" s="12">
        <f t="shared" si="3"/>
        <v>9.94942376254042E-2</v>
      </c>
      <c r="AD7" s="12">
        <f t="shared" si="4"/>
        <v>2.3878617030097007</v>
      </c>
      <c r="AE7" s="12">
        <f t="shared" si="5"/>
        <v>0.2075980900975711</v>
      </c>
      <c r="AF7" s="13">
        <v>105</v>
      </c>
      <c r="AG7" s="52">
        <v>116.95</v>
      </c>
      <c r="AH7" s="61">
        <v>98</v>
      </c>
      <c r="AI7" s="16">
        <f t="shared" si="21"/>
        <v>9.7504352872896121</v>
      </c>
      <c r="AJ7" s="48">
        <f t="shared" si="22"/>
        <v>234.01044689495069</v>
      </c>
      <c r="AK7" s="48">
        <f t="shared" si="23"/>
        <v>20.344612829561967</v>
      </c>
      <c r="AL7" s="57">
        <v>15</v>
      </c>
      <c r="AM7" s="14">
        <v>8.4670000000000005</v>
      </c>
      <c r="AN7" s="12">
        <f t="shared" si="24"/>
        <v>1.492413564381063</v>
      </c>
      <c r="AO7" s="12">
        <f t="shared" si="25"/>
        <v>35.817925545145513</v>
      </c>
      <c r="AP7" s="12">
        <f t="shared" si="26"/>
        <v>3.1139713514635665</v>
      </c>
      <c r="AQ7" s="13">
        <v>34</v>
      </c>
      <c r="AR7" s="14">
        <v>29.466999999999999</v>
      </c>
      <c r="AS7" s="12">
        <f t="shared" si="6"/>
        <v>3.3828040792637428</v>
      </c>
      <c r="AT7" s="12">
        <f t="shared" si="7"/>
        <v>81.187297902329831</v>
      </c>
      <c r="AU7" s="12">
        <f t="shared" si="8"/>
        <v>7.0583350633174176</v>
      </c>
      <c r="AV7" s="13">
        <v>7</v>
      </c>
      <c r="AW7" s="14">
        <v>6.9829999999999997</v>
      </c>
      <c r="AX7" s="12">
        <f t="shared" si="9"/>
        <v>0.69645966337782939</v>
      </c>
      <c r="AY7" s="12">
        <f t="shared" si="10"/>
        <v>16.715031921067904</v>
      </c>
      <c r="AZ7" s="12">
        <f t="shared" si="11"/>
        <v>1.4531866306829977</v>
      </c>
      <c r="BA7" s="13">
        <v>1</v>
      </c>
      <c r="BB7" s="52">
        <v>0.36699999999999999</v>
      </c>
      <c r="BC7" s="48">
        <f t="shared" si="12"/>
        <v>9.94942376254042E-2</v>
      </c>
      <c r="BD7" s="48">
        <f t="shared" si="13"/>
        <v>2.3878617030097007</v>
      </c>
      <c r="BE7" s="48">
        <f t="shared" si="14"/>
        <v>0.2075980900975711</v>
      </c>
    </row>
    <row r="8" spans="1:57">
      <c r="A8" s="15" t="s">
        <v>217</v>
      </c>
      <c r="B8" s="9" t="str">
        <f>"004"</f>
        <v>004</v>
      </c>
      <c r="C8" s="9" t="str">
        <f>"8080 10288 46x2 1-1"</f>
        <v>8080 10288 46x2 1-1</v>
      </c>
      <c r="D8" s="9" t="str">
        <f>"17 Z"</f>
        <v>17 Z</v>
      </c>
      <c r="E8" s="10">
        <f t="shared" si="15"/>
        <v>800.77711703575835</v>
      </c>
      <c r="F8" s="11">
        <f t="shared" si="16"/>
        <v>83.356527777777785</v>
      </c>
      <c r="G8" s="11">
        <v>600.16700000000003</v>
      </c>
      <c r="H8" s="11">
        <v>119.833</v>
      </c>
      <c r="I8" s="11">
        <v>480.6</v>
      </c>
      <c r="J8" s="11">
        <v>138.69999999999999</v>
      </c>
      <c r="K8" s="11">
        <v>2216775.6</v>
      </c>
      <c r="L8" s="11">
        <v>36010</v>
      </c>
      <c r="M8" s="11">
        <f t="shared" si="17"/>
        <v>61.56</v>
      </c>
      <c r="N8" s="13">
        <v>4</v>
      </c>
      <c r="O8" s="14">
        <v>0.93300000000000005</v>
      </c>
      <c r="P8" s="13">
        <v>36</v>
      </c>
      <c r="Q8" s="14">
        <v>69.7</v>
      </c>
      <c r="R8" s="12">
        <f t="shared" si="18"/>
        <v>3.5989982788123971</v>
      </c>
      <c r="S8" s="12">
        <f t="shared" si="19"/>
        <v>86.37595869149753</v>
      </c>
      <c r="T8" s="12">
        <f t="shared" si="20"/>
        <v>7.4906367041198498</v>
      </c>
      <c r="U8" s="13">
        <v>48</v>
      </c>
      <c r="V8" s="14">
        <v>45.082999999999998</v>
      </c>
      <c r="W8" s="12">
        <f t="shared" si="0"/>
        <v>4.7986643717498625</v>
      </c>
      <c r="X8" s="12">
        <f t="shared" si="1"/>
        <v>115.16794492199671</v>
      </c>
      <c r="Y8" s="12">
        <f t="shared" si="2"/>
        <v>9.9875156054931331</v>
      </c>
      <c r="Z8" s="13">
        <v>3</v>
      </c>
      <c r="AA8" s="14">
        <v>4.117</v>
      </c>
      <c r="AB8" s="10">
        <v>0</v>
      </c>
      <c r="AC8" s="12">
        <f t="shared" si="3"/>
        <v>0</v>
      </c>
      <c r="AD8" s="12">
        <f t="shared" si="4"/>
        <v>0</v>
      </c>
      <c r="AE8" s="12">
        <f t="shared" si="5"/>
        <v>0</v>
      </c>
      <c r="AF8" s="13">
        <v>91</v>
      </c>
      <c r="AG8" s="52">
        <v>119.833</v>
      </c>
      <c r="AH8" s="61">
        <v>84</v>
      </c>
      <c r="AI8" s="16">
        <f t="shared" si="21"/>
        <v>8.3976626505622605</v>
      </c>
      <c r="AJ8" s="48">
        <f t="shared" si="22"/>
        <v>201.54390361349422</v>
      </c>
      <c r="AK8" s="48">
        <f t="shared" si="23"/>
        <v>17.478152309612984</v>
      </c>
      <c r="AL8" s="57">
        <v>9</v>
      </c>
      <c r="AM8" s="14">
        <v>9.8330000000000002</v>
      </c>
      <c r="AN8" s="12">
        <f t="shared" si="24"/>
        <v>0.89974956970309927</v>
      </c>
      <c r="AO8" s="12">
        <f t="shared" si="25"/>
        <v>21.593989672874383</v>
      </c>
      <c r="AP8" s="12">
        <f t="shared" si="26"/>
        <v>1.8726591760299625</v>
      </c>
      <c r="AQ8" s="13">
        <v>20</v>
      </c>
      <c r="AR8" s="14">
        <v>15.15</v>
      </c>
      <c r="AS8" s="12">
        <f t="shared" si="6"/>
        <v>1.9994434882291094</v>
      </c>
      <c r="AT8" s="12">
        <f t="shared" si="7"/>
        <v>47.98664371749863</v>
      </c>
      <c r="AU8" s="12">
        <f t="shared" si="8"/>
        <v>4.1614648356221391</v>
      </c>
      <c r="AV8" s="13">
        <v>9</v>
      </c>
      <c r="AW8" s="14">
        <v>8.25</v>
      </c>
      <c r="AX8" s="12">
        <f t="shared" si="9"/>
        <v>0.89974956970309927</v>
      </c>
      <c r="AY8" s="12">
        <f t="shared" si="10"/>
        <v>21.593989672874383</v>
      </c>
      <c r="AZ8" s="12">
        <f t="shared" si="11"/>
        <v>1.8726591760299625</v>
      </c>
      <c r="BA8" s="13">
        <v>10</v>
      </c>
      <c r="BB8" s="52">
        <v>11.85</v>
      </c>
      <c r="BC8" s="48">
        <f t="shared" si="12"/>
        <v>0.99972174411455472</v>
      </c>
      <c r="BD8" s="48">
        <f t="shared" si="13"/>
        <v>23.993321858749315</v>
      </c>
      <c r="BE8" s="48">
        <f t="shared" si="14"/>
        <v>2.0807324178110695</v>
      </c>
    </row>
    <row r="9" spans="1:57">
      <c r="A9" s="15" t="s">
        <v>217</v>
      </c>
      <c r="B9" s="9" t="str">
        <f>"005"</f>
        <v>005</v>
      </c>
      <c r="C9" s="9" t="str">
        <f>"6060 18590 118 strip"</f>
        <v>6060 18590 118 strip</v>
      </c>
      <c r="D9" s="9" t="str">
        <f>"1168 Z"</f>
        <v>1168 Z</v>
      </c>
      <c r="E9" s="10">
        <f t="shared" si="15"/>
        <v>674.60704871619646</v>
      </c>
      <c r="F9" s="11">
        <f t="shared" si="16"/>
        <v>71.344988507348347</v>
      </c>
      <c r="G9" s="11">
        <v>512.15</v>
      </c>
      <c r="H9" s="11">
        <v>205.7</v>
      </c>
      <c r="I9" s="11">
        <v>345.5</v>
      </c>
      <c r="J9" s="11">
        <v>108.5</v>
      </c>
      <c r="K9" s="11">
        <v>2462622.06</v>
      </c>
      <c r="L9" s="11">
        <v>30729</v>
      </c>
      <c r="M9" s="11">
        <f t="shared" si="17"/>
        <v>80.14</v>
      </c>
      <c r="N9" s="13">
        <v>2</v>
      </c>
      <c r="O9" s="14">
        <v>1.5669999999999999</v>
      </c>
      <c r="P9" s="13">
        <v>19</v>
      </c>
      <c r="Q9" s="14">
        <v>60.75</v>
      </c>
      <c r="R9" s="12">
        <f t="shared" si="18"/>
        <v>2.2259103778189986</v>
      </c>
      <c r="S9" s="12">
        <f t="shared" si="19"/>
        <v>53.421849067655963</v>
      </c>
      <c r="T9" s="12">
        <f t="shared" si="20"/>
        <v>5.4992764109985526</v>
      </c>
      <c r="U9" s="13">
        <v>36</v>
      </c>
      <c r="V9" s="14">
        <v>33.683</v>
      </c>
      <c r="W9" s="12">
        <f t="shared" si="0"/>
        <v>4.2175144000781026</v>
      </c>
      <c r="X9" s="12">
        <f t="shared" si="1"/>
        <v>101.22034560187446</v>
      </c>
      <c r="Y9" s="12">
        <f t="shared" si="2"/>
        <v>10.419681620839363</v>
      </c>
      <c r="Z9" s="13">
        <v>4</v>
      </c>
      <c r="AA9" s="14">
        <v>109.7</v>
      </c>
      <c r="AB9" s="10">
        <v>0</v>
      </c>
      <c r="AC9" s="12">
        <f t="shared" si="3"/>
        <v>0</v>
      </c>
      <c r="AD9" s="12">
        <f t="shared" si="4"/>
        <v>0</v>
      </c>
      <c r="AE9" s="12">
        <f t="shared" si="5"/>
        <v>0</v>
      </c>
      <c r="AF9" s="13">
        <v>61</v>
      </c>
      <c r="AG9" s="52">
        <v>205.7</v>
      </c>
      <c r="AH9" s="61">
        <v>55</v>
      </c>
      <c r="AI9" s="16">
        <f t="shared" si="21"/>
        <v>6.4434247778971008</v>
      </c>
      <c r="AJ9" s="48">
        <f t="shared" si="22"/>
        <v>154.64219466953043</v>
      </c>
      <c r="AK9" s="48">
        <f t="shared" si="23"/>
        <v>15.918958031837915</v>
      </c>
      <c r="AL9" s="57">
        <v>10</v>
      </c>
      <c r="AM9" s="14">
        <v>5.9829999999999997</v>
      </c>
      <c r="AN9" s="12">
        <f t="shared" si="24"/>
        <v>1.1715317777994729</v>
      </c>
      <c r="AO9" s="12">
        <f t="shared" si="25"/>
        <v>28.116762667187349</v>
      </c>
      <c r="AP9" s="12">
        <f t="shared" si="26"/>
        <v>2.8943560057887119</v>
      </c>
      <c r="AQ9" s="13">
        <v>15</v>
      </c>
      <c r="AR9" s="14">
        <v>11.717000000000001</v>
      </c>
      <c r="AS9" s="12">
        <f t="shared" si="6"/>
        <v>1.7572976666992093</v>
      </c>
      <c r="AT9" s="12">
        <f t="shared" si="7"/>
        <v>42.175144000781025</v>
      </c>
      <c r="AU9" s="12">
        <f t="shared" si="8"/>
        <v>4.3415340086830678</v>
      </c>
      <c r="AV9" s="13">
        <v>10</v>
      </c>
      <c r="AW9" s="14">
        <v>13.867000000000001</v>
      </c>
      <c r="AX9" s="12">
        <f t="shared" si="9"/>
        <v>1.1715317777994729</v>
      </c>
      <c r="AY9" s="12">
        <f t="shared" si="10"/>
        <v>28.116762667187349</v>
      </c>
      <c r="AZ9" s="12">
        <f t="shared" si="11"/>
        <v>2.8943560057887119</v>
      </c>
      <c r="BA9" s="13">
        <v>1</v>
      </c>
      <c r="BB9" s="52">
        <v>2.117</v>
      </c>
      <c r="BC9" s="48">
        <f t="shared" si="12"/>
        <v>0.11715317777994728</v>
      </c>
      <c r="BD9" s="48">
        <f t="shared" si="13"/>
        <v>2.8116762667187349</v>
      </c>
      <c r="BE9" s="48">
        <f t="shared" si="14"/>
        <v>0.28943560057887119</v>
      </c>
    </row>
    <row r="10" spans="1:57">
      <c r="A10" s="15" t="s">
        <v>217</v>
      </c>
      <c r="B10" s="9" t="str">
        <f>"006"</f>
        <v>006</v>
      </c>
      <c r="C10" s="9" t="str">
        <f>"4040 10080 124 1-1"</f>
        <v>4040 10080 124 1-1</v>
      </c>
      <c r="D10" s="9" t="str">
        <f>"1042 Z"</f>
        <v>1042 Z</v>
      </c>
      <c r="E10" s="10">
        <f t="shared" si="15"/>
        <v>672.76745599559536</v>
      </c>
      <c r="F10" s="11">
        <f t="shared" si="16"/>
        <v>89.755449531707441</v>
      </c>
      <c r="G10" s="11">
        <v>646.58299999999997</v>
      </c>
      <c r="H10" s="11">
        <v>73.8</v>
      </c>
      <c r="I10" s="11">
        <v>435</v>
      </c>
      <c r="J10" s="11">
        <v>129.19999999999999</v>
      </c>
      <c r="K10" s="11">
        <v>4305469.0999999996</v>
      </c>
      <c r="L10" s="11">
        <v>38795</v>
      </c>
      <c r="M10" s="11">
        <f t="shared" si="17"/>
        <v>110.97999999999999</v>
      </c>
      <c r="N10" s="13">
        <v>5</v>
      </c>
      <c r="O10" s="14">
        <v>2.2170000000000001</v>
      </c>
      <c r="P10" s="13">
        <v>16</v>
      </c>
      <c r="Q10" s="14">
        <v>30.667000000000002</v>
      </c>
      <c r="R10" s="12">
        <f t="shared" si="18"/>
        <v>1.4847281787489</v>
      </c>
      <c r="S10" s="12">
        <f t="shared" si="19"/>
        <v>35.633476289973601</v>
      </c>
      <c r="T10" s="12">
        <f t="shared" si="20"/>
        <v>3.6781609195402298</v>
      </c>
      <c r="U10" s="13">
        <v>34</v>
      </c>
      <c r="V10" s="14">
        <v>37.783000000000001</v>
      </c>
      <c r="W10" s="12">
        <f t="shared" si="0"/>
        <v>3.1550473798414127</v>
      </c>
      <c r="X10" s="12">
        <f t="shared" si="1"/>
        <v>75.721137116193901</v>
      </c>
      <c r="Y10" s="12">
        <f t="shared" si="2"/>
        <v>7.8160919540229887</v>
      </c>
      <c r="Z10" s="13">
        <v>5</v>
      </c>
      <c r="AA10" s="14">
        <v>3.1339999999999999</v>
      </c>
      <c r="AB10" s="10">
        <v>0</v>
      </c>
      <c r="AC10" s="12">
        <f t="shared" si="3"/>
        <v>0</v>
      </c>
      <c r="AD10" s="12">
        <f t="shared" si="4"/>
        <v>0</v>
      </c>
      <c r="AE10" s="12">
        <f t="shared" si="5"/>
        <v>0</v>
      </c>
      <c r="AF10" s="13">
        <v>60</v>
      </c>
      <c r="AG10" s="52">
        <v>73.801000000000002</v>
      </c>
      <c r="AH10" s="61">
        <v>50</v>
      </c>
      <c r="AI10" s="16">
        <f t="shared" si="21"/>
        <v>4.6397755585903129</v>
      </c>
      <c r="AJ10" s="48">
        <f t="shared" si="22"/>
        <v>111.3546134061675</v>
      </c>
      <c r="AK10" s="48">
        <f t="shared" si="23"/>
        <v>11.494252873563218</v>
      </c>
      <c r="AL10" s="57">
        <v>17</v>
      </c>
      <c r="AM10" s="14">
        <v>15.317</v>
      </c>
      <c r="AN10" s="12">
        <f t="shared" si="24"/>
        <v>1.5775236899207064</v>
      </c>
      <c r="AO10" s="12">
        <f t="shared" si="25"/>
        <v>37.860568558096951</v>
      </c>
      <c r="AP10" s="12">
        <f t="shared" si="26"/>
        <v>3.9080459770114944</v>
      </c>
      <c r="AQ10" s="13">
        <v>17</v>
      </c>
      <c r="AR10" s="14">
        <v>22.117000000000001</v>
      </c>
      <c r="AS10" s="12">
        <f t="shared" si="6"/>
        <v>1.5775236899207064</v>
      </c>
      <c r="AT10" s="12">
        <f t="shared" si="7"/>
        <v>37.860568558096951</v>
      </c>
      <c r="AU10" s="12">
        <f t="shared" si="8"/>
        <v>3.9080459770114944</v>
      </c>
      <c r="AV10" s="13">
        <v>0</v>
      </c>
      <c r="AW10" s="14">
        <v>0</v>
      </c>
      <c r="AX10" s="12">
        <f t="shared" si="9"/>
        <v>0</v>
      </c>
      <c r="AY10" s="12">
        <f t="shared" si="10"/>
        <v>0</v>
      </c>
      <c r="AZ10" s="12">
        <f t="shared" si="11"/>
        <v>0</v>
      </c>
      <c r="BA10" s="13">
        <v>0</v>
      </c>
      <c r="BB10" s="52">
        <v>0.35</v>
      </c>
      <c r="BC10" s="48">
        <f t="shared" si="12"/>
        <v>0</v>
      </c>
      <c r="BD10" s="48">
        <f t="shared" si="13"/>
        <v>0</v>
      </c>
      <c r="BE10" s="48">
        <f t="shared" si="14"/>
        <v>0</v>
      </c>
    </row>
    <row r="11" spans="1:57">
      <c r="A11" s="15" t="s">
        <v>217</v>
      </c>
      <c r="B11" s="9" t="str">
        <f>"007"</f>
        <v>007</v>
      </c>
      <c r="C11" s="9" t="str">
        <f>"6060 18587 126 4-1"</f>
        <v>6060 18587 126 4-1</v>
      </c>
      <c r="D11" s="9" t="str">
        <f>"1014 Z"</f>
        <v>1014 Z</v>
      </c>
      <c r="E11" s="10">
        <f t="shared" si="15"/>
        <v>563.38689671809527</v>
      </c>
      <c r="F11" s="11">
        <f t="shared" si="16"/>
        <v>65.057916666666657</v>
      </c>
      <c r="G11" s="11">
        <v>468.41699999999997</v>
      </c>
      <c r="H11" s="11">
        <v>251.583</v>
      </c>
      <c r="I11" s="11">
        <v>263.89999999999998</v>
      </c>
      <c r="J11" s="11">
        <v>77</v>
      </c>
      <c r="K11" s="11">
        <v>2489821.9500000002</v>
      </c>
      <c r="L11" s="11">
        <v>28105</v>
      </c>
      <c r="M11" s="11">
        <f t="shared" si="17"/>
        <v>88.59</v>
      </c>
      <c r="N11" s="13">
        <v>3</v>
      </c>
      <c r="O11" s="14">
        <v>1</v>
      </c>
      <c r="P11" s="13">
        <v>73</v>
      </c>
      <c r="Q11" s="14">
        <v>157.06700000000001</v>
      </c>
      <c r="R11" s="12">
        <f t="shared" si="18"/>
        <v>9.3506426965716454</v>
      </c>
      <c r="S11" s="12">
        <f t="shared" si="19"/>
        <v>224.41542471771947</v>
      </c>
      <c r="T11" s="12">
        <f t="shared" si="20"/>
        <v>27.66199317923456</v>
      </c>
      <c r="U11" s="13">
        <v>48</v>
      </c>
      <c r="V11" s="14">
        <v>48.65</v>
      </c>
      <c r="W11" s="12">
        <f t="shared" si="0"/>
        <v>6.1483678004854649</v>
      </c>
      <c r="X11" s="12">
        <f t="shared" si="1"/>
        <v>147.56082721165117</v>
      </c>
      <c r="Y11" s="12">
        <f t="shared" si="2"/>
        <v>18.188707843880259</v>
      </c>
      <c r="Z11" s="13">
        <v>3</v>
      </c>
      <c r="AA11" s="14">
        <v>44.866</v>
      </c>
      <c r="AB11" s="10">
        <v>0</v>
      </c>
      <c r="AC11" s="12">
        <f t="shared" si="3"/>
        <v>0</v>
      </c>
      <c r="AD11" s="12">
        <f t="shared" si="4"/>
        <v>0</v>
      </c>
      <c r="AE11" s="12">
        <f t="shared" si="5"/>
        <v>0</v>
      </c>
      <c r="AF11" s="13">
        <v>127</v>
      </c>
      <c r="AG11" s="52">
        <v>251.583</v>
      </c>
      <c r="AH11" s="61">
        <v>121</v>
      </c>
      <c r="AI11" s="16">
        <f t="shared" si="21"/>
        <v>15.49901049705711</v>
      </c>
      <c r="AJ11" s="48">
        <f t="shared" si="22"/>
        <v>371.97625192937062</v>
      </c>
      <c r="AK11" s="48">
        <f t="shared" si="23"/>
        <v>45.850701023114823</v>
      </c>
      <c r="AL11" s="57">
        <v>32</v>
      </c>
      <c r="AM11" s="14">
        <v>26.132999999999999</v>
      </c>
      <c r="AN11" s="12">
        <f t="shared" si="24"/>
        <v>4.09891186699031</v>
      </c>
      <c r="AO11" s="12">
        <f t="shared" si="25"/>
        <v>98.373884807767439</v>
      </c>
      <c r="AP11" s="12">
        <f t="shared" si="26"/>
        <v>12.125805229253507</v>
      </c>
      <c r="AQ11" s="13">
        <v>12</v>
      </c>
      <c r="AR11" s="14">
        <v>16.632999999999999</v>
      </c>
      <c r="AS11" s="12">
        <f t="shared" si="6"/>
        <v>1.5370919501213662</v>
      </c>
      <c r="AT11" s="12">
        <f t="shared" si="7"/>
        <v>36.890206802912793</v>
      </c>
      <c r="AU11" s="12">
        <f t="shared" si="8"/>
        <v>4.5471769609700647</v>
      </c>
      <c r="AV11" s="13">
        <v>2</v>
      </c>
      <c r="AW11" s="14">
        <v>4.6829999999999998</v>
      </c>
      <c r="AX11" s="12">
        <f t="shared" si="9"/>
        <v>0.25618199168689437</v>
      </c>
      <c r="AY11" s="12">
        <f t="shared" si="10"/>
        <v>6.1483678004854649</v>
      </c>
      <c r="AZ11" s="12">
        <f t="shared" si="11"/>
        <v>0.75786282682834416</v>
      </c>
      <c r="BA11" s="13">
        <v>2</v>
      </c>
      <c r="BB11" s="52">
        <v>1.2</v>
      </c>
      <c r="BC11" s="48">
        <f t="shared" si="12"/>
        <v>0.25618199168689437</v>
      </c>
      <c r="BD11" s="48">
        <f t="shared" si="13"/>
        <v>6.1483678004854649</v>
      </c>
      <c r="BE11" s="48">
        <f t="shared" si="14"/>
        <v>0.75786282682834416</v>
      </c>
    </row>
    <row r="12" spans="1:57">
      <c r="A12" s="15" t="s">
        <v>217</v>
      </c>
      <c r="B12" s="9" t="str">
        <f>"008"</f>
        <v>008</v>
      </c>
      <c r="C12" s="9" t="str">
        <f>"6060 18587 123 4-1"</f>
        <v>6060 18587 123 4-1</v>
      </c>
      <c r="D12" s="9" t="str">
        <f>"317 Z"</f>
        <v>317 Z</v>
      </c>
      <c r="E12" s="10">
        <f t="shared" si="15"/>
        <v>650.54769102972534</v>
      </c>
      <c r="F12" s="11">
        <f t="shared" si="16"/>
        <v>92.294027777777799</v>
      </c>
      <c r="G12" s="11">
        <v>664.51700000000005</v>
      </c>
      <c r="H12" s="11">
        <v>55.482999999999997</v>
      </c>
      <c r="I12" s="11">
        <v>432.3</v>
      </c>
      <c r="J12" s="11">
        <v>126.2</v>
      </c>
      <c r="K12" s="11">
        <v>3522204.14</v>
      </c>
      <c r="L12" s="11">
        <v>39871</v>
      </c>
      <c r="M12" s="11">
        <f t="shared" si="17"/>
        <v>88.34</v>
      </c>
      <c r="N12" s="13">
        <v>5</v>
      </c>
      <c r="O12" s="14">
        <v>2.0499999999999998</v>
      </c>
      <c r="P12" s="13">
        <v>11</v>
      </c>
      <c r="Q12" s="14">
        <v>21.466999999999999</v>
      </c>
      <c r="R12" s="12">
        <f t="shared" si="18"/>
        <v>0.99320258172477149</v>
      </c>
      <c r="S12" s="12">
        <f t="shared" si="19"/>
        <v>23.836861961394515</v>
      </c>
      <c r="T12" s="12">
        <f t="shared" si="20"/>
        <v>2.5445292620865141</v>
      </c>
      <c r="U12" s="13">
        <v>31</v>
      </c>
      <c r="V12" s="14">
        <v>28.832999999999998</v>
      </c>
      <c r="W12" s="12">
        <f t="shared" si="0"/>
        <v>2.7990254575879923</v>
      </c>
      <c r="X12" s="12">
        <f t="shared" si="1"/>
        <v>67.176610982111811</v>
      </c>
      <c r="Y12" s="12">
        <f t="shared" si="2"/>
        <v>7.1709461022438123</v>
      </c>
      <c r="Z12" s="13">
        <v>5</v>
      </c>
      <c r="AA12" s="14">
        <v>3.1339999999999999</v>
      </c>
      <c r="AB12" s="10">
        <v>0</v>
      </c>
      <c r="AC12" s="12">
        <f t="shared" si="3"/>
        <v>0</v>
      </c>
      <c r="AD12" s="12">
        <f t="shared" si="4"/>
        <v>0</v>
      </c>
      <c r="AE12" s="12">
        <f t="shared" si="5"/>
        <v>0</v>
      </c>
      <c r="AF12" s="13">
        <v>52</v>
      </c>
      <c r="AG12" s="52">
        <v>55.484000000000002</v>
      </c>
      <c r="AH12" s="61">
        <v>42</v>
      </c>
      <c r="AI12" s="16">
        <f t="shared" si="21"/>
        <v>3.7922280393127639</v>
      </c>
      <c r="AJ12" s="48">
        <f t="shared" si="22"/>
        <v>91.013472943506329</v>
      </c>
      <c r="AK12" s="48">
        <f t="shared" si="23"/>
        <v>9.7154753643303255</v>
      </c>
      <c r="AL12" s="57">
        <v>20</v>
      </c>
      <c r="AM12" s="14">
        <v>18.899999999999999</v>
      </c>
      <c r="AN12" s="12">
        <f t="shared" si="24"/>
        <v>1.8058228758632209</v>
      </c>
      <c r="AO12" s="12">
        <f t="shared" si="25"/>
        <v>43.339749020717299</v>
      </c>
      <c r="AP12" s="12">
        <f t="shared" si="26"/>
        <v>4.6264168401572983</v>
      </c>
      <c r="AQ12" s="13">
        <v>11</v>
      </c>
      <c r="AR12" s="14">
        <v>9.5830000000000002</v>
      </c>
      <c r="AS12" s="12">
        <f t="shared" si="6"/>
        <v>0.99320258172477149</v>
      </c>
      <c r="AT12" s="12">
        <f t="shared" si="7"/>
        <v>23.836861961394515</v>
      </c>
      <c r="AU12" s="12">
        <f t="shared" si="8"/>
        <v>2.5445292620865141</v>
      </c>
      <c r="AV12" s="13">
        <v>0</v>
      </c>
      <c r="AW12" s="14">
        <v>0</v>
      </c>
      <c r="AX12" s="12">
        <f t="shared" si="9"/>
        <v>0</v>
      </c>
      <c r="AY12" s="12">
        <f t="shared" si="10"/>
        <v>0</v>
      </c>
      <c r="AZ12" s="12">
        <f t="shared" si="11"/>
        <v>0</v>
      </c>
      <c r="BA12" s="13">
        <v>0</v>
      </c>
      <c r="BB12" s="52">
        <v>0.35</v>
      </c>
      <c r="BC12" s="48">
        <f t="shared" si="12"/>
        <v>0</v>
      </c>
      <c r="BD12" s="48">
        <f t="shared" si="13"/>
        <v>0</v>
      </c>
      <c r="BE12" s="48">
        <f t="shared" si="14"/>
        <v>0</v>
      </c>
    </row>
    <row r="13" spans="1:57">
      <c r="A13" s="15" t="s">
        <v>217</v>
      </c>
      <c r="B13" s="9" t="str">
        <f>"009"</f>
        <v>009</v>
      </c>
      <c r="C13" s="9" t="str">
        <f>"6060 18587 126 4-1"</f>
        <v>6060 18587 126 4-1</v>
      </c>
      <c r="D13" s="9" t="str">
        <f>"1151 Z"</f>
        <v>1151 Z</v>
      </c>
      <c r="E13" s="10">
        <f t="shared" si="15"/>
        <v>645.6341049244794</v>
      </c>
      <c r="F13" s="11">
        <f t="shared" si="16"/>
        <v>77.7013888888889</v>
      </c>
      <c r="G13" s="11">
        <v>559.45000000000005</v>
      </c>
      <c r="H13" s="11">
        <v>160.55000000000001</v>
      </c>
      <c r="I13" s="11">
        <v>361.2</v>
      </c>
      <c r="J13" s="11">
        <v>105.5</v>
      </c>
      <c r="K13" s="11">
        <v>3329510.73</v>
      </c>
      <c r="L13" s="11">
        <v>33567</v>
      </c>
      <c r="M13" s="11">
        <f t="shared" si="17"/>
        <v>99.19</v>
      </c>
      <c r="N13" s="13">
        <v>4</v>
      </c>
      <c r="O13" s="14">
        <v>1.6830000000000001</v>
      </c>
      <c r="P13" s="13">
        <v>32</v>
      </c>
      <c r="Q13" s="14">
        <v>93.45</v>
      </c>
      <c r="R13" s="12">
        <f t="shared" si="18"/>
        <v>3.4319420859772989</v>
      </c>
      <c r="S13" s="12">
        <f t="shared" si="19"/>
        <v>82.36661006345517</v>
      </c>
      <c r="T13" s="12">
        <f t="shared" si="20"/>
        <v>8.8593576965669989</v>
      </c>
      <c r="U13" s="13">
        <v>56</v>
      </c>
      <c r="V13" s="14">
        <v>64.016999999999996</v>
      </c>
      <c r="W13" s="12">
        <f t="shared" si="0"/>
        <v>6.0058986504602734</v>
      </c>
      <c r="X13" s="12">
        <f t="shared" si="1"/>
        <v>144.14156761104655</v>
      </c>
      <c r="Y13" s="12">
        <f t="shared" si="2"/>
        <v>15.503875968992249</v>
      </c>
      <c r="Z13" s="13">
        <v>1</v>
      </c>
      <c r="AA13" s="14">
        <v>1.4</v>
      </c>
      <c r="AB13" s="10">
        <v>0</v>
      </c>
      <c r="AC13" s="12">
        <f t="shared" si="3"/>
        <v>0</v>
      </c>
      <c r="AD13" s="12">
        <f t="shared" si="4"/>
        <v>0</v>
      </c>
      <c r="AE13" s="12">
        <f t="shared" si="5"/>
        <v>0</v>
      </c>
      <c r="AF13" s="13">
        <v>93</v>
      </c>
      <c r="AG13" s="52">
        <v>160.55000000000001</v>
      </c>
      <c r="AH13" s="61">
        <v>88</v>
      </c>
      <c r="AI13" s="16">
        <f t="shared" si="21"/>
        <v>9.4378407364375718</v>
      </c>
      <c r="AJ13" s="48">
        <f t="shared" si="22"/>
        <v>226.50817767450172</v>
      </c>
      <c r="AK13" s="48">
        <f t="shared" si="23"/>
        <v>24.363233665559246</v>
      </c>
      <c r="AL13" s="57">
        <v>20</v>
      </c>
      <c r="AM13" s="14">
        <v>17.899999999999999</v>
      </c>
      <c r="AN13" s="12">
        <f t="shared" si="24"/>
        <v>2.1449638037358119</v>
      </c>
      <c r="AO13" s="12">
        <f t="shared" si="25"/>
        <v>51.479131289659485</v>
      </c>
      <c r="AP13" s="12">
        <f t="shared" si="26"/>
        <v>5.5370985603543748</v>
      </c>
      <c r="AQ13" s="13">
        <v>29</v>
      </c>
      <c r="AR13" s="14">
        <v>36.116999999999997</v>
      </c>
      <c r="AS13" s="12">
        <f t="shared" si="6"/>
        <v>3.1101975154169272</v>
      </c>
      <c r="AT13" s="12">
        <f t="shared" si="7"/>
        <v>74.644740370006247</v>
      </c>
      <c r="AU13" s="12">
        <f t="shared" si="8"/>
        <v>8.0287929125138433</v>
      </c>
      <c r="AV13" s="13">
        <v>2</v>
      </c>
      <c r="AW13" s="14">
        <v>4.25</v>
      </c>
      <c r="AX13" s="12">
        <f t="shared" si="9"/>
        <v>0.21449638037358118</v>
      </c>
      <c r="AY13" s="12">
        <f t="shared" si="10"/>
        <v>5.1479131289659481</v>
      </c>
      <c r="AZ13" s="12">
        <f t="shared" si="11"/>
        <v>0.55370985603543743</v>
      </c>
      <c r="BA13" s="13">
        <v>5</v>
      </c>
      <c r="BB13" s="52">
        <v>5.75</v>
      </c>
      <c r="BC13" s="48">
        <f t="shared" si="12"/>
        <v>0.53624095093395296</v>
      </c>
      <c r="BD13" s="48">
        <f t="shared" si="13"/>
        <v>12.869782822414871</v>
      </c>
      <c r="BE13" s="48">
        <f t="shared" si="14"/>
        <v>1.3842746400885937</v>
      </c>
    </row>
    <row r="14" spans="1:57">
      <c r="A14" s="15" t="s">
        <v>217</v>
      </c>
      <c r="B14" s="9" t="str">
        <f>"010"</f>
        <v>010</v>
      </c>
      <c r="C14" s="9" t="str">
        <f>"4040 13079 67x59 4-1"</f>
        <v>4040 13079 67x59 4-1</v>
      </c>
      <c r="D14" s="9" t="str">
        <f>"1174 Z"</f>
        <v>1174 Z</v>
      </c>
      <c r="E14" s="10">
        <f t="shared" si="15"/>
        <v>662.11443371791859</v>
      </c>
      <c r="F14" s="11">
        <f t="shared" si="16"/>
        <v>88.479166666666657</v>
      </c>
      <c r="G14" s="11">
        <v>637.04999999999995</v>
      </c>
      <c r="H14" s="11">
        <v>82.95</v>
      </c>
      <c r="I14" s="11">
        <v>421.8</v>
      </c>
      <c r="J14" s="11">
        <v>135.6</v>
      </c>
      <c r="K14" s="11">
        <v>3688519.5</v>
      </c>
      <c r="L14" s="11">
        <v>38223</v>
      </c>
      <c r="M14" s="11">
        <f t="shared" si="17"/>
        <v>96.5</v>
      </c>
      <c r="N14" s="13">
        <v>5</v>
      </c>
      <c r="O14" s="14">
        <v>2.5670000000000002</v>
      </c>
      <c r="P14" s="13">
        <v>15</v>
      </c>
      <c r="Q14" s="14">
        <v>37.049999999999997</v>
      </c>
      <c r="R14" s="12">
        <f t="shared" si="18"/>
        <v>1.4127619496114905</v>
      </c>
      <c r="S14" s="12">
        <f t="shared" si="19"/>
        <v>33.906286790675772</v>
      </c>
      <c r="T14" s="12">
        <f t="shared" si="20"/>
        <v>3.5561877667140824</v>
      </c>
      <c r="U14" s="13">
        <v>31</v>
      </c>
      <c r="V14" s="14">
        <v>37.15</v>
      </c>
      <c r="W14" s="12">
        <f t="shared" si="0"/>
        <v>2.9197080291970803</v>
      </c>
      <c r="X14" s="12">
        <f t="shared" si="1"/>
        <v>70.072992700729927</v>
      </c>
      <c r="Y14" s="12">
        <f t="shared" si="2"/>
        <v>7.3494547178757701</v>
      </c>
      <c r="Z14" s="13">
        <v>3</v>
      </c>
      <c r="AA14" s="14">
        <v>6.1829999999999998</v>
      </c>
      <c r="AB14" s="10">
        <v>0</v>
      </c>
      <c r="AC14" s="12">
        <f t="shared" si="3"/>
        <v>0</v>
      </c>
      <c r="AD14" s="12">
        <f t="shared" si="4"/>
        <v>0</v>
      </c>
      <c r="AE14" s="12">
        <f t="shared" si="5"/>
        <v>0</v>
      </c>
      <c r="AF14" s="13">
        <v>54</v>
      </c>
      <c r="AG14" s="52">
        <v>82.95</v>
      </c>
      <c r="AH14" s="61">
        <v>46</v>
      </c>
      <c r="AI14" s="16">
        <f t="shared" si="21"/>
        <v>4.3324699788085708</v>
      </c>
      <c r="AJ14" s="48">
        <f t="shared" si="22"/>
        <v>103.97927949140571</v>
      </c>
      <c r="AK14" s="48">
        <f t="shared" si="23"/>
        <v>10.905642484589853</v>
      </c>
      <c r="AL14" s="57">
        <v>12</v>
      </c>
      <c r="AM14" s="14">
        <v>11.717000000000001</v>
      </c>
      <c r="AN14" s="12">
        <f t="shared" si="24"/>
        <v>1.1302095596891923</v>
      </c>
      <c r="AO14" s="12">
        <f t="shared" si="25"/>
        <v>27.125029432540618</v>
      </c>
      <c r="AP14" s="12">
        <f t="shared" si="26"/>
        <v>2.8449502133712659</v>
      </c>
      <c r="AQ14" s="13">
        <v>9</v>
      </c>
      <c r="AR14" s="14">
        <v>15.117000000000001</v>
      </c>
      <c r="AS14" s="12">
        <f t="shared" si="6"/>
        <v>0.84765716976689431</v>
      </c>
      <c r="AT14" s="12">
        <f t="shared" si="7"/>
        <v>20.343772074405464</v>
      </c>
      <c r="AU14" s="12">
        <f t="shared" si="8"/>
        <v>2.1337126600284493</v>
      </c>
      <c r="AV14" s="13">
        <v>7</v>
      </c>
      <c r="AW14" s="14">
        <v>6.3170000000000002</v>
      </c>
      <c r="AX14" s="12">
        <f t="shared" si="9"/>
        <v>0.65928890981869559</v>
      </c>
      <c r="AY14" s="12">
        <f t="shared" si="10"/>
        <v>15.822933835648694</v>
      </c>
      <c r="AZ14" s="12">
        <f t="shared" si="11"/>
        <v>1.6595542911332384</v>
      </c>
      <c r="BA14" s="13">
        <v>3</v>
      </c>
      <c r="BB14" s="52">
        <v>4</v>
      </c>
      <c r="BC14" s="48">
        <f t="shared" si="12"/>
        <v>0.28255238992229809</v>
      </c>
      <c r="BD14" s="48">
        <f t="shared" si="13"/>
        <v>6.7812573581351545</v>
      </c>
      <c r="BE14" s="48">
        <f t="shared" si="14"/>
        <v>0.71123755334281646</v>
      </c>
    </row>
    <row r="15" spans="1:57">
      <c r="A15" s="15" t="s">
        <v>217</v>
      </c>
      <c r="B15" s="9" t="str">
        <f>"011"</f>
        <v>011</v>
      </c>
      <c r="C15" s="9" t="str">
        <f>"4040 11083 123 1-1"</f>
        <v>4040 11083 123 1-1</v>
      </c>
      <c r="D15" s="9" t="str">
        <f>"1036 Z"</f>
        <v>1036 Z</v>
      </c>
      <c r="E15" s="10">
        <f t="shared" si="15"/>
        <v>671.96185231119807</v>
      </c>
      <c r="F15" s="11">
        <f t="shared" si="16"/>
        <v>90.02697037451091</v>
      </c>
      <c r="G15" s="11">
        <v>644.23299999999995</v>
      </c>
      <c r="H15" s="11">
        <v>71.367000000000004</v>
      </c>
      <c r="I15" s="11">
        <v>432.9</v>
      </c>
      <c r="J15" s="11">
        <v>127.7</v>
      </c>
      <c r="K15" s="11">
        <v>4494687.12</v>
      </c>
      <c r="L15" s="11">
        <v>38654</v>
      </c>
      <c r="M15" s="11">
        <f t="shared" si="17"/>
        <v>116.28</v>
      </c>
      <c r="N15" s="13">
        <v>5</v>
      </c>
      <c r="O15" s="14">
        <v>1.75</v>
      </c>
      <c r="P15" s="13">
        <v>15</v>
      </c>
      <c r="Q15" s="14">
        <v>25.667000000000002</v>
      </c>
      <c r="R15" s="12">
        <f t="shared" si="18"/>
        <v>1.3970100879650686</v>
      </c>
      <c r="S15" s="12">
        <f t="shared" si="19"/>
        <v>33.528242111161646</v>
      </c>
      <c r="T15" s="12">
        <f t="shared" si="20"/>
        <v>3.4650034650034653</v>
      </c>
      <c r="U15" s="13">
        <v>37</v>
      </c>
      <c r="V15" s="14">
        <v>40.167000000000002</v>
      </c>
      <c r="W15" s="12">
        <f t="shared" si="0"/>
        <v>3.4459582169805025</v>
      </c>
      <c r="X15" s="12">
        <f t="shared" si="1"/>
        <v>82.702997207532064</v>
      </c>
      <c r="Y15" s="12">
        <f t="shared" si="2"/>
        <v>8.5470085470085468</v>
      </c>
      <c r="Z15" s="13">
        <v>6</v>
      </c>
      <c r="AA15" s="14">
        <v>3.7839999999999998</v>
      </c>
      <c r="AB15" s="10">
        <v>0</v>
      </c>
      <c r="AC15" s="12">
        <f t="shared" si="3"/>
        <v>0</v>
      </c>
      <c r="AD15" s="12">
        <f t="shared" si="4"/>
        <v>0</v>
      </c>
      <c r="AE15" s="12">
        <f t="shared" si="5"/>
        <v>0</v>
      </c>
      <c r="AF15" s="13">
        <v>63</v>
      </c>
      <c r="AG15" s="52">
        <v>71.367999999999995</v>
      </c>
      <c r="AH15" s="61">
        <v>52</v>
      </c>
      <c r="AI15" s="16">
        <f t="shared" si="21"/>
        <v>4.842968304945571</v>
      </c>
      <c r="AJ15" s="48">
        <f t="shared" si="22"/>
        <v>116.23123931869371</v>
      </c>
      <c r="AK15" s="48">
        <f t="shared" si="23"/>
        <v>12.012012012012013</v>
      </c>
      <c r="AL15" s="57">
        <v>23</v>
      </c>
      <c r="AM15" s="14">
        <v>26.567</v>
      </c>
      <c r="AN15" s="12">
        <f t="shared" si="24"/>
        <v>2.1420821348797721</v>
      </c>
      <c r="AO15" s="12">
        <f t="shared" si="25"/>
        <v>51.409971237114526</v>
      </c>
      <c r="AP15" s="12">
        <f t="shared" si="26"/>
        <v>5.3130053130053136</v>
      </c>
      <c r="AQ15" s="13">
        <v>13</v>
      </c>
      <c r="AR15" s="14">
        <v>11.317</v>
      </c>
      <c r="AS15" s="12">
        <f t="shared" si="6"/>
        <v>1.2107420762363927</v>
      </c>
      <c r="AT15" s="12">
        <f t="shared" si="7"/>
        <v>29.057809829673428</v>
      </c>
      <c r="AU15" s="12">
        <f t="shared" si="8"/>
        <v>3.0030030030030033</v>
      </c>
      <c r="AV15" s="13">
        <v>0</v>
      </c>
      <c r="AW15" s="14">
        <v>0</v>
      </c>
      <c r="AX15" s="12">
        <f t="shared" si="9"/>
        <v>0</v>
      </c>
      <c r="AY15" s="12">
        <f t="shared" si="10"/>
        <v>0</v>
      </c>
      <c r="AZ15" s="12">
        <f t="shared" si="11"/>
        <v>0</v>
      </c>
      <c r="BA15" s="13">
        <v>1</v>
      </c>
      <c r="BB15" s="52">
        <v>2.2829999999999999</v>
      </c>
      <c r="BC15" s="48">
        <f t="shared" si="12"/>
        <v>9.3134005864337913E-2</v>
      </c>
      <c r="BD15" s="48">
        <f t="shared" si="13"/>
        <v>2.23521614074411</v>
      </c>
      <c r="BE15" s="48">
        <f t="shared" si="14"/>
        <v>0.23100023100023101</v>
      </c>
    </row>
    <row r="16" spans="1:57">
      <c r="A16" s="15" t="s">
        <v>217</v>
      </c>
      <c r="B16" s="9" t="str">
        <f>"012"</f>
        <v>012</v>
      </c>
      <c r="C16" s="9" t="str">
        <f>"6060 164113 124 33mm"</f>
        <v>6060 164113 124 33mm</v>
      </c>
      <c r="D16" s="9" t="str">
        <f>"1001 Z"</f>
        <v>1001 Z</v>
      </c>
      <c r="E16" s="10">
        <f t="shared" si="15"/>
        <v>634.73877527888533</v>
      </c>
      <c r="F16" s="11">
        <f t="shared" si="16"/>
        <v>91.303685056989025</v>
      </c>
      <c r="G16" s="11">
        <v>652.86699999999996</v>
      </c>
      <c r="H16" s="11">
        <v>62.183</v>
      </c>
      <c r="I16" s="11">
        <v>414.4</v>
      </c>
      <c r="J16" s="11">
        <v>117.1</v>
      </c>
      <c r="K16" s="11">
        <v>3325702.8</v>
      </c>
      <c r="L16" s="11">
        <v>39172</v>
      </c>
      <c r="M16" s="11">
        <f t="shared" si="17"/>
        <v>84.899999999999991</v>
      </c>
      <c r="N16" s="13">
        <v>6</v>
      </c>
      <c r="O16" s="14">
        <v>2.1669999999999998</v>
      </c>
      <c r="P16" s="13">
        <v>12</v>
      </c>
      <c r="Q16" s="14">
        <v>23.4</v>
      </c>
      <c r="R16" s="12">
        <f t="shared" si="18"/>
        <v>1.1028279879362872</v>
      </c>
      <c r="S16" s="12">
        <f t="shared" si="19"/>
        <v>26.467871710470895</v>
      </c>
      <c r="T16" s="12">
        <f t="shared" si="20"/>
        <v>2.8957528957528957</v>
      </c>
      <c r="U16" s="13">
        <v>34</v>
      </c>
      <c r="V16" s="14">
        <v>33.482999999999997</v>
      </c>
      <c r="W16" s="12">
        <f t="shared" si="0"/>
        <v>3.1246792991528141</v>
      </c>
      <c r="X16" s="12">
        <f t="shared" si="1"/>
        <v>74.99230317966753</v>
      </c>
      <c r="Y16" s="12">
        <f t="shared" si="2"/>
        <v>8.2046332046332058</v>
      </c>
      <c r="Z16" s="13">
        <v>5</v>
      </c>
      <c r="AA16" s="14">
        <v>3.1339999999999999</v>
      </c>
      <c r="AB16" s="10">
        <v>0</v>
      </c>
      <c r="AC16" s="12">
        <f t="shared" si="3"/>
        <v>0</v>
      </c>
      <c r="AD16" s="12">
        <f t="shared" si="4"/>
        <v>0</v>
      </c>
      <c r="AE16" s="12">
        <f t="shared" si="5"/>
        <v>0</v>
      </c>
      <c r="AF16" s="13">
        <v>57</v>
      </c>
      <c r="AG16" s="52">
        <v>62.183999999999997</v>
      </c>
      <c r="AH16" s="61">
        <v>46</v>
      </c>
      <c r="AI16" s="16">
        <f t="shared" si="21"/>
        <v>4.2275072870891011</v>
      </c>
      <c r="AJ16" s="48">
        <f t="shared" si="22"/>
        <v>101.46017489013843</v>
      </c>
      <c r="AK16" s="48">
        <f t="shared" si="23"/>
        <v>11.100386100386102</v>
      </c>
      <c r="AL16" s="57">
        <v>20</v>
      </c>
      <c r="AM16" s="14">
        <v>20.216999999999999</v>
      </c>
      <c r="AN16" s="12">
        <f t="shared" si="24"/>
        <v>1.8380466465604788</v>
      </c>
      <c r="AO16" s="12">
        <f t="shared" si="25"/>
        <v>44.113119517451487</v>
      </c>
      <c r="AP16" s="12">
        <f t="shared" si="26"/>
        <v>4.8262548262548268</v>
      </c>
      <c r="AQ16" s="13">
        <v>14</v>
      </c>
      <c r="AR16" s="14">
        <v>12.917</v>
      </c>
      <c r="AS16" s="12">
        <f t="shared" si="6"/>
        <v>1.2866326525923351</v>
      </c>
      <c r="AT16" s="12">
        <f t="shared" si="7"/>
        <v>30.879183662216043</v>
      </c>
      <c r="AU16" s="12">
        <f t="shared" si="8"/>
        <v>3.3783783783783785</v>
      </c>
      <c r="AV16" s="13">
        <v>0</v>
      </c>
      <c r="AW16" s="14">
        <v>0</v>
      </c>
      <c r="AX16" s="12">
        <f t="shared" si="9"/>
        <v>0</v>
      </c>
      <c r="AY16" s="12">
        <f t="shared" si="10"/>
        <v>0</v>
      </c>
      <c r="AZ16" s="12">
        <f t="shared" si="11"/>
        <v>0</v>
      </c>
      <c r="BA16" s="13">
        <v>0</v>
      </c>
      <c r="BB16" s="52">
        <v>0.35</v>
      </c>
      <c r="BC16" s="48">
        <f t="shared" si="12"/>
        <v>0</v>
      </c>
      <c r="BD16" s="48">
        <f t="shared" si="13"/>
        <v>0</v>
      </c>
      <c r="BE16" s="48">
        <f t="shared" si="14"/>
        <v>0</v>
      </c>
    </row>
    <row r="17" spans="1:57">
      <c r="A17" s="15" t="s">
        <v>217</v>
      </c>
      <c r="B17" s="9" t="str">
        <f>"013"</f>
        <v>013</v>
      </c>
      <c r="C17" s="9" t="str">
        <f>"8080 9088 46x2 1-1"</f>
        <v>8080 9088 46x2 1-1</v>
      </c>
      <c r="D17" s="9" t="str">
        <f>"1079Z"</f>
        <v>1079Z</v>
      </c>
      <c r="E17" s="10">
        <f t="shared" si="15"/>
        <v>721.56338733923496</v>
      </c>
      <c r="F17" s="11">
        <f t="shared" si="16"/>
        <v>83.152777777777786</v>
      </c>
      <c r="G17" s="11">
        <v>598.70000000000005</v>
      </c>
      <c r="H17" s="11">
        <v>121.3</v>
      </c>
      <c r="I17" s="11">
        <v>432</v>
      </c>
      <c r="J17" s="11">
        <v>124.7</v>
      </c>
      <c r="K17" s="11">
        <v>2216387.4</v>
      </c>
      <c r="L17" s="11">
        <v>35922</v>
      </c>
      <c r="M17" s="11">
        <f t="shared" si="17"/>
        <v>61.699999999999996</v>
      </c>
      <c r="N17" s="13">
        <v>1</v>
      </c>
      <c r="O17" s="14">
        <v>1.2170000000000001</v>
      </c>
      <c r="P17" s="13">
        <v>22</v>
      </c>
      <c r="Q17" s="14">
        <v>56.482999999999997</v>
      </c>
      <c r="R17" s="12">
        <f t="shared" si="18"/>
        <v>2.2047770168698846</v>
      </c>
      <c r="S17" s="12">
        <f t="shared" si="19"/>
        <v>52.914648404877227</v>
      </c>
      <c r="T17" s="12">
        <f t="shared" si="20"/>
        <v>5.0925925925925926</v>
      </c>
      <c r="U17" s="13">
        <v>61</v>
      </c>
      <c r="V17" s="14">
        <v>53.366999999999997</v>
      </c>
      <c r="W17" s="12">
        <f t="shared" si="0"/>
        <v>6.1132453649574074</v>
      </c>
      <c r="X17" s="12">
        <f t="shared" si="1"/>
        <v>146.71788875897778</v>
      </c>
      <c r="Y17" s="12">
        <f t="shared" si="2"/>
        <v>14.12037037037037</v>
      </c>
      <c r="Z17" s="13">
        <v>3</v>
      </c>
      <c r="AA17" s="14">
        <v>10.234</v>
      </c>
      <c r="AB17" s="10">
        <v>3</v>
      </c>
      <c r="AC17" s="12">
        <f t="shared" si="3"/>
        <v>0.30065141139134788</v>
      </c>
      <c r="AD17" s="12">
        <f t="shared" si="4"/>
        <v>7.21563387339235</v>
      </c>
      <c r="AE17" s="12">
        <f t="shared" si="5"/>
        <v>0.69444444444444442</v>
      </c>
      <c r="AF17" s="13">
        <v>87</v>
      </c>
      <c r="AG17" s="52">
        <v>121.301</v>
      </c>
      <c r="AH17" s="61">
        <v>86</v>
      </c>
      <c r="AI17" s="16">
        <f t="shared" si="21"/>
        <v>8.6186737932186404</v>
      </c>
      <c r="AJ17" s="48">
        <f t="shared" si="22"/>
        <v>206.84817103724734</v>
      </c>
      <c r="AK17" s="48">
        <f t="shared" si="23"/>
        <v>19.907407407407408</v>
      </c>
      <c r="AL17" s="57">
        <v>25</v>
      </c>
      <c r="AM17" s="14">
        <v>21.266999999999999</v>
      </c>
      <c r="AN17" s="12">
        <f t="shared" si="24"/>
        <v>2.5054284282612325</v>
      </c>
      <c r="AO17" s="12">
        <f t="shared" si="25"/>
        <v>60.130282278269583</v>
      </c>
      <c r="AP17" s="12">
        <f t="shared" si="26"/>
        <v>5.7870370370370372</v>
      </c>
      <c r="AQ17" s="13">
        <v>18</v>
      </c>
      <c r="AR17" s="14">
        <v>19.766999999999999</v>
      </c>
      <c r="AS17" s="12">
        <f t="shared" si="6"/>
        <v>1.8039084683480875</v>
      </c>
      <c r="AT17" s="12">
        <f t="shared" si="7"/>
        <v>43.293803240354094</v>
      </c>
      <c r="AU17" s="12">
        <f t="shared" si="8"/>
        <v>4.166666666666667</v>
      </c>
      <c r="AV17" s="13">
        <v>13</v>
      </c>
      <c r="AW17" s="14">
        <v>9.0169999999999995</v>
      </c>
      <c r="AX17" s="12">
        <f t="shared" si="9"/>
        <v>1.302822782695841</v>
      </c>
      <c r="AY17" s="12">
        <f t="shared" si="10"/>
        <v>31.267746784700183</v>
      </c>
      <c r="AZ17" s="12">
        <f t="shared" si="11"/>
        <v>3.0092592592592591</v>
      </c>
      <c r="BA17" s="13">
        <v>5</v>
      </c>
      <c r="BB17" s="52">
        <v>3.3170000000000002</v>
      </c>
      <c r="BC17" s="48">
        <f t="shared" si="12"/>
        <v>0.50108568565224654</v>
      </c>
      <c r="BD17" s="48">
        <f t="shared" si="13"/>
        <v>12.026056455653915</v>
      </c>
      <c r="BE17" s="48">
        <f t="shared" si="14"/>
        <v>1.1574074074074074</v>
      </c>
    </row>
    <row r="18" spans="1:57">
      <c r="A18" s="15" t="s">
        <v>217</v>
      </c>
      <c r="B18" s="9" t="str">
        <f>"014"</f>
        <v>014</v>
      </c>
      <c r="C18" s="9" t="str">
        <f>"8080 10288 46x2 1-1"</f>
        <v>8080 10288 46x2 1-1</v>
      </c>
      <c r="D18" s="9" t="str">
        <f>"1054 Z"</f>
        <v>1054 Z</v>
      </c>
      <c r="E18" s="10">
        <f t="shared" si="15"/>
        <v>799.63764237970918</v>
      </c>
      <c r="F18" s="11">
        <f t="shared" si="16"/>
        <v>89.537083333333342</v>
      </c>
      <c r="G18" s="11">
        <v>644.66700000000003</v>
      </c>
      <c r="H18" s="11">
        <v>75.332999999999998</v>
      </c>
      <c r="I18" s="11">
        <v>515.5</v>
      </c>
      <c r="J18" s="11">
        <v>148.80000000000001</v>
      </c>
      <c r="K18" s="11">
        <v>2468944.4</v>
      </c>
      <c r="L18" s="11">
        <v>38680</v>
      </c>
      <c r="M18" s="11">
        <f t="shared" si="17"/>
        <v>63.83</v>
      </c>
      <c r="N18" s="13">
        <v>4</v>
      </c>
      <c r="O18" s="14">
        <v>1.2</v>
      </c>
      <c r="P18" s="13">
        <v>13</v>
      </c>
      <c r="Q18" s="14">
        <v>25.65</v>
      </c>
      <c r="R18" s="12">
        <f t="shared" si="18"/>
        <v>1.2099269855599868</v>
      </c>
      <c r="S18" s="12">
        <f t="shared" si="19"/>
        <v>29.038247653439683</v>
      </c>
      <c r="T18" s="12">
        <f t="shared" si="20"/>
        <v>2.5218234723569348</v>
      </c>
      <c r="U18" s="13">
        <v>43</v>
      </c>
      <c r="V18" s="14">
        <v>39.15</v>
      </c>
      <c r="W18" s="12">
        <f t="shared" si="0"/>
        <v>4.0020661830061099</v>
      </c>
      <c r="X18" s="12">
        <f t="shared" si="1"/>
        <v>96.049588392146632</v>
      </c>
      <c r="Y18" s="12">
        <f t="shared" si="2"/>
        <v>8.3414161008729391</v>
      </c>
      <c r="Z18" s="13">
        <v>8</v>
      </c>
      <c r="AA18" s="14">
        <v>9.3330000000000002</v>
      </c>
      <c r="AB18" s="10">
        <v>0</v>
      </c>
      <c r="AC18" s="12">
        <f t="shared" si="3"/>
        <v>0</v>
      </c>
      <c r="AD18" s="12">
        <f t="shared" si="4"/>
        <v>0</v>
      </c>
      <c r="AE18" s="12">
        <f t="shared" si="5"/>
        <v>0</v>
      </c>
      <c r="AF18" s="13">
        <v>68</v>
      </c>
      <c r="AG18" s="52">
        <v>75.332999999999998</v>
      </c>
      <c r="AH18" s="61">
        <v>56</v>
      </c>
      <c r="AI18" s="16">
        <f t="shared" si="21"/>
        <v>5.2119931685660967</v>
      </c>
      <c r="AJ18" s="48">
        <f t="shared" si="22"/>
        <v>125.08783604558631</v>
      </c>
      <c r="AK18" s="48">
        <f t="shared" si="23"/>
        <v>10.863239573229874</v>
      </c>
      <c r="AL18" s="57">
        <v>20</v>
      </c>
      <c r="AM18" s="14">
        <v>19.783000000000001</v>
      </c>
      <c r="AN18" s="12">
        <f t="shared" si="24"/>
        <v>1.8614261316307488</v>
      </c>
      <c r="AO18" s="12">
        <f t="shared" si="25"/>
        <v>44.67422715913797</v>
      </c>
      <c r="AP18" s="12">
        <f t="shared" si="26"/>
        <v>3.8797284190106693</v>
      </c>
      <c r="AQ18" s="13">
        <v>10</v>
      </c>
      <c r="AR18" s="14">
        <v>7.2</v>
      </c>
      <c r="AS18" s="12">
        <f t="shared" si="6"/>
        <v>0.93071306581537439</v>
      </c>
      <c r="AT18" s="12">
        <f t="shared" si="7"/>
        <v>22.337113579568985</v>
      </c>
      <c r="AU18" s="12">
        <f t="shared" si="8"/>
        <v>1.9398642095053347</v>
      </c>
      <c r="AV18" s="13">
        <v>6</v>
      </c>
      <c r="AW18" s="14">
        <v>5.867</v>
      </c>
      <c r="AX18" s="12">
        <f t="shared" si="9"/>
        <v>0.5584278394892247</v>
      </c>
      <c r="AY18" s="12">
        <f t="shared" si="10"/>
        <v>13.402268147741392</v>
      </c>
      <c r="AZ18" s="12">
        <f t="shared" si="11"/>
        <v>1.1639185257032008</v>
      </c>
      <c r="BA18" s="13">
        <v>7</v>
      </c>
      <c r="BB18" s="52">
        <v>6.3</v>
      </c>
      <c r="BC18" s="48">
        <f t="shared" si="12"/>
        <v>0.65149914607076209</v>
      </c>
      <c r="BD18" s="48">
        <f t="shared" si="13"/>
        <v>15.635979505698289</v>
      </c>
      <c r="BE18" s="48">
        <f t="shared" si="14"/>
        <v>1.3579049466537343</v>
      </c>
    </row>
    <row r="19" spans="1:57">
      <c r="A19" s="15" t="s">
        <v>217</v>
      </c>
      <c r="B19" s="9" t="str">
        <f>"015"</f>
        <v>015</v>
      </c>
      <c r="C19" s="9" t="str">
        <f>"4040 127121 106 2-1"</f>
        <v>4040 127121 106 2-1</v>
      </c>
      <c r="D19" s="9" t="str">
        <f>"1053"</f>
        <v>1053</v>
      </c>
      <c r="E19" s="10">
        <f t="shared" si="15"/>
        <v>615.04839711997602</v>
      </c>
      <c r="F19" s="11">
        <f t="shared" si="16"/>
        <v>86.937808412856924</v>
      </c>
      <c r="G19" s="11">
        <v>625.96699999999998</v>
      </c>
      <c r="H19" s="11">
        <v>94.05</v>
      </c>
      <c r="I19" s="11">
        <v>385</v>
      </c>
      <c r="J19" s="11">
        <v>81.900000000000006</v>
      </c>
      <c r="K19" s="11">
        <v>2445776.96</v>
      </c>
      <c r="L19" s="11">
        <v>37558</v>
      </c>
      <c r="M19" s="11">
        <f t="shared" si="17"/>
        <v>65.12</v>
      </c>
      <c r="N19" s="13">
        <v>9</v>
      </c>
      <c r="O19" s="14">
        <v>6.1</v>
      </c>
      <c r="P19" s="13">
        <v>8</v>
      </c>
      <c r="Q19" s="14">
        <v>10.9</v>
      </c>
      <c r="R19" s="12">
        <f t="shared" si="18"/>
        <v>0.76681358601971028</v>
      </c>
      <c r="S19" s="12">
        <f t="shared" si="19"/>
        <v>18.403526064473049</v>
      </c>
      <c r="T19" s="12">
        <f t="shared" si="20"/>
        <v>2.0779220779220777</v>
      </c>
      <c r="U19" s="13">
        <v>26</v>
      </c>
      <c r="V19" s="14">
        <v>22.05</v>
      </c>
      <c r="W19" s="12">
        <f t="shared" si="0"/>
        <v>2.4921441545640586</v>
      </c>
      <c r="X19" s="12">
        <f t="shared" si="1"/>
        <v>59.811459709537402</v>
      </c>
      <c r="Y19" s="12">
        <f t="shared" si="2"/>
        <v>6.7532467532467528</v>
      </c>
      <c r="Z19" s="13">
        <v>4</v>
      </c>
      <c r="AA19" s="14">
        <v>55.000999999999998</v>
      </c>
      <c r="AB19" s="10">
        <v>1</v>
      </c>
      <c r="AC19" s="12">
        <f t="shared" si="3"/>
        <v>9.5851698252463785E-2</v>
      </c>
      <c r="AD19" s="12">
        <f t="shared" si="4"/>
        <v>2.3004407580591311</v>
      </c>
      <c r="AE19" s="12">
        <f t="shared" si="5"/>
        <v>0.25974025974025972</v>
      </c>
      <c r="AF19" s="13">
        <v>47</v>
      </c>
      <c r="AG19" s="52">
        <v>94.051000000000002</v>
      </c>
      <c r="AH19" s="61">
        <v>35</v>
      </c>
      <c r="AI19" s="16">
        <f t="shared" si="21"/>
        <v>3.3548094388362326</v>
      </c>
      <c r="AJ19" s="48">
        <f t="shared" si="22"/>
        <v>80.515426532069583</v>
      </c>
      <c r="AK19" s="48">
        <f t="shared" si="23"/>
        <v>9.0909090909090917</v>
      </c>
      <c r="AL19" s="57">
        <v>12</v>
      </c>
      <c r="AM19" s="14">
        <v>8.2330000000000005</v>
      </c>
      <c r="AN19" s="12">
        <f t="shared" si="24"/>
        <v>1.1502203790295655</v>
      </c>
      <c r="AO19" s="12">
        <f t="shared" si="25"/>
        <v>27.605289096709573</v>
      </c>
      <c r="AP19" s="12">
        <f t="shared" si="26"/>
        <v>3.116883116883117</v>
      </c>
      <c r="AQ19" s="13">
        <v>6</v>
      </c>
      <c r="AR19" s="14">
        <v>5.2670000000000003</v>
      </c>
      <c r="AS19" s="12">
        <f t="shared" si="6"/>
        <v>0.57511018951478277</v>
      </c>
      <c r="AT19" s="12">
        <f t="shared" si="7"/>
        <v>13.802644548354786</v>
      </c>
      <c r="AU19" s="12">
        <f t="shared" si="8"/>
        <v>1.5584415584415585</v>
      </c>
      <c r="AV19" s="13">
        <v>4</v>
      </c>
      <c r="AW19" s="14">
        <v>5.85</v>
      </c>
      <c r="AX19" s="12">
        <f t="shared" si="9"/>
        <v>0.38340679300985514</v>
      </c>
      <c r="AY19" s="12">
        <f t="shared" si="10"/>
        <v>9.2017630322365243</v>
      </c>
      <c r="AZ19" s="12">
        <f t="shared" si="11"/>
        <v>1.0389610389610389</v>
      </c>
      <c r="BA19" s="13">
        <v>4</v>
      </c>
      <c r="BB19" s="52">
        <v>2.7</v>
      </c>
      <c r="BC19" s="48">
        <f t="shared" si="12"/>
        <v>0.38340679300985514</v>
      </c>
      <c r="BD19" s="48">
        <f t="shared" si="13"/>
        <v>9.2017630322365243</v>
      </c>
      <c r="BE19" s="48">
        <f t="shared" si="14"/>
        <v>1.0389610389610389</v>
      </c>
    </row>
    <row r="20" spans="1:57">
      <c r="A20" s="15" t="s">
        <v>217</v>
      </c>
      <c r="B20" s="9" t="str">
        <f>"016"</f>
        <v>016</v>
      </c>
      <c r="C20" s="9" t="str">
        <f>"8080 9088 46x2 1-1"</f>
        <v>8080 9088 46x2 1-1</v>
      </c>
      <c r="D20" s="9" t="str">
        <f>"1084 Z"</f>
        <v>1084 Z</v>
      </c>
      <c r="E20" s="10">
        <f t="shared" si="15"/>
        <v>797.85091073282786</v>
      </c>
      <c r="F20" s="11">
        <f t="shared" si="16"/>
        <v>91.356527777777799</v>
      </c>
      <c r="G20" s="11">
        <v>657.76700000000005</v>
      </c>
      <c r="H20" s="11">
        <v>62.232999999999997</v>
      </c>
      <c r="I20" s="11">
        <v>524.79999999999995</v>
      </c>
      <c r="J20" s="11">
        <v>151.5</v>
      </c>
      <c r="K20" s="11">
        <v>2477280.8199999998</v>
      </c>
      <c r="L20" s="11">
        <v>39466</v>
      </c>
      <c r="M20" s="11">
        <f t="shared" si="17"/>
        <v>62.769999999999996</v>
      </c>
      <c r="N20" s="13">
        <v>4</v>
      </c>
      <c r="O20" s="14">
        <v>1.2</v>
      </c>
      <c r="P20" s="13">
        <v>16</v>
      </c>
      <c r="Q20" s="14">
        <v>26.95</v>
      </c>
      <c r="R20" s="12">
        <f t="shared" si="18"/>
        <v>1.4594833732917583</v>
      </c>
      <c r="S20" s="12">
        <f t="shared" si="19"/>
        <v>35.0276009590022</v>
      </c>
      <c r="T20" s="12">
        <f t="shared" si="20"/>
        <v>3.0487804878048781</v>
      </c>
      <c r="U20" s="13">
        <v>33</v>
      </c>
      <c r="V20" s="14">
        <v>20.3</v>
      </c>
      <c r="W20" s="12">
        <f t="shared" si="0"/>
        <v>3.0101844574142511</v>
      </c>
      <c r="X20" s="12">
        <f t="shared" si="1"/>
        <v>72.244426977942027</v>
      </c>
      <c r="Y20" s="12">
        <f t="shared" si="2"/>
        <v>6.2881097560975618</v>
      </c>
      <c r="Z20" s="13">
        <v>7</v>
      </c>
      <c r="AA20" s="14">
        <v>13.784000000000001</v>
      </c>
      <c r="AB20" s="10">
        <v>1</v>
      </c>
      <c r="AC20" s="12">
        <f t="shared" si="3"/>
        <v>9.1217710830734891E-2</v>
      </c>
      <c r="AD20" s="12">
        <f t="shared" si="4"/>
        <v>2.1892250599376375</v>
      </c>
      <c r="AE20" s="12">
        <f t="shared" si="5"/>
        <v>0.19054878048780488</v>
      </c>
      <c r="AF20" s="13">
        <v>60</v>
      </c>
      <c r="AG20" s="52">
        <v>62.234000000000002</v>
      </c>
      <c r="AH20" s="61">
        <v>50</v>
      </c>
      <c r="AI20" s="16">
        <f t="shared" si="21"/>
        <v>4.5608855415367442</v>
      </c>
      <c r="AJ20" s="48">
        <f t="shared" si="22"/>
        <v>109.46125299688187</v>
      </c>
      <c r="AK20" s="48">
        <f t="shared" si="23"/>
        <v>9.5274390243902456</v>
      </c>
      <c r="AL20" s="57">
        <v>10</v>
      </c>
      <c r="AM20" s="14">
        <v>5.4169999999999998</v>
      </c>
      <c r="AN20" s="12">
        <f t="shared" si="24"/>
        <v>0.91217710830734888</v>
      </c>
      <c r="AO20" s="12">
        <f t="shared" si="25"/>
        <v>21.892250599376371</v>
      </c>
      <c r="AP20" s="12">
        <f t="shared" si="26"/>
        <v>1.905487804878049</v>
      </c>
      <c r="AQ20" s="13">
        <v>19</v>
      </c>
      <c r="AR20" s="14">
        <v>9.6999999999999993</v>
      </c>
      <c r="AS20" s="12">
        <f t="shared" si="6"/>
        <v>1.7331365057839629</v>
      </c>
      <c r="AT20" s="12">
        <f t="shared" si="7"/>
        <v>41.595276138815109</v>
      </c>
      <c r="AU20" s="12">
        <f t="shared" si="8"/>
        <v>3.6204268292682928</v>
      </c>
      <c r="AV20" s="13">
        <v>2</v>
      </c>
      <c r="AW20" s="14">
        <v>0.81699999999999995</v>
      </c>
      <c r="AX20" s="12">
        <f t="shared" si="9"/>
        <v>0.18243542166146978</v>
      </c>
      <c r="AY20" s="12">
        <f t="shared" si="10"/>
        <v>4.378450119875275</v>
      </c>
      <c r="AZ20" s="12">
        <f t="shared" si="11"/>
        <v>0.38109756097560976</v>
      </c>
      <c r="BA20" s="13">
        <v>2</v>
      </c>
      <c r="BB20" s="52">
        <v>4.367</v>
      </c>
      <c r="BC20" s="48">
        <f t="shared" si="12"/>
        <v>0.18243542166146978</v>
      </c>
      <c r="BD20" s="48">
        <f t="shared" si="13"/>
        <v>4.378450119875275</v>
      </c>
      <c r="BE20" s="48">
        <f t="shared" si="14"/>
        <v>0.38109756097560976</v>
      </c>
    </row>
    <row r="21" spans="1:57">
      <c r="A21" s="15" t="s">
        <v>217</v>
      </c>
      <c r="B21" s="9" t="str">
        <f>"017"</f>
        <v>017</v>
      </c>
      <c r="C21" s="9" t="str">
        <f>"4040 10080 124 1-1"</f>
        <v>4040 10080 124 1-1</v>
      </c>
      <c r="D21" s="9" t="str">
        <f>"1192 Z"</f>
        <v>1192 Z</v>
      </c>
      <c r="E21" s="10">
        <f t="shared" si="15"/>
        <v>703.19712029936989</v>
      </c>
      <c r="F21" s="11">
        <f t="shared" si="16"/>
        <v>67.252361111111114</v>
      </c>
      <c r="G21" s="11">
        <v>484.21699999999998</v>
      </c>
      <c r="H21" s="11">
        <v>235.78299999999999</v>
      </c>
      <c r="I21" s="11">
        <v>340.5</v>
      </c>
      <c r="J21" s="11">
        <v>109.1</v>
      </c>
      <c r="K21" s="11">
        <v>3138305.06</v>
      </c>
      <c r="L21" s="11">
        <v>29053</v>
      </c>
      <c r="M21" s="11">
        <f t="shared" si="17"/>
        <v>108.02</v>
      </c>
      <c r="N21" s="13">
        <v>2</v>
      </c>
      <c r="O21" s="14">
        <v>3.4329999999999998</v>
      </c>
      <c r="P21" s="13">
        <v>26</v>
      </c>
      <c r="Q21" s="14">
        <v>82.966999999999999</v>
      </c>
      <c r="R21" s="12">
        <f t="shared" si="18"/>
        <v>3.2216960577592277</v>
      </c>
      <c r="S21" s="12">
        <f t="shared" si="19"/>
        <v>77.320705386221476</v>
      </c>
      <c r="T21" s="12">
        <f t="shared" si="20"/>
        <v>7.6358296622613802</v>
      </c>
      <c r="U21" s="13">
        <v>34</v>
      </c>
      <c r="V21" s="14">
        <v>38.9</v>
      </c>
      <c r="W21" s="12">
        <f t="shared" si="0"/>
        <v>4.2129871524543745</v>
      </c>
      <c r="X21" s="12">
        <f t="shared" si="1"/>
        <v>101.111691658905</v>
      </c>
      <c r="Y21" s="12">
        <f t="shared" si="2"/>
        <v>9.9853157121879583</v>
      </c>
      <c r="Z21" s="13">
        <v>3</v>
      </c>
      <c r="AA21" s="14">
        <v>110.483</v>
      </c>
      <c r="AB21" s="10">
        <v>0</v>
      </c>
      <c r="AC21" s="12">
        <f t="shared" si="3"/>
        <v>0</v>
      </c>
      <c r="AD21" s="12">
        <f t="shared" si="4"/>
        <v>0</v>
      </c>
      <c r="AE21" s="12">
        <f t="shared" si="5"/>
        <v>0</v>
      </c>
      <c r="AF21" s="13">
        <v>65</v>
      </c>
      <c r="AG21" s="52">
        <v>235.78299999999999</v>
      </c>
      <c r="AH21" s="61">
        <v>60</v>
      </c>
      <c r="AI21" s="16">
        <f t="shared" si="21"/>
        <v>7.4346832102136027</v>
      </c>
      <c r="AJ21" s="48">
        <f t="shared" si="22"/>
        <v>178.43239704512646</v>
      </c>
      <c r="AK21" s="48">
        <f t="shared" si="23"/>
        <v>17.621145374449338</v>
      </c>
      <c r="AL21" s="57">
        <v>6</v>
      </c>
      <c r="AM21" s="14">
        <v>7.05</v>
      </c>
      <c r="AN21" s="12">
        <f t="shared" si="24"/>
        <v>0.74346832102136029</v>
      </c>
      <c r="AO21" s="12">
        <f t="shared" si="25"/>
        <v>17.843239704512648</v>
      </c>
      <c r="AP21" s="12">
        <f t="shared" si="26"/>
        <v>1.7621145374449338</v>
      </c>
      <c r="AQ21" s="13">
        <v>14</v>
      </c>
      <c r="AR21" s="14">
        <v>13.217000000000001</v>
      </c>
      <c r="AS21" s="12">
        <f t="shared" si="6"/>
        <v>1.7347594157165074</v>
      </c>
      <c r="AT21" s="12">
        <f t="shared" si="7"/>
        <v>41.634225977196174</v>
      </c>
      <c r="AU21" s="12">
        <f t="shared" si="8"/>
        <v>4.1116005873715125</v>
      </c>
      <c r="AV21" s="13">
        <v>12</v>
      </c>
      <c r="AW21" s="14">
        <v>15.7</v>
      </c>
      <c r="AX21" s="12">
        <f t="shared" si="9"/>
        <v>1.4869366420427206</v>
      </c>
      <c r="AY21" s="12">
        <f t="shared" si="10"/>
        <v>35.686479409025296</v>
      </c>
      <c r="AZ21" s="12">
        <f t="shared" si="11"/>
        <v>3.5242290748898677</v>
      </c>
      <c r="BA21" s="13">
        <v>2</v>
      </c>
      <c r="BB21" s="52">
        <v>2.9329999999999998</v>
      </c>
      <c r="BC21" s="48">
        <f t="shared" si="12"/>
        <v>0.24782277367378677</v>
      </c>
      <c r="BD21" s="48">
        <f t="shared" si="13"/>
        <v>5.9477465681708823</v>
      </c>
      <c r="BE21" s="48">
        <f t="shared" si="14"/>
        <v>0.58737151248164465</v>
      </c>
    </row>
    <row r="22" spans="1:57">
      <c r="A22" s="15" t="s">
        <v>217</v>
      </c>
      <c r="B22" s="9" t="str">
        <f>"018"</f>
        <v>018</v>
      </c>
      <c r="C22" s="9" t="str">
        <f>"4040 13079 67x59 4-1"</f>
        <v>4040 13079 67x59 4-1</v>
      </c>
      <c r="D22" s="9" t="str">
        <f>"1019 Z"</f>
        <v>1019 Z</v>
      </c>
      <c r="E22" s="10">
        <f t="shared" si="15"/>
        <v>651.0432886951105</v>
      </c>
      <c r="F22" s="11">
        <f t="shared" si="16"/>
        <v>90.565505570441417</v>
      </c>
      <c r="G22" s="11">
        <v>642.20000000000005</v>
      </c>
      <c r="H22" s="11">
        <v>66.900000000000006</v>
      </c>
      <c r="I22" s="11">
        <v>418.1</v>
      </c>
      <c r="J22" s="11">
        <v>123.9</v>
      </c>
      <c r="K22" s="11">
        <v>3500246.88</v>
      </c>
      <c r="L22" s="11">
        <v>38532</v>
      </c>
      <c r="M22" s="11">
        <f t="shared" si="17"/>
        <v>90.84</v>
      </c>
      <c r="N22" s="13">
        <v>5</v>
      </c>
      <c r="O22" s="14">
        <v>2.383</v>
      </c>
      <c r="P22" s="13">
        <v>13</v>
      </c>
      <c r="Q22" s="14">
        <v>26.733000000000001</v>
      </c>
      <c r="R22" s="12">
        <f t="shared" si="18"/>
        <v>1.214574898785425</v>
      </c>
      <c r="S22" s="12">
        <f t="shared" si="19"/>
        <v>29.1497975708502</v>
      </c>
      <c r="T22" s="12">
        <f t="shared" si="20"/>
        <v>3.1093039942597462</v>
      </c>
      <c r="U22" s="13">
        <v>35</v>
      </c>
      <c r="V22" s="14">
        <v>32.082999999999998</v>
      </c>
      <c r="W22" s="12">
        <f t="shared" si="0"/>
        <v>3.2700093428838364</v>
      </c>
      <c r="X22" s="12">
        <f t="shared" si="1"/>
        <v>78.480224229212084</v>
      </c>
      <c r="Y22" s="12">
        <f t="shared" si="2"/>
        <v>8.3712030614685471</v>
      </c>
      <c r="Z22" s="13">
        <v>6</v>
      </c>
      <c r="AA22" s="14">
        <v>5.7</v>
      </c>
      <c r="AB22" s="10">
        <v>0</v>
      </c>
      <c r="AC22" s="12">
        <f t="shared" si="3"/>
        <v>0</v>
      </c>
      <c r="AD22" s="12">
        <f t="shared" si="4"/>
        <v>0</v>
      </c>
      <c r="AE22" s="12">
        <f t="shared" si="5"/>
        <v>0</v>
      </c>
      <c r="AF22" s="13">
        <v>59</v>
      </c>
      <c r="AG22" s="52">
        <v>66.899000000000001</v>
      </c>
      <c r="AH22" s="61">
        <v>48</v>
      </c>
      <c r="AI22" s="16">
        <f t="shared" si="21"/>
        <v>4.4845842416692614</v>
      </c>
      <c r="AJ22" s="48">
        <f t="shared" si="22"/>
        <v>107.63002180006228</v>
      </c>
      <c r="AK22" s="48">
        <f t="shared" si="23"/>
        <v>11.480507055728294</v>
      </c>
      <c r="AL22" s="57">
        <v>19</v>
      </c>
      <c r="AM22" s="14">
        <v>16.233000000000001</v>
      </c>
      <c r="AN22" s="12">
        <f t="shared" si="24"/>
        <v>1.7751479289940828</v>
      </c>
      <c r="AO22" s="12">
        <f t="shared" si="25"/>
        <v>42.603550295857985</v>
      </c>
      <c r="AP22" s="12">
        <f t="shared" si="26"/>
        <v>4.5443673762257832</v>
      </c>
      <c r="AQ22" s="13">
        <v>16</v>
      </c>
      <c r="AR22" s="14">
        <v>15.5</v>
      </c>
      <c r="AS22" s="12">
        <f t="shared" si="6"/>
        <v>1.4948614138897538</v>
      </c>
      <c r="AT22" s="12">
        <f t="shared" si="7"/>
        <v>35.876673933354091</v>
      </c>
      <c r="AU22" s="12">
        <f t="shared" si="8"/>
        <v>3.8268356852427647</v>
      </c>
      <c r="AV22" s="13">
        <v>0</v>
      </c>
      <c r="AW22" s="14">
        <v>0</v>
      </c>
      <c r="AX22" s="12">
        <f t="shared" si="9"/>
        <v>0</v>
      </c>
      <c r="AY22" s="12">
        <f t="shared" si="10"/>
        <v>0</v>
      </c>
      <c r="AZ22" s="12">
        <f t="shared" si="11"/>
        <v>0</v>
      </c>
      <c r="BA22" s="13">
        <v>0</v>
      </c>
      <c r="BB22" s="52">
        <v>0.35</v>
      </c>
      <c r="BC22" s="48">
        <f t="shared" si="12"/>
        <v>0</v>
      </c>
      <c r="BD22" s="48">
        <f t="shared" si="13"/>
        <v>0</v>
      </c>
      <c r="BE22" s="48">
        <f t="shared" si="14"/>
        <v>0</v>
      </c>
    </row>
    <row r="23" spans="1:57">
      <c r="A23" s="15" t="s">
        <v>217</v>
      </c>
      <c r="B23" s="9" t="str">
        <f>"019"</f>
        <v>019</v>
      </c>
      <c r="C23" s="9" t="str">
        <f>"4040 13079 67x59 4-1"</f>
        <v>4040 13079 67x59 4-1</v>
      </c>
      <c r="D23" s="9" t="str">
        <f>"1157 Z"</f>
        <v>1157 Z</v>
      </c>
      <c r="E23" s="10">
        <f t="shared" si="15"/>
        <v>678.00963290598088</v>
      </c>
      <c r="F23" s="11">
        <f t="shared" si="16"/>
        <v>85.442083333333343</v>
      </c>
      <c r="G23" s="11">
        <v>615.18299999999999</v>
      </c>
      <c r="H23" s="11">
        <v>104.81699999999999</v>
      </c>
      <c r="I23" s="11">
        <v>417.1</v>
      </c>
      <c r="J23" s="11">
        <v>134.1</v>
      </c>
      <c r="K23" s="11">
        <v>3756801.58</v>
      </c>
      <c r="L23" s="11">
        <v>36911</v>
      </c>
      <c r="M23" s="11">
        <f t="shared" si="17"/>
        <v>101.78</v>
      </c>
      <c r="N23" s="13">
        <v>6</v>
      </c>
      <c r="O23" s="14">
        <v>6.5</v>
      </c>
      <c r="P23" s="13">
        <v>15</v>
      </c>
      <c r="Q23" s="14">
        <v>50.517000000000003</v>
      </c>
      <c r="R23" s="12">
        <f t="shared" si="18"/>
        <v>1.4629793085959788</v>
      </c>
      <c r="S23" s="12">
        <f t="shared" si="19"/>
        <v>35.111503406303491</v>
      </c>
      <c r="T23" s="12">
        <f t="shared" si="20"/>
        <v>3.5962598897146965</v>
      </c>
      <c r="U23" s="13">
        <v>39</v>
      </c>
      <c r="V23" s="14">
        <v>33.6</v>
      </c>
      <c r="W23" s="12">
        <f t="shared" si="0"/>
        <v>3.803746202349545</v>
      </c>
      <c r="X23" s="12">
        <f t="shared" si="1"/>
        <v>91.289908856389076</v>
      </c>
      <c r="Y23" s="12">
        <f t="shared" si="2"/>
        <v>9.3502757132582115</v>
      </c>
      <c r="Z23" s="13">
        <v>8</v>
      </c>
      <c r="AA23" s="14">
        <v>14.2</v>
      </c>
      <c r="AB23" s="10">
        <v>0</v>
      </c>
      <c r="AC23" s="12">
        <f t="shared" si="3"/>
        <v>0</v>
      </c>
      <c r="AD23" s="12">
        <f t="shared" si="4"/>
        <v>0</v>
      </c>
      <c r="AE23" s="12">
        <f t="shared" si="5"/>
        <v>0</v>
      </c>
      <c r="AF23" s="13">
        <v>68</v>
      </c>
      <c r="AG23" s="52">
        <v>104.81699999999999</v>
      </c>
      <c r="AH23" s="61">
        <v>54</v>
      </c>
      <c r="AI23" s="16">
        <f t="shared" si="21"/>
        <v>5.2667255109455233</v>
      </c>
      <c r="AJ23" s="48">
        <f t="shared" si="22"/>
        <v>126.40141226269256</v>
      </c>
      <c r="AK23" s="48">
        <f t="shared" si="23"/>
        <v>12.946535602972908</v>
      </c>
      <c r="AL23" s="57">
        <v>20</v>
      </c>
      <c r="AM23" s="14">
        <v>17.617000000000001</v>
      </c>
      <c r="AN23" s="12">
        <f t="shared" si="24"/>
        <v>1.9506390781279717</v>
      </c>
      <c r="AO23" s="12">
        <f t="shared" si="25"/>
        <v>46.815337875071322</v>
      </c>
      <c r="AP23" s="12">
        <f t="shared" si="26"/>
        <v>4.7950131862862619</v>
      </c>
      <c r="AQ23" s="13">
        <v>16</v>
      </c>
      <c r="AR23" s="14">
        <v>13.05</v>
      </c>
      <c r="AS23" s="12">
        <f t="shared" si="6"/>
        <v>1.5605112625023774</v>
      </c>
      <c r="AT23" s="12">
        <f t="shared" si="7"/>
        <v>37.452270300057059</v>
      </c>
      <c r="AU23" s="12">
        <f t="shared" si="8"/>
        <v>3.8360105490290097</v>
      </c>
      <c r="AV23" s="13">
        <v>1</v>
      </c>
      <c r="AW23" s="14">
        <v>0.53300000000000003</v>
      </c>
      <c r="AX23" s="12">
        <f t="shared" si="9"/>
        <v>9.7531953906398586E-2</v>
      </c>
      <c r="AY23" s="12">
        <f t="shared" si="10"/>
        <v>2.3407668937535662</v>
      </c>
      <c r="AZ23" s="12">
        <f t="shared" si="11"/>
        <v>0.23975065931431311</v>
      </c>
      <c r="BA23" s="13">
        <v>2</v>
      </c>
      <c r="BB23" s="52">
        <v>2.4</v>
      </c>
      <c r="BC23" s="48">
        <f t="shared" si="12"/>
        <v>0.19506390781279717</v>
      </c>
      <c r="BD23" s="48">
        <f t="shared" si="13"/>
        <v>4.6815337875071323</v>
      </c>
      <c r="BE23" s="48">
        <f t="shared" si="14"/>
        <v>0.47950131862862622</v>
      </c>
    </row>
    <row r="24" spans="1:57">
      <c r="A24" s="15" t="s">
        <v>217</v>
      </c>
      <c r="B24" s="9" t="str">
        <f>"020"</f>
        <v>020</v>
      </c>
      <c r="C24" s="9" t="str">
        <f>"6060 18587 126 4-1"</f>
        <v>6060 18587 126 4-1</v>
      </c>
      <c r="D24" s="9" t="str">
        <f>"1002 Z"</f>
        <v>1002 Z</v>
      </c>
      <c r="E24" s="10">
        <f t="shared" si="15"/>
        <v>596.89690136533795</v>
      </c>
      <c r="F24" s="11">
        <f t="shared" si="16"/>
        <v>65.337916666666672</v>
      </c>
      <c r="G24" s="11">
        <v>470.43299999999999</v>
      </c>
      <c r="H24" s="11">
        <v>249.56700000000001</v>
      </c>
      <c r="I24" s="11">
        <v>280.8</v>
      </c>
      <c r="J24" s="11">
        <v>82</v>
      </c>
      <c r="K24" s="11">
        <v>2427153.7400000002</v>
      </c>
      <c r="L24" s="11">
        <v>28226</v>
      </c>
      <c r="M24" s="11">
        <f t="shared" si="17"/>
        <v>85.990000000000009</v>
      </c>
      <c r="N24" s="13">
        <v>4</v>
      </c>
      <c r="O24" s="14">
        <v>10.782999999999999</v>
      </c>
      <c r="P24" s="13">
        <v>59</v>
      </c>
      <c r="Q24" s="14">
        <v>167.03299999999999</v>
      </c>
      <c r="R24" s="12">
        <f t="shared" si="18"/>
        <v>7.5249823035373797</v>
      </c>
      <c r="S24" s="12">
        <f t="shared" si="19"/>
        <v>180.5995752848971</v>
      </c>
      <c r="T24" s="12">
        <f t="shared" si="20"/>
        <v>21.011396011396009</v>
      </c>
      <c r="U24" s="13">
        <v>72</v>
      </c>
      <c r="V24" s="14">
        <v>65.683000000000007</v>
      </c>
      <c r="W24" s="12">
        <f t="shared" si="0"/>
        <v>9.1830292517744301</v>
      </c>
      <c r="X24" s="12">
        <f t="shared" si="1"/>
        <v>220.39270204258631</v>
      </c>
      <c r="Y24" s="12">
        <f t="shared" si="2"/>
        <v>25.641025641025639</v>
      </c>
      <c r="Z24" s="13">
        <v>8</v>
      </c>
      <c r="AA24" s="14">
        <v>6.0670000000000002</v>
      </c>
      <c r="AB24" s="10">
        <v>0</v>
      </c>
      <c r="AC24" s="12">
        <f t="shared" si="3"/>
        <v>0</v>
      </c>
      <c r="AD24" s="12">
        <f t="shared" si="4"/>
        <v>0</v>
      </c>
      <c r="AE24" s="12">
        <f t="shared" si="5"/>
        <v>0</v>
      </c>
      <c r="AF24" s="13">
        <v>143</v>
      </c>
      <c r="AG24" s="52">
        <v>249.566</v>
      </c>
      <c r="AH24" s="61">
        <v>131</v>
      </c>
      <c r="AI24" s="16">
        <f t="shared" si="21"/>
        <v>16.70801155531181</v>
      </c>
      <c r="AJ24" s="48">
        <f t="shared" si="22"/>
        <v>400.99227732748341</v>
      </c>
      <c r="AK24" s="48">
        <f t="shared" si="23"/>
        <v>46.652421652421651</v>
      </c>
      <c r="AL24" s="57">
        <v>29</v>
      </c>
      <c r="AM24" s="14">
        <v>23.05</v>
      </c>
      <c r="AN24" s="12">
        <f t="shared" si="24"/>
        <v>3.698720115298034</v>
      </c>
      <c r="AO24" s="12">
        <f t="shared" si="25"/>
        <v>88.769282767152816</v>
      </c>
      <c r="AP24" s="12">
        <f t="shared" si="26"/>
        <v>10.327635327635328</v>
      </c>
      <c r="AQ24" s="13">
        <v>31</v>
      </c>
      <c r="AR24" s="14">
        <v>30.15</v>
      </c>
      <c r="AS24" s="12">
        <f t="shared" si="6"/>
        <v>3.953804261180657</v>
      </c>
      <c r="AT24" s="12">
        <f t="shared" si="7"/>
        <v>94.891302268335764</v>
      </c>
      <c r="AU24" s="12">
        <f t="shared" si="8"/>
        <v>11.039886039886039</v>
      </c>
      <c r="AV24" s="13">
        <v>10</v>
      </c>
      <c r="AW24" s="14">
        <v>9.4329999999999998</v>
      </c>
      <c r="AX24" s="12">
        <f t="shared" si="9"/>
        <v>1.2754207294131152</v>
      </c>
      <c r="AY24" s="12">
        <f t="shared" si="10"/>
        <v>30.610097505914766</v>
      </c>
      <c r="AZ24" s="12">
        <f t="shared" si="11"/>
        <v>3.5612535612535612</v>
      </c>
      <c r="BA24" s="13">
        <v>2</v>
      </c>
      <c r="BB24" s="52">
        <v>3.05</v>
      </c>
      <c r="BC24" s="48">
        <f t="shared" si="12"/>
        <v>0.25508414588262301</v>
      </c>
      <c r="BD24" s="48">
        <f t="shared" si="13"/>
        <v>6.1220195011829528</v>
      </c>
      <c r="BE24" s="48">
        <f t="shared" si="14"/>
        <v>0.71225071225071224</v>
      </c>
    </row>
    <row r="25" spans="1:57">
      <c r="A25" s="15" t="s">
        <v>217</v>
      </c>
      <c r="B25" s="9" t="str">
        <f>"021"</f>
        <v>021</v>
      </c>
      <c r="C25" s="9" t="str">
        <f>"6060 18587 123 4-1"</f>
        <v>6060 18587 123 4-1</v>
      </c>
      <c r="D25" s="9" t="str">
        <f>"1161 R"</f>
        <v>1161 R</v>
      </c>
      <c r="E25" s="10">
        <f t="shared" si="15"/>
        <v>645.44766441358991</v>
      </c>
      <c r="F25" s="11">
        <f t="shared" si="16"/>
        <v>83.856527777777785</v>
      </c>
      <c r="G25" s="11">
        <v>603.76700000000005</v>
      </c>
      <c r="H25" s="11">
        <v>116.233</v>
      </c>
      <c r="I25" s="11">
        <v>389.7</v>
      </c>
      <c r="J25" s="11">
        <v>113.8</v>
      </c>
      <c r="K25" s="11">
        <v>3358874.72</v>
      </c>
      <c r="L25" s="11">
        <v>36226</v>
      </c>
      <c r="M25" s="11">
        <f t="shared" si="17"/>
        <v>92.72</v>
      </c>
      <c r="N25" s="13">
        <v>6</v>
      </c>
      <c r="O25" s="14">
        <v>6.4829999999999997</v>
      </c>
      <c r="P25" s="13">
        <v>29</v>
      </c>
      <c r="Q25" s="14">
        <v>62.9</v>
      </c>
      <c r="R25" s="12">
        <f t="shared" si="18"/>
        <v>2.8819064307920104</v>
      </c>
      <c r="S25" s="12">
        <f t="shared" si="19"/>
        <v>69.165754339008259</v>
      </c>
      <c r="T25" s="12">
        <f t="shared" si="20"/>
        <v>7.4416217603284576</v>
      </c>
      <c r="U25" s="13">
        <v>68</v>
      </c>
      <c r="V25" s="14">
        <v>39</v>
      </c>
      <c r="W25" s="12">
        <f t="shared" si="0"/>
        <v>6.7575736997881624</v>
      </c>
      <c r="X25" s="12">
        <f t="shared" si="1"/>
        <v>162.18176879491591</v>
      </c>
      <c r="Y25" s="12">
        <f t="shared" si="2"/>
        <v>17.449319989735695</v>
      </c>
      <c r="Z25" s="13">
        <v>10</v>
      </c>
      <c r="AA25" s="14">
        <v>7.85</v>
      </c>
      <c r="AB25" s="10">
        <v>0</v>
      </c>
      <c r="AC25" s="12">
        <f t="shared" si="3"/>
        <v>0</v>
      </c>
      <c r="AD25" s="12">
        <f t="shared" si="4"/>
        <v>0</v>
      </c>
      <c r="AE25" s="12">
        <f t="shared" si="5"/>
        <v>0</v>
      </c>
      <c r="AF25" s="13">
        <v>113</v>
      </c>
      <c r="AG25" s="52">
        <v>116.233</v>
      </c>
      <c r="AH25" s="61">
        <v>97</v>
      </c>
      <c r="AI25" s="16">
        <f t="shared" si="21"/>
        <v>9.6394801305801732</v>
      </c>
      <c r="AJ25" s="48">
        <f t="shared" si="22"/>
        <v>231.34752313392417</v>
      </c>
      <c r="AK25" s="48">
        <f t="shared" si="23"/>
        <v>24.890941750064151</v>
      </c>
      <c r="AL25" s="57">
        <v>22</v>
      </c>
      <c r="AM25" s="14">
        <v>10.85</v>
      </c>
      <c r="AN25" s="12">
        <f t="shared" si="24"/>
        <v>2.1862738440491114</v>
      </c>
      <c r="AO25" s="12">
        <f t="shared" si="25"/>
        <v>52.470572257178674</v>
      </c>
      <c r="AP25" s="12">
        <f t="shared" si="26"/>
        <v>5.6453682319733129</v>
      </c>
      <c r="AQ25" s="13">
        <v>44</v>
      </c>
      <c r="AR25" s="14">
        <v>27.183</v>
      </c>
      <c r="AS25" s="12">
        <f t="shared" si="6"/>
        <v>4.3725476880982228</v>
      </c>
      <c r="AT25" s="12">
        <f t="shared" si="7"/>
        <v>104.94114451435735</v>
      </c>
      <c r="AU25" s="12">
        <f t="shared" si="8"/>
        <v>11.290736463946626</v>
      </c>
      <c r="AV25" s="13">
        <v>1</v>
      </c>
      <c r="AW25" s="14">
        <v>0.76700000000000002</v>
      </c>
      <c r="AX25" s="12">
        <f t="shared" si="9"/>
        <v>9.9376083820414157E-2</v>
      </c>
      <c r="AY25" s="12">
        <f t="shared" si="10"/>
        <v>2.38502601168994</v>
      </c>
      <c r="AZ25" s="12">
        <f t="shared" si="11"/>
        <v>0.25660764690787785</v>
      </c>
      <c r="BA25" s="13">
        <v>1</v>
      </c>
      <c r="BB25" s="52">
        <v>0.2</v>
      </c>
      <c r="BC25" s="48">
        <f t="shared" si="12"/>
        <v>9.9376083820414157E-2</v>
      </c>
      <c r="BD25" s="48">
        <f t="shared" si="13"/>
        <v>2.38502601168994</v>
      </c>
      <c r="BE25" s="48">
        <f t="shared" si="14"/>
        <v>0.25660764690787785</v>
      </c>
    </row>
    <row r="26" spans="1:57">
      <c r="A26" s="15" t="s">
        <v>217</v>
      </c>
      <c r="B26" s="9" t="str">
        <f>"022"</f>
        <v>022</v>
      </c>
      <c r="C26" s="9" t="str">
        <f>"6060 18587 126 4-1"</f>
        <v>6060 18587 126 4-1</v>
      </c>
      <c r="D26" s="9" t="str">
        <f>"1154 Z"</f>
        <v>1154 Z</v>
      </c>
      <c r="E26" s="10">
        <f t="shared" si="15"/>
        <v>645.32738350639318</v>
      </c>
      <c r="F26" s="11">
        <f t="shared" si="16"/>
        <v>80.923611111111114</v>
      </c>
      <c r="G26" s="11">
        <v>582.65</v>
      </c>
      <c r="H26" s="11">
        <v>137.35</v>
      </c>
      <c r="I26" s="11">
        <v>376</v>
      </c>
      <c r="J26" s="11">
        <v>109.8</v>
      </c>
      <c r="K26" s="11">
        <v>3188959.98</v>
      </c>
      <c r="L26" s="11">
        <v>34959</v>
      </c>
      <c r="M26" s="11">
        <f t="shared" si="17"/>
        <v>91.22</v>
      </c>
      <c r="N26" s="13">
        <v>4</v>
      </c>
      <c r="O26" s="14">
        <v>12.217000000000001</v>
      </c>
      <c r="P26" s="13">
        <v>33</v>
      </c>
      <c r="Q26" s="14">
        <v>75.082999999999998</v>
      </c>
      <c r="R26" s="12">
        <f t="shared" si="18"/>
        <v>3.3982665408049431</v>
      </c>
      <c r="S26" s="12">
        <f t="shared" si="19"/>
        <v>81.55839697931863</v>
      </c>
      <c r="T26" s="12">
        <f t="shared" si="20"/>
        <v>8.7765957446808507</v>
      </c>
      <c r="U26" s="13">
        <v>65</v>
      </c>
      <c r="V26" s="14">
        <v>46.917000000000002</v>
      </c>
      <c r="W26" s="12">
        <f t="shared" si="0"/>
        <v>6.6935553076460996</v>
      </c>
      <c r="X26" s="12">
        <f t="shared" si="1"/>
        <v>160.64532738350641</v>
      </c>
      <c r="Y26" s="12">
        <f t="shared" si="2"/>
        <v>17.287234042553191</v>
      </c>
      <c r="Z26" s="13">
        <v>1</v>
      </c>
      <c r="AA26" s="14">
        <v>3.133</v>
      </c>
      <c r="AB26" s="10">
        <v>0</v>
      </c>
      <c r="AC26" s="12">
        <f t="shared" si="3"/>
        <v>0</v>
      </c>
      <c r="AD26" s="12">
        <f t="shared" si="4"/>
        <v>0</v>
      </c>
      <c r="AE26" s="12">
        <f t="shared" si="5"/>
        <v>0</v>
      </c>
      <c r="AF26" s="13">
        <v>103</v>
      </c>
      <c r="AG26" s="52">
        <v>137.35</v>
      </c>
      <c r="AH26" s="61">
        <v>98</v>
      </c>
      <c r="AI26" s="16">
        <f t="shared" si="21"/>
        <v>10.091821848451042</v>
      </c>
      <c r="AJ26" s="48">
        <f t="shared" si="22"/>
        <v>242.20372436282503</v>
      </c>
      <c r="AK26" s="48">
        <f t="shared" si="23"/>
        <v>26.063829787234042</v>
      </c>
      <c r="AL26" s="57">
        <v>24</v>
      </c>
      <c r="AM26" s="14">
        <v>15.25</v>
      </c>
      <c r="AN26" s="12">
        <f t="shared" si="24"/>
        <v>2.4714665751308678</v>
      </c>
      <c r="AO26" s="12">
        <f t="shared" si="25"/>
        <v>59.315197803140826</v>
      </c>
      <c r="AP26" s="12">
        <f t="shared" si="26"/>
        <v>6.3829787234042552</v>
      </c>
      <c r="AQ26" s="13">
        <v>26</v>
      </c>
      <c r="AR26" s="14">
        <v>18.850000000000001</v>
      </c>
      <c r="AS26" s="12">
        <f t="shared" si="6"/>
        <v>2.6774221230584399</v>
      </c>
      <c r="AT26" s="12">
        <f t="shared" si="7"/>
        <v>64.258130953402556</v>
      </c>
      <c r="AU26" s="12">
        <f t="shared" si="8"/>
        <v>6.9148936170212769</v>
      </c>
      <c r="AV26" s="13">
        <v>3</v>
      </c>
      <c r="AW26" s="14">
        <v>2.133</v>
      </c>
      <c r="AX26" s="12">
        <f t="shared" si="9"/>
        <v>0.30893332189135847</v>
      </c>
      <c r="AY26" s="12">
        <f t="shared" si="10"/>
        <v>7.4143997253926033</v>
      </c>
      <c r="AZ26" s="12">
        <f t="shared" si="11"/>
        <v>0.7978723404255319</v>
      </c>
      <c r="BA26" s="13">
        <v>12</v>
      </c>
      <c r="BB26" s="52">
        <v>10.683</v>
      </c>
      <c r="BC26" s="48">
        <f t="shared" si="12"/>
        <v>1.2357332875654339</v>
      </c>
      <c r="BD26" s="48">
        <f t="shared" si="13"/>
        <v>29.657598901570413</v>
      </c>
      <c r="BE26" s="48">
        <f t="shared" si="14"/>
        <v>3.1914893617021276</v>
      </c>
    </row>
    <row r="27" spans="1:57">
      <c r="A27" s="15" t="s">
        <v>217</v>
      </c>
      <c r="B27" s="9" t="str">
        <f>"023"</f>
        <v>023</v>
      </c>
      <c r="C27" s="9" t="str">
        <f>"6060 18587 126 4-1"</f>
        <v>6060 18587 126 4-1</v>
      </c>
      <c r="D27" s="9" t="str">
        <f>"1028 Z"</f>
        <v>1028 Z</v>
      </c>
      <c r="E27" s="10">
        <f t="shared" si="15"/>
        <v>598.91693878621993</v>
      </c>
      <c r="F27" s="11">
        <f t="shared" si="16"/>
        <v>82.046250000000001</v>
      </c>
      <c r="G27" s="11">
        <v>590.73299999999995</v>
      </c>
      <c r="H27" s="11">
        <v>129.267</v>
      </c>
      <c r="I27" s="11">
        <v>353.8</v>
      </c>
      <c r="J27" s="11">
        <v>103.3</v>
      </c>
      <c r="K27" s="11">
        <v>3352647.96</v>
      </c>
      <c r="L27" s="11">
        <v>35444</v>
      </c>
      <c r="M27" s="11">
        <f t="shared" si="17"/>
        <v>94.59</v>
      </c>
      <c r="N27" s="13">
        <v>3</v>
      </c>
      <c r="O27" s="14">
        <v>1.2</v>
      </c>
      <c r="P27" s="13">
        <v>48</v>
      </c>
      <c r="Q27" s="14">
        <v>94.016999999999996</v>
      </c>
      <c r="R27" s="12">
        <f t="shared" si="18"/>
        <v>4.8752989929460524</v>
      </c>
      <c r="S27" s="12">
        <f t="shared" si="19"/>
        <v>117.00717583070525</v>
      </c>
      <c r="T27" s="12">
        <f t="shared" si="20"/>
        <v>13.566986998304126</v>
      </c>
      <c r="U27" s="13">
        <v>53</v>
      </c>
      <c r="V27" s="14">
        <v>34.049999999999997</v>
      </c>
      <c r="W27" s="12">
        <f t="shared" si="0"/>
        <v>5.3831426380445997</v>
      </c>
      <c r="X27" s="12">
        <f t="shared" si="1"/>
        <v>129.19542331307039</v>
      </c>
      <c r="Y27" s="12">
        <f t="shared" si="2"/>
        <v>14.980214810627473</v>
      </c>
      <c r="Z27" s="13">
        <v>0</v>
      </c>
      <c r="AA27" s="14">
        <v>0</v>
      </c>
      <c r="AB27" s="10">
        <v>0</v>
      </c>
      <c r="AC27" s="12">
        <f t="shared" si="3"/>
        <v>0</v>
      </c>
      <c r="AD27" s="12">
        <f t="shared" si="4"/>
        <v>0</v>
      </c>
      <c r="AE27" s="12">
        <f t="shared" si="5"/>
        <v>0</v>
      </c>
      <c r="AF27" s="13">
        <v>104</v>
      </c>
      <c r="AG27" s="52">
        <v>129.267</v>
      </c>
      <c r="AH27" s="61">
        <v>101</v>
      </c>
      <c r="AI27" s="16">
        <f t="shared" si="21"/>
        <v>10.258441630990651</v>
      </c>
      <c r="AJ27" s="48">
        <f t="shared" si="22"/>
        <v>246.20259914377564</v>
      </c>
      <c r="AK27" s="48">
        <f t="shared" si="23"/>
        <v>28.5472018089316</v>
      </c>
      <c r="AL27" s="57">
        <v>20</v>
      </c>
      <c r="AM27" s="14">
        <v>16.399999999999999</v>
      </c>
      <c r="AN27" s="12">
        <f t="shared" si="24"/>
        <v>2.0313745803941883</v>
      </c>
      <c r="AO27" s="12">
        <f t="shared" si="25"/>
        <v>48.752989929460519</v>
      </c>
      <c r="AP27" s="12">
        <f t="shared" si="26"/>
        <v>5.6529112492933855</v>
      </c>
      <c r="AQ27" s="13">
        <v>33</v>
      </c>
      <c r="AR27" s="14">
        <v>17.567</v>
      </c>
      <c r="AS27" s="12">
        <f t="shared" si="6"/>
        <v>3.351768057650411</v>
      </c>
      <c r="AT27" s="12">
        <f t="shared" si="7"/>
        <v>80.442433383609867</v>
      </c>
      <c r="AU27" s="12">
        <f t="shared" si="8"/>
        <v>9.3273035613340873</v>
      </c>
      <c r="AV27" s="13">
        <v>0</v>
      </c>
      <c r="AW27" s="14">
        <v>0</v>
      </c>
      <c r="AX27" s="12">
        <f t="shared" si="9"/>
        <v>0</v>
      </c>
      <c r="AY27" s="12">
        <f t="shared" si="10"/>
        <v>0</v>
      </c>
      <c r="AZ27" s="12">
        <f t="shared" si="11"/>
        <v>0</v>
      </c>
      <c r="BA27" s="13">
        <v>0</v>
      </c>
      <c r="BB27" s="52">
        <v>8.3000000000000004E-2</v>
      </c>
      <c r="BC27" s="48">
        <f t="shared" si="12"/>
        <v>0</v>
      </c>
      <c r="BD27" s="48">
        <f t="shared" si="13"/>
        <v>0</v>
      </c>
      <c r="BE27" s="48">
        <f t="shared" si="14"/>
        <v>0</v>
      </c>
    </row>
    <row r="28" spans="1:57">
      <c r="A28" s="15" t="s">
        <v>217</v>
      </c>
      <c r="B28" s="9" t="str">
        <f>"024"</f>
        <v>024</v>
      </c>
      <c r="C28" s="9" t="str">
        <f>"6060 18587 123 4-1"</f>
        <v>6060 18587 123 4-1</v>
      </c>
      <c r="D28" s="9" t="str">
        <f>"1044 R"</f>
        <v>1044 R</v>
      </c>
      <c r="E28" s="10">
        <f t="shared" si="15"/>
        <v>640.6467481457471</v>
      </c>
      <c r="F28" s="11">
        <f t="shared" si="16"/>
        <v>80.127361111111114</v>
      </c>
      <c r="G28" s="11">
        <v>576.91700000000003</v>
      </c>
      <c r="H28" s="11">
        <v>143.083</v>
      </c>
      <c r="I28" s="11">
        <v>369.6</v>
      </c>
      <c r="J28" s="11">
        <v>107.9</v>
      </c>
      <c r="K28" s="11">
        <v>3165887.9</v>
      </c>
      <c r="L28" s="11">
        <v>34615</v>
      </c>
      <c r="M28" s="11">
        <f t="shared" si="17"/>
        <v>91.46</v>
      </c>
      <c r="N28" s="13">
        <v>3</v>
      </c>
      <c r="O28" s="14">
        <v>1.2669999999999999</v>
      </c>
      <c r="P28" s="13">
        <v>38</v>
      </c>
      <c r="Q28" s="14">
        <v>73.099999999999994</v>
      </c>
      <c r="R28" s="12">
        <f t="shared" si="18"/>
        <v>3.9520416281718167</v>
      </c>
      <c r="S28" s="12">
        <f t="shared" si="19"/>
        <v>94.84899907612359</v>
      </c>
      <c r="T28" s="12">
        <f t="shared" si="20"/>
        <v>10.281385281385282</v>
      </c>
      <c r="U28" s="13">
        <v>67</v>
      </c>
      <c r="V28" s="14">
        <v>66.617000000000004</v>
      </c>
      <c r="W28" s="12">
        <f t="shared" si="0"/>
        <v>6.9680733970397819</v>
      </c>
      <c r="X28" s="12">
        <f t="shared" si="1"/>
        <v>167.23376152895477</v>
      </c>
      <c r="Y28" s="12">
        <f t="shared" si="2"/>
        <v>18.127705627705627</v>
      </c>
      <c r="Z28" s="13">
        <v>1</v>
      </c>
      <c r="AA28" s="14">
        <v>2.1</v>
      </c>
      <c r="AB28" s="10">
        <v>0</v>
      </c>
      <c r="AC28" s="12">
        <f t="shared" si="3"/>
        <v>0</v>
      </c>
      <c r="AD28" s="12">
        <f t="shared" si="4"/>
        <v>0</v>
      </c>
      <c r="AE28" s="12">
        <f t="shared" si="5"/>
        <v>0</v>
      </c>
      <c r="AF28" s="13">
        <v>109</v>
      </c>
      <c r="AG28" s="52">
        <v>143.084</v>
      </c>
      <c r="AH28" s="61">
        <v>105</v>
      </c>
      <c r="AI28" s="16">
        <f t="shared" si="21"/>
        <v>10.920115025211599</v>
      </c>
      <c r="AJ28" s="48">
        <f t="shared" si="22"/>
        <v>262.08276060507836</v>
      </c>
      <c r="AK28" s="48">
        <f t="shared" si="23"/>
        <v>28.409090909090907</v>
      </c>
      <c r="AL28" s="57">
        <v>28</v>
      </c>
      <c r="AM28" s="14">
        <v>20</v>
      </c>
      <c r="AN28" s="12">
        <f t="shared" si="24"/>
        <v>2.9120306733897596</v>
      </c>
      <c r="AO28" s="12">
        <f t="shared" si="25"/>
        <v>69.888736161354231</v>
      </c>
      <c r="AP28" s="12">
        <f t="shared" si="26"/>
        <v>7.5757575757575752</v>
      </c>
      <c r="AQ28" s="13">
        <v>10</v>
      </c>
      <c r="AR28" s="14">
        <v>4.5330000000000004</v>
      </c>
      <c r="AS28" s="12">
        <f t="shared" si="6"/>
        <v>1.0400109547820571</v>
      </c>
      <c r="AT28" s="12">
        <f t="shared" si="7"/>
        <v>24.960262914769366</v>
      </c>
      <c r="AU28" s="12">
        <f t="shared" si="8"/>
        <v>2.7056277056277054</v>
      </c>
      <c r="AV28" s="13">
        <v>28</v>
      </c>
      <c r="AW28" s="14">
        <v>41.7</v>
      </c>
      <c r="AX28" s="12">
        <f t="shared" si="9"/>
        <v>2.9120306733897596</v>
      </c>
      <c r="AY28" s="12">
        <f t="shared" si="10"/>
        <v>69.888736161354231</v>
      </c>
      <c r="AZ28" s="12">
        <f t="shared" si="11"/>
        <v>7.5757575757575752</v>
      </c>
      <c r="BA28" s="13">
        <v>1</v>
      </c>
      <c r="BB28" s="52">
        <v>0.38300000000000001</v>
      </c>
      <c r="BC28" s="48">
        <f t="shared" si="12"/>
        <v>0.1040010954782057</v>
      </c>
      <c r="BD28" s="48">
        <f t="shared" si="13"/>
        <v>2.4960262914769369</v>
      </c>
      <c r="BE28" s="48">
        <f t="shared" si="14"/>
        <v>0.27056277056277056</v>
      </c>
    </row>
    <row r="29" spans="1:57">
      <c r="A29" s="15" t="s">
        <v>217</v>
      </c>
      <c r="B29" s="9" t="str">
        <f>"25"</f>
        <v>25</v>
      </c>
      <c r="C29" s="9" t="str">
        <f>"4040 10080 124 1-1"</f>
        <v>4040 10080 124 1-1</v>
      </c>
      <c r="D29" s="9" t="str">
        <f>"1169 Z"</f>
        <v>1169 Z</v>
      </c>
      <c r="E29" s="10">
        <f t="shared" si="15"/>
        <v>798.03137274883966</v>
      </c>
      <c r="F29" s="11">
        <f t="shared" si="16"/>
        <v>92.675972222222242</v>
      </c>
      <c r="G29" s="11">
        <v>667.26700000000005</v>
      </c>
      <c r="H29" s="11">
        <v>52.732999999999997</v>
      </c>
      <c r="I29" s="11">
        <v>532.5</v>
      </c>
      <c r="J29" s="11">
        <v>170.1</v>
      </c>
      <c r="K29" s="11">
        <v>4628561.96</v>
      </c>
      <c r="L29" s="11">
        <v>40036</v>
      </c>
      <c r="M29" s="11">
        <f t="shared" si="17"/>
        <v>115.61</v>
      </c>
      <c r="N29" s="13">
        <v>6</v>
      </c>
      <c r="O29" s="14">
        <v>3.0830000000000002</v>
      </c>
      <c r="P29" s="13">
        <v>19</v>
      </c>
      <c r="Q29" s="14">
        <v>26.817</v>
      </c>
      <c r="R29" s="12">
        <f t="shared" si="18"/>
        <v>1.708461530391882</v>
      </c>
      <c r="S29" s="12">
        <f t="shared" si="19"/>
        <v>41.003076729405166</v>
      </c>
      <c r="T29" s="12">
        <f t="shared" si="20"/>
        <v>3.568075117370892</v>
      </c>
      <c r="U29" s="13">
        <v>28</v>
      </c>
      <c r="V29" s="14">
        <v>20.582999999999998</v>
      </c>
      <c r="W29" s="12">
        <f t="shared" si="0"/>
        <v>2.517732781630142</v>
      </c>
      <c r="X29" s="12">
        <f t="shared" si="1"/>
        <v>60.425586759123405</v>
      </c>
      <c r="Y29" s="12">
        <f t="shared" si="2"/>
        <v>5.258215962441315</v>
      </c>
      <c r="Z29" s="13">
        <v>2</v>
      </c>
      <c r="AA29" s="14">
        <v>2.25</v>
      </c>
      <c r="AB29" s="10">
        <v>0</v>
      </c>
      <c r="AC29" s="12">
        <f t="shared" si="3"/>
        <v>0</v>
      </c>
      <c r="AD29" s="12">
        <f t="shared" si="4"/>
        <v>0</v>
      </c>
      <c r="AE29" s="12">
        <f t="shared" si="5"/>
        <v>0</v>
      </c>
      <c r="AF29" s="13">
        <v>55</v>
      </c>
      <c r="AG29" s="52">
        <v>52.732999999999997</v>
      </c>
      <c r="AH29" s="61">
        <v>47</v>
      </c>
      <c r="AI29" s="16">
        <f t="shared" si="21"/>
        <v>4.2261943120220238</v>
      </c>
      <c r="AJ29" s="48">
        <f t="shared" si="22"/>
        <v>101.42866348852857</v>
      </c>
      <c r="AK29" s="48">
        <f t="shared" si="23"/>
        <v>8.8262910798122061</v>
      </c>
      <c r="AL29" s="57">
        <v>20</v>
      </c>
      <c r="AM29" s="14">
        <v>15.2</v>
      </c>
      <c r="AN29" s="12">
        <f t="shared" si="24"/>
        <v>1.7983805583072441</v>
      </c>
      <c r="AO29" s="12">
        <f t="shared" si="25"/>
        <v>43.16113339937386</v>
      </c>
      <c r="AP29" s="12">
        <f t="shared" si="26"/>
        <v>3.755868544600939</v>
      </c>
      <c r="AQ29" s="13">
        <v>4</v>
      </c>
      <c r="AR29" s="14">
        <v>2.383</v>
      </c>
      <c r="AS29" s="12">
        <f t="shared" si="6"/>
        <v>0.35967611166144886</v>
      </c>
      <c r="AT29" s="12">
        <f t="shared" si="7"/>
        <v>8.6322266798747727</v>
      </c>
      <c r="AU29" s="12">
        <f t="shared" si="8"/>
        <v>0.75117370892018775</v>
      </c>
      <c r="AV29" s="13">
        <v>2</v>
      </c>
      <c r="AW29" s="14">
        <v>1.633</v>
      </c>
      <c r="AX29" s="12">
        <f t="shared" si="9"/>
        <v>0.17983805583072443</v>
      </c>
      <c r="AY29" s="12">
        <f t="shared" si="10"/>
        <v>4.3161133399373863</v>
      </c>
      <c r="AZ29" s="12">
        <f t="shared" si="11"/>
        <v>0.37558685446009388</v>
      </c>
      <c r="BA29" s="13">
        <v>2</v>
      </c>
      <c r="BB29" s="52">
        <v>1.367</v>
      </c>
      <c r="BC29" s="48">
        <f t="shared" si="12"/>
        <v>0.17983805583072443</v>
      </c>
      <c r="BD29" s="48">
        <f t="shared" si="13"/>
        <v>4.3161133399373863</v>
      </c>
      <c r="BE29" s="48">
        <f t="shared" si="14"/>
        <v>0.37558685446009388</v>
      </c>
    </row>
    <row r="30" spans="1:57">
      <c r="A30" s="15" t="s">
        <v>217</v>
      </c>
      <c r="B30" s="9" t="str">
        <f>"26"</f>
        <v>26</v>
      </c>
      <c r="C30" s="9" t="str">
        <f>"6060 173120 108"</f>
        <v>6060 173120 108</v>
      </c>
      <c r="D30" s="9" t="str">
        <f>"1170Z"</f>
        <v>1170Z</v>
      </c>
      <c r="E30" s="10">
        <f t="shared" si="15"/>
        <v>499.41780576234333</v>
      </c>
      <c r="F30" s="11">
        <f t="shared" si="16"/>
        <v>75.504583333333343</v>
      </c>
      <c r="G30" s="11">
        <v>543.63300000000004</v>
      </c>
      <c r="H30" s="11">
        <v>176.36699999999999</v>
      </c>
      <c r="I30" s="11">
        <v>271.5</v>
      </c>
      <c r="J30" s="11">
        <v>57.7</v>
      </c>
      <c r="K30" s="11">
        <v>1880427.7</v>
      </c>
      <c r="L30" s="11">
        <v>32618</v>
      </c>
      <c r="M30" s="11">
        <f t="shared" si="17"/>
        <v>57.65</v>
      </c>
      <c r="N30" s="13">
        <v>8</v>
      </c>
      <c r="O30" s="14">
        <v>3.1</v>
      </c>
      <c r="P30" s="13">
        <v>59</v>
      </c>
      <c r="Q30" s="14">
        <v>119.35</v>
      </c>
      <c r="R30" s="12">
        <f t="shared" si="18"/>
        <v>6.5117459756858027</v>
      </c>
      <c r="S30" s="12">
        <f t="shared" si="19"/>
        <v>156.28190341645924</v>
      </c>
      <c r="T30" s="12">
        <f t="shared" si="20"/>
        <v>21.731123388581953</v>
      </c>
      <c r="U30" s="13">
        <v>68</v>
      </c>
      <c r="V30" s="14">
        <v>53.917000000000002</v>
      </c>
      <c r="W30" s="12">
        <f t="shared" si="0"/>
        <v>7.5050631584175349</v>
      </c>
      <c r="X30" s="12">
        <f t="shared" si="1"/>
        <v>180.12151580202084</v>
      </c>
      <c r="Y30" s="12">
        <f t="shared" si="2"/>
        <v>25.046040515653775</v>
      </c>
      <c r="Z30" s="13">
        <v>0</v>
      </c>
      <c r="AA30" s="14">
        <v>0</v>
      </c>
      <c r="AB30" s="10">
        <v>0</v>
      </c>
      <c r="AC30" s="12">
        <f t="shared" si="3"/>
        <v>0</v>
      </c>
      <c r="AD30" s="12">
        <f t="shared" si="4"/>
        <v>0</v>
      </c>
      <c r="AE30" s="12">
        <f t="shared" si="5"/>
        <v>0</v>
      </c>
      <c r="AF30" s="13">
        <v>135</v>
      </c>
      <c r="AG30" s="52">
        <v>176.36699999999999</v>
      </c>
      <c r="AH30" s="61">
        <v>127</v>
      </c>
      <c r="AI30" s="16">
        <f t="shared" si="21"/>
        <v>14.016809134103337</v>
      </c>
      <c r="AJ30" s="48">
        <f t="shared" si="22"/>
        <v>336.40341921848011</v>
      </c>
      <c r="AK30" s="48">
        <f t="shared" si="23"/>
        <v>46.777163904235728</v>
      </c>
      <c r="AL30" s="57">
        <v>32</v>
      </c>
      <c r="AM30" s="14">
        <v>21.966999999999999</v>
      </c>
      <c r="AN30" s="12">
        <f t="shared" si="24"/>
        <v>3.5317944274906048</v>
      </c>
      <c r="AO30" s="12">
        <f t="shared" si="25"/>
        <v>84.763066259774504</v>
      </c>
      <c r="AP30" s="12">
        <f t="shared" si="26"/>
        <v>11.786372007366483</v>
      </c>
      <c r="AQ30" s="13">
        <v>32</v>
      </c>
      <c r="AR30" s="14">
        <v>26.283000000000001</v>
      </c>
      <c r="AS30" s="12">
        <f t="shared" si="6"/>
        <v>3.5317944274906048</v>
      </c>
      <c r="AT30" s="12">
        <f t="shared" si="7"/>
        <v>84.763066259774504</v>
      </c>
      <c r="AU30" s="12">
        <f t="shared" si="8"/>
        <v>11.786372007366483</v>
      </c>
      <c r="AV30" s="13">
        <v>1</v>
      </c>
      <c r="AW30" s="14">
        <v>1.6830000000000001</v>
      </c>
      <c r="AX30" s="12">
        <f t="shared" si="9"/>
        <v>0.1103685758590814</v>
      </c>
      <c r="AY30" s="12">
        <f t="shared" si="10"/>
        <v>2.6488458206179533</v>
      </c>
      <c r="AZ30" s="12">
        <f t="shared" si="11"/>
        <v>0.36832412523020258</v>
      </c>
      <c r="BA30" s="13">
        <v>3</v>
      </c>
      <c r="BB30" s="52">
        <v>3.9830000000000001</v>
      </c>
      <c r="BC30" s="48">
        <f t="shared" si="12"/>
        <v>0.33110572757724416</v>
      </c>
      <c r="BD30" s="48">
        <f t="shared" si="13"/>
        <v>7.9465374618538602</v>
      </c>
      <c r="BE30" s="48">
        <f t="shared" si="14"/>
        <v>1.1049723756906078</v>
      </c>
    </row>
    <row r="31" spans="1:57">
      <c r="A31" s="15" t="s">
        <v>217</v>
      </c>
      <c r="B31" s="9" t="str">
        <f>"27"</f>
        <v>27</v>
      </c>
      <c r="C31" s="9" t="str">
        <f>"4040 10080 124 1-1"</f>
        <v>4040 10080 124 1-1</v>
      </c>
      <c r="D31" s="9" t="str">
        <f>"1016 Z"</f>
        <v>1016 Z</v>
      </c>
      <c r="E31" s="10">
        <f t="shared" si="15"/>
        <v>768.80644865530269</v>
      </c>
      <c r="F31" s="11">
        <f t="shared" si="16"/>
        <v>92.405138888888885</v>
      </c>
      <c r="G31" s="11">
        <v>665.31700000000001</v>
      </c>
      <c r="H31" s="11">
        <v>54.683</v>
      </c>
      <c r="I31" s="11">
        <v>511.5</v>
      </c>
      <c r="J31" s="11">
        <v>163.5</v>
      </c>
      <c r="K31" s="11">
        <v>4178321.73</v>
      </c>
      <c r="L31" s="11">
        <v>39919</v>
      </c>
      <c r="M31" s="11">
        <f t="shared" si="17"/>
        <v>104.67</v>
      </c>
      <c r="N31" s="13">
        <v>5</v>
      </c>
      <c r="O31" s="14">
        <v>1.633</v>
      </c>
      <c r="P31" s="13">
        <v>23</v>
      </c>
      <c r="Q31" s="14">
        <v>31.266999999999999</v>
      </c>
      <c r="R31" s="12">
        <f t="shared" si="18"/>
        <v>2.0741992163134264</v>
      </c>
      <c r="S31" s="12">
        <f t="shared" si="19"/>
        <v>49.780781191522237</v>
      </c>
      <c r="T31" s="12">
        <f t="shared" si="20"/>
        <v>4.4965786901270768</v>
      </c>
      <c r="U31" s="13">
        <v>33</v>
      </c>
      <c r="V31" s="14">
        <v>21.783000000000001</v>
      </c>
      <c r="W31" s="12">
        <f t="shared" si="0"/>
        <v>2.9760249625366555</v>
      </c>
      <c r="X31" s="12">
        <f t="shared" si="1"/>
        <v>71.424599100879732</v>
      </c>
      <c r="Y31" s="12">
        <f t="shared" si="2"/>
        <v>6.4516129032258061</v>
      </c>
      <c r="Z31" s="13">
        <v>0</v>
      </c>
      <c r="AA31" s="14">
        <v>0</v>
      </c>
      <c r="AB31" s="10">
        <v>0</v>
      </c>
      <c r="AC31" s="12">
        <f t="shared" si="3"/>
        <v>0</v>
      </c>
      <c r="AD31" s="12">
        <f t="shared" si="4"/>
        <v>0</v>
      </c>
      <c r="AE31" s="12">
        <f t="shared" si="5"/>
        <v>0</v>
      </c>
      <c r="AF31" s="13">
        <v>61</v>
      </c>
      <c r="AG31" s="52">
        <v>54.683</v>
      </c>
      <c r="AH31" s="61">
        <v>56</v>
      </c>
      <c r="AI31" s="16">
        <f t="shared" si="21"/>
        <v>5.0502241788500823</v>
      </c>
      <c r="AJ31" s="48">
        <f t="shared" si="22"/>
        <v>121.20538029240197</v>
      </c>
      <c r="AK31" s="48">
        <f t="shared" si="23"/>
        <v>10.948191593352883</v>
      </c>
      <c r="AL31" s="57">
        <v>19</v>
      </c>
      <c r="AM31" s="14">
        <v>13.317</v>
      </c>
      <c r="AN31" s="12">
        <f t="shared" si="24"/>
        <v>1.7134689178241349</v>
      </c>
      <c r="AO31" s="12">
        <f t="shared" si="25"/>
        <v>41.12325402777924</v>
      </c>
      <c r="AP31" s="12">
        <f t="shared" si="26"/>
        <v>3.7145650048875853</v>
      </c>
      <c r="AQ31" s="13">
        <v>12</v>
      </c>
      <c r="AR31" s="14">
        <v>6.5670000000000002</v>
      </c>
      <c r="AS31" s="12">
        <f t="shared" si="6"/>
        <v>1.0821908954678747</v>
      </c>
      <c r="AT31" s="12">
        <f t="shared" si="7"/>
        <v>25.972581491228993</v>
      </c>
      <c r="AU31" s="12">
        <f t="shared" si="8"/>
        <v>2.3460410557184752</v>
      </c>
      <c r="AV31" s="13">
        <v>1</v>
      </c>
      <c r="AW31" s="14">
        <v>0.7</v>
      </c>
      <c r="AX31" s="12">
        <f t="shared" si="9"/>
        <v>9.0182574622322889E-2</v>
      </c>
      <c r="AY31" s="12">
        <f t="shared" si="10"/>
        <v>2.1643817909357495</v>
      </c>
      <c r="AZ31" s="12">
        <f t="shared" si="11"/>
        <v>0.19550342130987292</v>
      </c>
      <c r="BA31" s="13">
        <v>1</v>
      </c>
      <c r="BB31" s="52">
        <v>1.2</v>
      </c>
      <c r="BC31" s="48">
        <f t="shared" si="12"/>
        <v>9.0182574622322889E-2</v>
      </c>
      <c r="BD31" s="48">
        <f t="shared" si="13"/>
        <v>2.1643817909357495</v>
      </c>
      <c r="BE31" s="48">
        <f t="shared" si="14"/>
        <v>0.19550342130987292</v>
      </c>
    </row>
    <row r="32" spans="1:57">
      <c r="A32" s="15" t="s">
        <v>217</v>
      </c>
      <c r="B32" s="9" t="str">
        <f>"28"</f>
        <v>28</v>
      </c>
      <c r="C32" s="9" t="str">
        <f>"4040 11082 124 1-1"</f>
        <v>4040 11082 124 1-1</v>
      </c>
      <c r="D32" s="9" t="str">
        <f>"1040"</f>
        <v>1040</v>
      </c>
      <c r="E32" s="10">
        <f t="shared" si="15"/>
        <v>722.39677778517637</v>
      </c>
      <c r="F32" s="11">
        <f t="shared" si="16"/>
        <v>89.689861111111114</v>
      </c>
      <c r="G32" s="11">
        <v>645.76700000000005</v>
      </c>
      <c r="H32" s="11">
        <v>74.233000000000004</v>
      </c>
      <c r="I32" s="11">
        <v>466.5</v>
      </c>
      <c r="J32" s="11">
        <v>146.30000000000001</v>
      </c>
      <c r="K32" s="11">
        <v>4066392.7</v>
      </c>
      <c r="L32" s="11">
        <v>38746</v>
      </c>
      <c r="M32" s="11">
        <f t="shared" si="17"/>
        <v>104.95</v>
      </c>
      <c r="N32" s="13">
        <v>8</v>
      </c>
      <c r="O32" s="14">
        <v>6.3</v>
      </c>
      <c r="P32" s="13">
        <v>22</v>
      </c>
      <c r="Q32" s="14">
        <v>27.067</v>
      </c>
      <c r="R32" s="12">
        <f t="shared" si="18"/>
        <v>2.0440809146332963</v>
      </c>
      <c r="S32" s="12">
        <f t="shared" si="19"/>
        <v>49.057941951199112</v>
      </c>
      <c r="T32" s="12">
        <f t="shared" si="20"/>
        <v>4.715969989281886</v>
      </c>
      <c r="U32" s="13">
        <v>47</v>
      </c>
      <c r="V32" s="14">
        <v>29.15</v>
      </c>
      <c r="W32" s="12">
        <f t="shared" si="0"/>
        <v>4.366900135807497</v>
      </c>
      <c r="X32" s="12">
        <f t="shared" si="1"/>
        <v>104.80560325937992</v>
      </c>
      <c r="Y32" s="12">
        <f t="shared" si="2"/>
        <v>10.07502679528403</v>
      </c>
      <c r="Z32" s="13">
        <v>12</v>
      </c>
      <c r="AA32" s="14">
        <v>11.715999999999999</v>
      </c>
      <c r="AB32" s="10">
        <v>0</v>
      </c>
      <c r="AC32" s="12">
        <f t="shared" si="3"/>
        <v>0</v>
      </c>
      <c r="AD32" s="12">
        <f t="shared" si="4"/>
        <v>0</v>
      </c>
      <c r="AE32" s="12">
        <f t="shared" si="5"/>
        <v>0</v>
      </c>
      <c r="AF32" s="13">
        <v>89</v>
      </c>
      <c r="AG32" s="52">
        <v>74.233000000000004</v>
      </c>
      <c r="AH32" s="61">
        <v>69</v>
      </c>
      <c r="AI32" s="16">
        <f t="shared" si="21"/>
        <v>6.4109810504407934</v>
      </c>
      <c r="AJ32" s="48">
        <f t="shared" si="22"/>
        <v>153.86354521057905</v>
      </c>
      <c r="AK32" s="48">
        <f t="shared" si="23"/>
        <v>14.790996784565916</v>
      </c>
      <c r="AL32" s="57">
        <v>18</v>
      </c>
      <c r="AM32" s="14">
        <v>10.617000000000001</v>
      </c>
      <c r="AN32" s="12">
        <f t="shared" si="24"/>
        <v>1.6724298392454242</v>
      </c>
      <c r="AO32" s="12">
        <f t="shared" si="25"/>
        <v>40.138316141890186</v>
      </c>
      <c r="AP32" s="12">
        <f t="shared" si="26"/>
        <v>3.8585209003215435</v>
      </c>
      <c r="AQ32" s="13">
        <v>25</v>
      </c>
      <c r="AR32" s="14">
        <v>14.85</v>
      </c>
      <c r="AS32" s="12">
        <f t="shared" si="6"/>
        <v>2.3228192211742003</v>
      </c>
      <c r="AT32" s="12">
        <f t="shared" si="7"/>
        <v>55.74766130818081</v>
      </c>
      <c r="AU32" s="12">
        <f t="shared" si="8"/>
        <v>5.359056806002144</v>
      </c>
      <c r="AV32" s="13">
        <v>0</v>
      </c>
      <c r="AW32" s="14">
        <v>0.15</v>
      </c>
      <c r="AX32" s="12">
        <f t="shared" si="9"/>
        <v>0</v>
      </c>
      <c r="AY32" s="12">
        <f t="shared" si="10"/>
        <v>0</v>
      </c>
      <c r="AZ32" s="12">
        <f t="shared" si="11"/>
        <v>0</v>
      </c>
      <c r="BA32" s="13">
        <v>4</v>
      </c>
      <c r="BB32" s="52">
        <v>3.5329999999999999</v>
      </c>
      <c r="BC32" s="48">
        <f t="shared" si="12"/>
        <v>0.37165107538787207</v>
      </c>
      <c r="BD32" s="48">
        <f t="shared" si="13"/>
        <v>8.9196258093089291</v>
      </c>
      <c r="BE32" s="48">
        <f t="shared" si="14"/>
        <v>0.857449088960343</v>
      </c>
    </row>
    <row r="33" spans="1:57">
      <c r="A33" s="15" t="s">
        <v>217</v>
      </c>
      <c r="B33" s="9" t="str">
        <f>"29"</f>
        <v>29</v>
      </c>
      <c r="C33" s="9" t="str">
        <f>"4040 10080 124 1-1"</f>
        <v>4040 10080 124 1-1</v>
      </c>
      <c r="D33" s="9" t="str">
        <f>"1196 Z"</f>
        <v>1196 Z</v>
      </c>
      <c r="E33" s="10">
        <f t="shared" si="15"/>
        <v>688.65880086684319</v>
      </c>
      <c r="F33" s="11">
        <f t="shared" si="16"/>
        <v>86.520833333333343</v>
      </c>
      <c r="G33" s="11">
        <v>622.95000000000005</v>
      </c>
      <c r="H33" s="11">
        <v>97.05</v>
      </c>
      <c r="I33" s="11">
        <v>429</v>
      </c>
      <c r="J33" s="11">
        <v>138</v>
      </c>
      <c r="K33" s="11">
        <v>3633418.17</v>
      </c>
      <c r="L33" s="11">
        <v>37377</v>
      </c>
      <c r="M33" s="11">
        <f t="shared" si="17"/>
        <v>97.21</v>
      </c>
      <c r="N33" s="13">
        <v>9</v>
      </c>
      <c r="O33" s="14">
        <v>5.35</v>
      </c>
      <c r="P33" s="13">
        <v>35</v>
      </c>
      <c r="Q33" s="14">
        <v>46.3</v>
      </c>
      <c r="R33" s="12">
        <f t="shared" si="18"/>
        <v>3.3710570671803515</v>
      </c>
      <c r="S33" s="12">
        <f t="shared" si="19"/>
        <v>80.905369612328428</v>
      </c>
      <c r="T33" s="12">
        <f t="shared" si="20"/>
        <v>8.1585081585081589</v>
      </c>
      <c r="U33" s="13">
        <v>42</v>
      </c>
      <c r="V33" s="14">
        <v>45.4</v>
      </c>
      <c r="W33" s="12">
        <f t="shared" si="0"/>
        <v>4.0452684806164214</v>
      </c>
      <c r="X33" s="12">
        <f t="shared" si="1"/>
        <v>97.086443534794114</v>
      </c>
      <c r="Y33" s="12">
        <f t="shared" si="2"/>
        <v>9.79020979020979</v>
      </c>
      <c r="Z33" s="13">
        <v>0</v>
      </c>
      <c r="AA33" s="14">
        <v>0</v>
      </c>
      <c r="AB33" s="10">
        <v>0</v>
      </c>
      <c r="AC33" s="12">
        <f t="shared" si="3"/>
        <v>0</v>
      </c>
      <c r="AD33" s="12">
        <f t="shared" si="4"/>
        <v>0</v>
      </c>
      <c r="AE33" s="12">
        <f t="shared" si="5"/>
        <v>0</v>
      </c>
      <c r="AF33" s="13">
        <v>86</v>
      </c>
      <c r="AG33" s="52">
        <v>97.05</v>
      </c>
      <c r="AH33" s="61">
        <v>77</v>
      </c>
      <c r="AI33" s="16">
        <f t="shared" si="21"/>
        <v>7.4163255477967729</v>
      </c>
      <c r="AJ33" s="48">
        <f t="shared" si="22"/>
        <v>177.99181314712254</v>
      </c>
      <c r="AK33" s="48">
        <f t="shared" si="23"/>
        <v>17.948717948717949</v>
      </c>
      <c r="AL33" s="57">
        <v>11</v>
      </c>
      <c r="AM33" s="14">
        <v>9.75</v>
      </c>
      <c r="AN33" s="12">
        <f t="shared" si="24"/>
        <v>1.0594750782566817</v>
      </c>
      <c r="AO33" s="12">
        <f t="shared" si="25"/>
        <v>25.427401878160364</v>
      </c>
      <c r="AP33" s="12">
        <f t="shared" si="26"/>
        <v>2.5641025641025643</v>
      </c>
      <c r="AQ33" s="13">
        <v>4</v>
      </c>
      <c r="AR33" s="14">
        <v>10.967000000000001</v>
      </c>
      <c r="AS33" s="12">
        <f t="shared" si="6"/>
        <v>0.38526366482061158</v>
      </c>
      <c r="AT33" s="12">
        <f t="shared" si="7"/>
        <v>9.246327955694678</v>
      </c>
      <c r="AU33" s="12">
        <f t="shared" si="8"/>
        <v>0.93240093240093236</v>
      </c>
      <c r="AV33" s="13">
        <v>14</v>
      </c>
      <c r="AW33" s="14">
        <v>10.4</v>
      </c>
      <c r="AX33" s="12">
        <f t="shared" si="9"/>
        <v>1.3484228268721405</v>
      </c>
      <c r="AY33" s="12">
        <f t="shared" si="10"/>
        <v>32.362147844931371</v>
      </c>
      <c r="AZ33" s="12">
        <f t="shared" si="11"/>
        <v>3.2634032634032635</v>
      </c>
      <c r="BA33" s="13">
        <v>13</v>
      </c>
      <c r="BB33" s="52">
        <v>14.282999999999999</v>
      </c>
      <c r="BC33" s="48">
        <f t="shared" si="12"/>
        <v>1.2521069106669875</v>
      </c>
      <c r="BD33" s="48">
        <f t="shared" si="13"/>
        <v>30.050565856007704</v>
      </c>
      <c r="BE33" s="48">
        <f t="shared" si="14"/>
        <v>3.0303030303030303</v>
      </c>
    </row>
    <row r="34" spans="1:57">
      <c r="A34" s="15" t="s">
        <v>217</v>
      </c>
      <c r="B34" s="9" t="str">
        <f>"30"</f>
        <v>30</v>
      </c>
      <c r="C34" s="9" t="str">
        <f>"6060 18587 126 4-1"</f>
        <v>6060 18587 126 4-1</v>
      </c>
      <c r="D34" s="9" t="str">
        <f>"1009 Z"</f>
        <v>1009 Z</v>
      </c>
      <c r="E34" s="10">
        <f t="shared" si="15"/>
        <v>597.88617630568172</v>
      </c>
      <c r="F34" s="11">
        <f t="shared" si="16"/>
        <v>79.516249999999999</v>
      </c>
      <c r="G34" s="11">
        <v>572.51700000000005</v>
      </c>
      <c r="H34" s="11">
        <v>147.483</v>
      </c>
      <c r="I34" s="11">
        <v>342.3</v>
      </c>
      <c r="J34" s="11">
        <v>99.9</v>
      </c>
      <c r="K34" s="11">
        <v>3285329.64</v>
      </c>
      <c r="L34" s="11">
        <v>34351</v>
      </c>
      <c r="M34" s="11">
        <f t="shared" si="17"/>
        <v>95.64</v>
      </c>
      <c r="N34" s="13">
        <v>5</v>
      </c>
      <c r="O34" s="14">
        <v>3.5329999999999999</v>
      </c>
      <c r="P34" s="13">
        <v>57</v>
      </c>
      <c r="Q34" s="14">
        <v>74.132999999999996</v>
      </c>
      <c r="R34" s="12">
        <f t="shared" si="18"/>
        <v>5.9736217439831476</v>
      </c>
      <c r="S34" s="12">
        <f t="shared" si="19"/>
        <v>143.36692185559554</v>
      </c>
      <c r="T34" s="12">
        <f t="shared" si="20"/>
        <v>16.652059596844872</v>
      </c>
      <c r="U34" s="13">
        <v>113</v>
      </c>
      <c r="V34" s="14">
        <v>59.883000000000003</v>
      </c>
      <c r="W34" s="12">
        <f t="shared" si="0"/>
        <v>11.842443106492906</v>
      </c>
      <c r="X34" s="12">
        <f t="shared" si="1"/>
        <v>284.21863455582974</v>
      </c>
      <c r="Y34" s="12">
        <f t="shared" si="2"/>
        <v>33.01197779725387</v>
      </c>
      <c r="Z34" s="13">
        <v>8</v>
      </c>
      <c r="AA34" s="14">
        <v>9.9329999999999998</v>
      </c>
      <c r="AB34" s="10">
        <v>0</v>
      </c>
      <c r="AC34" s="12">
        <f t="shared" si="3"/>
        <v>0</v>
      </c>
      <c r="AD34" s="12">
        <f t="shared" si="4"/>
        <v>0</v>
      </c>
      <c r="AE34" s="12">
        <f t="shared" si="5"/>
        <v>0</v>
      </c>
      <c r="AF34" s="13">
        <v>183</v>
      </c>
      <c r="AG34" s="52">
        <v>147.482</v>
      </c>
      <c r="AH34" s="61">
        <v>170</v>
      </c>
      <c r="AI34" s="16">
        <f t="shared" si="21"/>
        <v>17.816064850476053</v>
      </c>
      <c r="AJ34" s="48">
        <f t="shared" si="22"/>
        <v>427.58555641142527</v>
      </c>
      <c r="AK34" s="48">
        <f t="shared" si="23"/>
        <v>49.664037394098742</v>
      </c>
      <c r="AL34" s="57">
        <v>45</v>
      </c>
      <c r="AM34" s="14">
        <v>25.1</v>
      </c>
      <c r="AN34" s="12">
        <f t="shared" si="24"/>
        <v>4.7160171663024846</v>
      </c>
      <c r="AO34" s="12">
        <f t="shared" si="25"/>
        <v>113.18441199125964</v>
      </c>
      <c r="AP34" s="12">
        <f t="shared" si="26"/>
        <v>13.146362839614373</v>
      </c>
      <c r="AQ34" s="13">
        <v>66</v>
      </c>
      <c r="AR34" s="14">
        <v>34.183</v>
      </c>
      <c r="AS34" s="12">
        <f t="shared" si="6"/>
        <v>6.9168251772436449</v>
      </c>
      <c r="AT34" s="12">
        <f t="shared" si="7"/>
        <v>166.00380425384748</v>
      </c>
      <c r="AU34" s="12">
        <f t="shared" si="8"/>
        <v>19.281332164767747</v>
      </c>
      <c r="AV34" s="13">
        <v>2</v>
      </c>
      <c r="AW34" s="14">
        <v>0.6</v>
      </c>
      <c r="AX34" s="12">
        <f t="shared" si="9"/>
        <v>0.2096007629467771</v>
      </c>
      <c r="AY34" s="12">
        <f t="shared" si="10"/>
        <v>5.0304183107226503</v>
      </c>
      <c r="AZ34" s="12">
        <f t="shared" si="11"/>
        <v>0.58428279287174989</v>
      </c>
      <c r="BA34" s="13">
        <v>0</v>
      </c>
      <c r="BB34" s="52">
        <v>0</v>
      </c>
      <c r="BC34" s="48">
        <f t="shared" si="12"/>
        <v>0</v>
      </c>
      <c r="BD34" s="48">
        <f t="shared" si="13"/>
        <v>0</v>
      </c>
      <c r="BE34" s="48">
        <f t="shared" si="14"/>
        <v>0</v>
      </c>
    </row>
    <row r="35" spans="1:57">
      <c r="A35" s="15" t="s">
        <v>217</v>
      </c>
      <c r="B35" s="9" t="str">
        <f>"31"</f>
        <v>31</v>
      </c>
      <c r="C35" s="9" t="str">
        <f>"6060 135115 102 1-1"</f>
        <v>6060 135115 102 1-1</v>
      </c>
      <c r="D35" s="9" t="str">
        <f>"1060 Z"</f>
        <v>1060 Z</v>
      </c>
      <c r="E35" s="10">
        <f t="shared" si="15"/>
        <v>631.24445758202774</v>
      </c>
      <c r="F35" s="11">
        <f t="shared" si="16"/>
        <v>93.972222222222229</v>
      </c>
      <c r="G35" s="11">
        <v>676.6</v>
      </c>
      <c r="H35" s="11">
        <v>43.4</v>
      </c>
      <c r="I35" s="11">
        <v>427.1</v>
      </c>
      <c r="J35" s="11">
        <v>95.6</v>
      </c>
      <c r="K35" s="11">
        <v>2494218.2400000002</v>
      </c>
      <c r="L35" s="11">
        <v>40596</v>
      </c>
      <c r="M35" s="11">
        <f t="shared" si="17"/>
        <v>61.440000000000005</v>
      </c>
      <c r="N35" s="13">
        <v>5</v>
      </c>
      <c r="O35" s="14">
        <v>3.9169999999999998</v>
      </c>
      <c r="P35" s="13">
        <v>6</v>
      </c>
      <c r="Q35" s="14">
        <v>7.0670000000000002</v>
      </c>
      <c r="R35" s="12">
        <f t="shared" si="18"/>
        <v>0.53207212533254511</v>
      </c>
      <c r="S35" s="12">
        <f t="shared" si="19"/>
        <v>12.769731007981081</v>
      </c>
      <c r="T35" s="12">
        <f t="shared" si="20"/>
        <v>1.4048232264106766</v>
      </c>
      <c r="U35" s="13">
        <v>50</v>
      </c>
      <c r="V35" s="14">
        <v>27.5</v>
      </c>
      <c r="W35" s="12">
        <f t="shared" si="0"/>
        <v>4.4339343777712088</v>
      </c>
      <c r="X35" s="12">
        <f t="shared" si="1"/>
        <v>106.41442506650901</v>
      </c>
      <c r="Y35" s="12">
        <f t="shared" si="2"/>
        <v>11.706860220088972</v>
      </c>
      <c r="Z35" s="13">
        <v>5</v>
      </c>
      <c r="AA35" s="14">
        <v>4.9160000000000004</v>
      </c>
      <c r="AB35" s="10">
        <v>0</v>
      </c>
      <c r="AC35" s="12">
        <f t="shared" si="3"/>
        <v>0</v>
      </c>
      <c r="AD35" s="12">
        <f t="shared" si="4"/>
        <v>0</v>
      </c>
      <c r="AE35" s="12">
        <f t="shared" si="5"/>
        <v>0</v>
      </c>
      <c r="AF35" s="13">
        <v>66</v>
      </c>
      <c r="AG35" s="52">
        <v>43.4</v>
      </c>
      <c r="AH35" s="61">
        <v>56</v>
      </c>
      <c r="AI35" s="16">
        <f t="shared" si="21"/>
        <v>4.9660065031037535</v>
      </c>
      <c r="AJ35" s="48">
        <f t="shared" si="22"/>
        <v>119.18415607449009</v>
      </c>
      <c r="AK35" s="48">
        <f t="shared" si="23"/>
        <v>13.111683446499647</v>
      </c>
      <c r="AL35" s="57">
        <v>10</v>
      </c>
      <c r="AM35" s="14">
        <v>6.2169999999999996</v>
      </c>
      <c r="AN35" s="12">
        <f t="shared" si="24"/>
        <v>0.88678687555424174</v>
      </c>
      <c r="AO35" s="12">
        <f t="shared" si="25"/>
        <v>21.282885013301801</v>
      </c>
      <c r="AP35" s="12">
        <f t="shared" si="26"/>
        <v>2.3413720440177941</v>
      </c>
      <c r="AQ35" s="13">
        <v>29</v>
      </c>
      <c r="AR35" s="14">
        <v>13.083</v>
      </c>
      <c r="AS35" s="12">
        <f t="shared" si="6"/>
        <v>2.5716819391073011</v>
      </c>
      <c r="AT35" s="12">
        <f t="shared" si="7"/>
        <v>61.720366538575227</v>
      </c>
      <c r="AU35" s="12">
        <f t="shared" si="8"/>
        <v>6.7899789276516032</v>
      </c>
      <c r="AV35" s="13">
        <v>11</v>
      </c>
      <c r="AW35" s="14">
        <v>5.55</v>
      </c>
      <c r="AX35" s="12">
        <f t="shared" si="9"/>
        <v>0.97546556310966592</v>
      </c>
      <c r="AY35" s="12">
        <f t="shared" si="10"/>
        <v>23.411173514631983</v>
      </c>
      <c r="AZ35" s="12">
        <f t="shared" si="11"/>
        <v>2.5755092484195736</v>
      </c>
      <c r="BA35" s="13">
        <v>0</v>
      </c>
      <c r="BB35" s="52">
        <v>2.65</v>
      </c>
      <c r="BC35" s="48">
        <f t="shared" si="12"/>
        <v>0</v>
      </c>
      <c r="BD35" s="48">
        <f t="shared" si="13"/>
        <v>0</v>
      </c>
      <c r="BE35" s="48">
        <f t="shared" si="14"/>
        <v>0</v>
      </c>
    </row>
    <row r="36" spans="1:57">
      <c r="A36" s="15" t="s">
        <v>217</v>
      </c>
      <c r="B36" s="9" t="str">
        <f>"32"</f>
        <v>32</v>
      </c>
      <c r="C36" s="9" t="str">
        <f>"4040 14085 104 4-1"</f>
        <v>4040 14085 104 4-1</v>
      </c>
      <c r="D36" s="9" t="str">
        <f>"1080 Z"</f>
        <v>1080 Z</v>
      </c>
      <c r="E36" s="10">
        <f t="shared" si="15"/>
        <v>646.52751423149903</v>
      </c>
      <c r="F36" s="11">
        <f t="shared" si="16"/>
        <v>91.493055555555557</v>
      </c>
      <c r="G36" s="11">
        <v>658.75</v>
      </c>
      <c r="H36" s="11">
        <v>61.25</v>
      </c>
      <c r="I36" s="11">
        <v>425.9</v>
      </c>
      <c r="J36" s="11">
        <v>128</v>
      </c>
      <c r="K36" s="11">
        <v>2782560</v>
      </c>
      <c r="L36" s="11">
        <v>39525</v>
      </c>
      <c r="M36" s="11">
        <f t="shared" si="17"/>
        <v>70.400000000000006</v>
      </c>
      <c r="N36" s="13">
        <v>5</v>
      </c>
      <c r="O36" s="14">
        <v>5.0170000000000003</v>
      </c>
      <c r="P36" s="13">
        <v>7</v>
      </c>
      <c r="Q36" s="14">
        <v>11.45</v>
      </c>
      <c r="R36" s="12">
        <f t="shared" si="18"/>
        <v>0.63757115749525617</v>
      </c>
      <c r="S36" s="12">
        <f t="shared" si="19"/>
        <v>15.301707779886147</v>
      </c>
      <c r="T36" s="12">
        <f t="shared" si="20"/>
        <v>1.6435783047663772</v>
      </c>
      <c r="U36" s="13">
        <v>57</v>
      </c>
      <c r="V36" s="14">
        <v>39.183</v>
      </c>
      <c r="W36" s="12">
        <f t="shared" si="0"/>
        <v>5.1916508538899429</v>
      </c>
      <c r="X36" s="12">
        <f t="shared" si="1"/>
        <v>124.59962049335863</v>
      </c>
      <c r="Y36" s="12">
        <f t="shared" si="2"/>
        <v>13.383423338811928</v>
      </c>
      <c r="Z36" s="13">
        <v>4</v>
      </c>
      <c r="AA36" s="14">
        <v>5.6</v>
      </c>
      <c r="AB36" s="10">
        <v>1</v>
      </c>
      <c r="AC36" s="12">
        <f t="shared" si="3"/>
        <v>9.1081593927893736E-2</v>
      </c>
      <c r="AD36" s="12">
        <f t="shared" si="4"/>
        <v>2.1859582542694498</v>
      </c>
      <c r="AE36" s="12">
        <f t="shared" si="5"/>
        <v>0.23479690068091102</v>
      </c>
      <c r="AF36" s="13">
        <v>73</v>
      </c>
      <c r="AG36" s="52">
        <v>61.25</v>
      </c>
      <c r="AH36" s="61">
        <v>65</v>
      </c>
      <c r="AI36" s="16">
        <f t="shared" si="21"/>
        <v>5.9203036053130926</v>
      </c>
      <c r="AJ36" s="48">
        <f t="shared" si="22"/>
        <v>142.08728652751424</v>
      </c>
      <c r="AK36" s="48">
        <f t="shared" si="23"/>
        <v>15.261798544259216</v>
      </c>
      <c r="AL36" s="57">
        <v>19</v>
      </c>
      <c r="AM36" s="14">
        <v>14.882999999999999</v>
      </c>
      <c r="AN36" s="12">
        <f t="shared" si="24"/>
        <v>1.730550284629981</v>
      </c>
      <c r="AO36" s="12">
        <f t="shared" si="25"/>
        <v>41.533206831119543</v>
      </c>
      <c r="AP36" s="12">
        <f t="shared" si="26"/>
        <v>4.4611411129373097</v>
      </c>
      <c r="AQ36" s="13">
        <v>36</v>
      </c>
      <c r="AR36" s="14">
        <v>23.582999999999998</v>
      </c>
      <c r="AS36" s="12">
        <f t="shared" si="6"/>
        <v>3.2789373814041745</v>
      </c>
      <c r="AT36" s="12">
        <f t="shared" si="7"/>
        <v>78.694497153700183</v>
      </c>
      <c r="AU36" s="12">
        <f t="shared" si="8"/>
        <v>8.4526884245127967</v>
      </c>
      <c r="AV36" s="13">
        <v>2</v>
      </c>
      <c r="AW36" s="14">
        <v>0.71699999999999997</v>
      </c>
      <c r="AX36" s="12">
        <f t="shared" si="9"/>
        <v>0.18216318785578747</v>
      </c>
      <c r="AY36" s="12">
        <f t="shared" si="10"/>
        <v>4.3719165085388996</v>
      </c>
      <c r="AZ36" s="12">
        <f t="shared" si="11"/>
        <v>0.46959380136182205</v>
      </c>
      <c r="BA36" s="13">
        <v>0</v>
      </c>
      <c r="BB36" s="52">
        <v>0</v>
      </c>
      <c r="BC36" s="48">
        <f t="shared" si="12"/>
        <v>0</v>
      </c>
      <c r="BD36" s="48">
        <f t="shared" si="13"/>
        <v>0</v>
      </c>
      <c r="BE36" s="48">
        <f t="shared" si="14"/>
        <v>0</v>
      </c>
    </row>
    <row r="37" spans="1:57">
      <c r="A37" s="15" t="s">
        <v>217</v>
      </c>
      <c r="B37" s="9" t="str">
        <f>"33"</f>
        <v>33</v>
      </c>
      <c r="C37" s="9" t="str">
        <f>"4040 127121 106 2-1"</f>
        <v>4040 127121 106 2-1</v>
      </c>
      <c r="D37" s="9" t="str">
        <f>"1087 Z"</f>
        <v>1087 Z</v>
      </c>
      <c r="E37" s="10">
        <f t="shared" si="15"/>
        <v>613.24454310025897</v>
      </c>
      <c r="F37" s="11">
        <f t="shared" si="16"/>
        <v>93.854166666666671</v>
      </c>
      <c r="G37" s="11">
        <v>675.75</v>
      </c>
      <c r="H37" s="11">
        <v>44.25</v>
      </c>
      <c r="I37" s="11">
        <v>414.4</v>
      </c>
      <c r="J37" s="11">
        <v>87.7</v>
      </c>
      <c r="K37" s="11">
        <v>2538117</v>
      </c>
      <c r="L37" s="11">
        <v>40545</v>
      </c>
      <c r="M37" s="11">
        <f t="shared" si="17"/>
        <v>62.6</v>
      </c>
      <c r="N37" s="13">
        <v>4</v>
      </c>
      <c r="O37" s="14">
        <v>2.367</v>
      </c>
      <c r="P37" s="13">
        <v>14</v>
      </c>
      <c r="Q37" s="14">
        <v>17.3</v>
      </c>
      <c r="R37" s="12">
        <f t="shared" si="18"/>
        <v>1.2430632630410654</v>
      </c>
      <c r="S37" s="12">
        <f t="shared" si="19"/>
        <v>29.833518312985571</v>
      </c>
      <c r="T37" s="12">
        <f t="shared" si="20"/>
        <v>3.3783783783783785</v>
      </c>
      <c r="U37" s="13">
        <v>43</v>
      </c>
      <c r="V37" s="14">
        <v>23.283000000000001</v>
      </c>
      <c r="W37" s="12">
        <f t="shared" si="0"/>
        <v>3.8179800221975584</v>
      </c>
      <c r="X37" s="12">
        <f t="shared" si="1"/>
        <v>91.631520532741405</v>
      </c>
      <c r="Y37" s="12">
        <f t="shared" si="2"/>
        <v>10.376447876447877</v>
      </c>
      <c r="Z37" s="13">
        <v>1</v>
      </c>
      <c r="AA37" s="14">
        <v>1.3</v>
      </c>
      <c r="AB37" s="10">
        <v>0</v>
      </c>
      <c r="AC37" s="12">
        <f t="shared" si="3"/>
        <v>0</v>
      </c>
      <c r="AD37" s="12">
        <f t="shared" si="4"/>
        <v>0</v>
      </c>
      <c r="AE37" s="12">
        <f t="shared" si="5"/>
        <v>0</v>
      </c>
      <c r="AF37" s="13">
        <v>62</v>
      </c>
      <c r="AG37" s="52">
        <v>44.25</v>
      </c>
      <c r="AH37" s="61">
        <v>57</v>
      </c>
      <c r="AI37" s="16">
        <f t="shared" si="21"/>
        <v>5.0610432852386236</v>
      </c>
      <c r="AJ37" s="48">
        <f t="shared" si="22"/>
        <v>121.46503884572697</v>
      </c>
      <c r="AK37" s="48">
        <f t="shared" si="23"/>
        <v>13.754826254826256</v>
      </c>
      <c r="AL37" s="57">
        <v>25</v>
      </c>
      <c r="AM37" s="14">
        <v>13.667</v>
      </c>
      <c r="AN37" s="12">
        <f t="shared" si="24"/>
        <v>2.2197558268590454</v>
      </c>
      <c r="AO37" s="12">
        <f t="shared" si="25"/>
        <v>53.274139844617089</v>
      </c>
      <c r="AP37" s="12">
        <f t="shared" si="26"/>
        <v>6.0328185328185331</v>
      </c>
      <c r="AQ37" s="13">
        <v>16</v>
      </c>
      <c r="AR37" s="14">
        <v>9.25</v>
      </c>
      <c r="AS37" s="12">
        <f t="shared" si="6"/>
        <v>1.4206437291897891</v>
      </c>
      <c r="AT37" s="12">
        <f t="shared" si="7"/>
        <v>34.095449500554942</v>
      </c>
      <c r="AU37" s="12">
        <f t="shared" si="8"/>
        <v>3.8610038610038613</v>
      </c>
      <c r="AV37" s="13">
        <v>1</v>
      </c>
      <c r="AW37" s="14">
        <v>0.2</v>
      </c>
      <c r="AX37" s="12">
        <f t="shared" si="9"/>
        <v>8.8790233074361818E-2</v>
      </c>
      <c r="AY37" s="12">
        <f t="shared" si="10"/>
        <v>2.1309655937846839</v>
      </c>
      <c r="AZ37" s="12">
        <f t="shared" si="11"/>
        <v>0.24131274131274133</v>
      </c>
      <c r="BA37" s="13">
        <v>1</v>
      </c>
      <c r="BB37" s="52">
        <v>0.16700000000000001</v>
      </c>
      <c r="BC37" s="48">
        <f t="shared" si="12"/>
        <v>8.8790233074361818E-2</v>
      </c>
      <c r="BD37" s="48">
        <f t="shared" si="13"/>
        <v>2.1309655937846839</v>
      </c>
      <c r="BE37" s="48">
        <f t="shared" si="14"/>
        <v>0.24131274131274133</v>
      </c>
    </row>
    <row r="38" spans="1:57">
      <c r="A38" s="15" t="s">
        <v>217</v>
      </c>
      <c r="B38" s="9" t="str">
        <f>"34"</f>
        <v>34</v>
      </c>
      <c r="C38" s="9" t="str">
        <f>"8080 9088 46x2 1-1"</f>
        <v>8080 9088 46x2 1-1</v>
      </c>
      <c r="D38" s="9" t="str">
        <f>"1075 Z"</f>
        <v>1075 Z</v>
      </c>
      <c r="E38" s="10">
        <f t="shared" si="15"/>
        <v>807.85604439539577</v>
      </c>
      <c r="F38" s="11">
        <f t="shared" si="16"/>
        <v>92.752361111111114</v>
      </c>
      <c r="G38" s="11">
        <v>667.81700000000001</v>
      </c>
      <c r="H38" s="11">
        <v>52.183</v>
      </c>
      <c r="I38" s="11">
        <v>539.5</v>
      </c>
      <c r="J38" s="11">
        <v>155.69999999999999</v>
      </c>
      <c r="K38" s="11">
        <v>2808035.52</v>
      </c>
      <c r="L38" s="11">
        <v>40069</v>
      </c>
      <c r="M38" s="11">
        <f t="shared" si="17"/>
        <v>70.08</v>
      </c>
      <c r="N38" s="13">
        <v>3</v>
      </c>
      <c r="O38" s="14">
        <v>0.86699999999999999</v>
      </c>
      <c r="P38" s="13">
        <v>11</v>
      </c>
      <c r="Q38" s="14">
        <v>21.417000000000002</v>
      </c>
      <c r="R38" s="12">
        <f t="shared" si="18"/>
        <v>0.98829469749946464</v>
      </c>
      <c r="S38" s="12">
        <f t="shared" si="19"/>
        <v>23.719072739987151</v>
      </c>
      <c r="T38" s="12">
        <f t="shared" si="20"/>
        <v>2.0389249304911954</v>
      </c>
      <c r="U38" s="13">
        <v>27</v>
      </c>
      <c r="V38" s="14">
        <v>22.167000000000002</v>
      </c>
      <c r="W38" s="12">
        <f t="shared" si="0"/>
        <v>2.4258142574986858</v>
      </c>
      <c r="X38" s="12">
        <f t="shared" si="1"/>
        <v>58.219542179968464</v>
      </c>
      <c r="Y38" s="12">
        <f t="shared" si="2"/>
        <v>5.0046339202965706</v>
      </c>
      <c r="Z38" s="13">
        <v>5</v>
      </c>
      <c r="AA38" s="14">
        <v>7.7329999999999997</v>
      </c>
      <c r="AB38" s="10">
        <v>1</v>
      </c>
      <c r="AC38" s="12">
        <f t="shared" si="3"/>
        <v>8.9844972499951339E-2</v>
      </c>
      <c r="AD38" s="12">
        <f t="shared" si="4"/>
        <v>2.1562793399988318</v>
      </c>
      <c r="AE38" s="12">
        <f t="shared" si="5"/>
        <v>0.18535681186283595</v>
      </c>
      <c r="AF38" s="13">
        <v>46</v>
      </c>
      <c r="AG38" s="52">
        <v>52.183999999999997</v>
      </c>
      <c r="AH38" s="61">
        <v>39</v>
      </c>
      <c r="AI38" s="16">
        <f t="shared" si="21"/>
        <v>3.503953927498102</v>
      </c>
      <c r="AJ38" s="48">
        <f t="shared" si="22"/>
        <v>84.094894259954444</v>
      </c>
      <c r="AK38" s="48">
        <f t="shared" si="23"/>
        <v>7.2289156626506026</v>
      </c>
      <c r="AL38" s="57">
        <v>9</v>
      </c>
      <c r="AM38" s="14">
        <v>4.95</v>
      </c>
      <c r="AN38" s="12">
        <f t="shared" si="24"/>
        <v>0.80860475249956199</v>
      </c>
      <c r="AO38" s="12">
        <f t="shared" si="25"/>
        <v>19.406514059989487</v>
      </c>
      <c r="AP38" s="12">
        <f t="shared" si="26"/>
        <v>1.6682113067655235</v>
      </c>
      <c r="AQ38" s="13">
        <v>10</v>
      </c>
      <c r="AR38" s="14">
        <v>4.367</v>
      </c>
      <c r="AS38" s="12">
        <f t="shared" si="6"/>
        <v>0.89844972499951337</v>
      </c>
      <c r="AT38" s="12">
        <f t="shared" si="7"/>
        <v>21.562793399988319</v>
      </c>
      <c r="AU38" s="12">
        <f t="shared" si="8"/>
        <v>1.8535681186283597</v>
      </c>
      <c r="AV38" s="13">
        <v>4</v>
      </c>
      <c r="AW38" s="14">
        <v>4.867</v>
      </c>
      <c r="AX38" s="12">
        <f t="shared" si="9"/>
        <v>0.35937988999980536</v>
      </c>
      <c r="AY38" s="12">
        <f t="shared" si="10"/>
        <v>8.6251173599953272</v>
      </c>
      <c r="AZ38" s="12">
        <f t="shared" si="11"/>
        <v>0.74142724745134381</v>
      </c>
      <c r="BA38" s="13">
        <v>4</v>
      </c>
      <c r="BB38" s="52">
        <v>7.9829999999999997</v>
      </c>
      <c r="BC38" s="48">
        <f t="shared" si="12"/>
        <v>0.35937988999980536</v>
      </c>
      <c r="BD38" s="48">
        <f t="shared" si="13"/>
        <v>8.6251173599953272</v>
      </c>
      <c r="BE38" s="48">
        <f t="shared" si="14"/>
        <v>0.74142724745134381</v>
      </c>
    </row>
    <row r="39" spans="1:57">
      <c r="A39" s="15" t="s">
        <v>217</v>
      </c>
      <c r="B39" s="9" t="str">
        <f>"35"</f>
        <v>35</v>
      </c>
      <c r="C39" s="9" t="str">
        <f>"3030 7674 72 1-1"</f>
        <v>3030 7674 72 1-1</v>
      </c>
      <c r="D39" s="9" t="str">
        <f>"1128 R"</f>
        <v>1128 R</v>
      </c>
      <c r="E39" s="10">
        <f t="shared" si="15"/>
        <v>956.33925950806531</v>
      </c>
      <c r="F39" s="11">
        <f t="shared" si="16"/>
        <v>88.488472222222214</v>
      </c>
      <c r="G39" s="11">
        <v>637.11699999999996</v>
      </c>
      <c r="H39" s="11">
        <v>82.882999999999996</v>
      </c>
      <c r="I39" s="11">
        <v>609.29999999999995</v>
      </c>
      <c r="J39" s="11">
        <v>212</v>
      </c>
      <c r="K39" s="11">
        <v>2489724.5099999998</v>
      </c>
      <c r="L39" s="11">
        <v>38227</v>
      </c>
      <c r="M39" s="11">
        <f t="shared" si="17"/>
        <v>65.13</v>
      </c>
      <c r="N39" s="13">
        <v>6</v>
      </c>
      <c r="O39" s="14">
        <v>4.9169999999999998</v>
      </c>
      <c r="P39" s="13">
        <v>23</v>
      </c>
      <c r="Q39" s="14">
        <v>36.017000000000003</v>
      </c>
      <c r="R39" s="12">
        <f t="shared" si="18"/>
        <v>2.1660071854934024</v>
      </c>
      <c r="S39" s="12">
        <f t="shared" si="19"/>
        <v>51.984172451841658</v>
      </c>
      <c r="T39" s="12">
        <f t="shared" si="20"/>
        <v>3.7748235680288857</v>
      </c>
      <c r="U39" s="13">
        <v>39</v>
      </c>
      <c r="V39" s="14">
        <v>37.35</v>
      </c>
      <c r="W39" s="12">
        <f t="shared" si="0"/>
        <v>3.6727947927931606</v>
      </c>
      <c r="X39" s="12">
        <f t="shared" si="1"/>
        <v>88.147075027035854</v>
      </c>
      <c r="Y39" s="12">
        <f t="shared" si="2"/>
        <v>6.4007877892663716</v>
      </c>
      <c r="Z39" s="13">
        <v>4</v>
      </c>
      <c r="AA39" s="14">
        <v>4.5999999999999996</v>
      </c>
      <c r="AB39" s="10">
        <v>0</v>
      </c>
      <c r="AC39" s="12">
        <f t="shared" si="3"/>
        <v>0</v>
      </c>
      <c r="AD39" s="12">
        <f t="shared" si="4"/>
        <v>0</v>
      </c>
      <c r="AE39" s="12">
        <f t="shared" si="5"/>
        <v>0</v>
      </c>
      <c r="AF39" s="13">
        <v>72</v>
      </c>
      <c r="AG39" s="52">
        <v>82.884</v>
      </c>
      <c r="AH39" s="61">
        <v>62</v>
      </c>
      <c r="AI39" s="16">
        <f t="shared" si="21"/>
        <v>5.838801978286563</v>
      </c>
      <c r="AJ39" s="48">
        <f t="shared" si="22"/>
        <v>140.13124747887753</v>
      </c>
      <c r="AK39" s="48">
        <f t="shared" si="23"/>
        <v>10.175611357295258</v>
      </c>
      <c r="AL39" s="57">
        <v>22</v>
      </c>
      <c r="AM39" s="14">
        <v>16.233000000000001</v>
      </c>
      <c r="AN39" s="12">
        <f t="shared" si="24"/>
        <v>2.0718329600371677</v>
      </c>
      <c r="AO39" s="12">
        <f t="shared" si="25"/>
        <v>49.723991040892024</v>
      </c>
      <c r="AP39" s="12">
        <f t="shared" si="26"/>
        <v>3.6107008042015432</v>
      </c>
      <c r="AQ39" s="13">
        <v>11</v>
      </c>
      <c r="AR39" s="14">
        <v>7.383</v>
      </c>
      <c r="AS39" s="12">
        <f t="shared" si="6"/>
        <v>1.0359164800185838</v>
      </c>
      <c r="AT39" s="12">
        <f t="shared" si="7"/>
        <v>24.861995520446012</v>
      </c>
      <c r="AU39" s="12">
        <f t="shared" si="8"/>
        <v>1.8053504021007716</v>
      </c>
      <c r="AV39" s="13">
        <v>0</v>
      </c>
      <c r="AW39" s="14">
        <v>0</v>
      </c>
      <c r="AX39" s="12">
        <f t="shared" si="9"/>
        <v>0</v>
      </c>
      <c r="AY39" s="12">
        <f t="shared" si="10"/>
        <v>0</v>
      </c>
      <c r="AZ39" s="12">
        <f t="shared" si="11"/>
        <v>0</v>
      </c>
      <c r="BA39" s="13">
        <v>6</v>
      </c>
      <c r="BB39" s="52">
        <v>13.733000000000001</v>
      </c>
      <c r="BC39" s="48">
        <f t="shared" si="12"/>
        <v>0.5650453527374093</v>
      </c>
      <c r="BD39" s="48">
        <f t="shared" si="13"/>
        <v>13.561088465697823</v>
      </c>
      <c r="BE39" s="48">
        <f t="shared" si="14"/>
        <v>0.98473658296405719</v>
      </c>
    </row>
    <row r="40" spans="1:57">
      <c r="A40" s="15" t="s">
        <v>217</v>
      </c>
      <c r="B40" s="9" t="str">
        <f>"36"</f>
        <v>36</v>
      </c>
      <c r="C40" s="9" t="str">
        <f>"4040 11085 75 1-1"</f>
        <v>4040 11085 75 1-1</v>
      </c>
      <c r="D40" s="9" t="str">
        <f>"1138 Z"</f>
        <v>1138 Z</v>
      </c>
      <c r="E40" s="10">
        <f t="shared" si="15"/>
        <v>945.01718213058427</v>
      </c>
      <c r="F40" s="11">
        <f t="shared" si="16"/>
        <v>76.791666666666671</v>
      </c>
      <c r="G40" s="11">
        <v>552.9</v>
      </c>
      <c r="H40" s="11">
        <v>167.1</v>
      </c>
      <c r="I40" s="11">
        <v>522.5</v>
      </c>
      <c r="J40" s="11">
        <v>158.4</v>
      </c>
      <c r="K40" s="11">
        <v>2448241.2000000002</v>
      </c>
      <c r="L40" s="11">
        <v>33174</v>
      </c>
      <c r="M40" s="11">
        <f t="shared" si="17"/>
        <v>73.800000000000011</v>
      </c>
      <c r="N40" s="13">
        <v>5</v>
      </c>
      <c r="O40" s="14">
        <v>0.88300000000000001</v>
      </c>
      <c r="P40" s="13">
        <v>30</v>
      </c>
      <c r="Q40" s="14">
        <v>57.732999999999997</v>
      </c>
      <c r="R40" s="12">
        <f t="shared" si="18"/>
        <v>3.2555615843733046</v>
      </c>
      <c r="S40" s="12">
        <f t="shared" si="19"/>
        <v>78.133478024959302</v>
      </c>
      <c r="T40" s="12">
        <f t="shared" si="20"/>
        <v>5.741626794258373</v>
      </c>
      <c r="U40" s="13">
        <v>25</v>
      </c>
      <c r="V40" s="14">
        <v>26.05</v>
      </c>
      <c r="W40" s="12">
        <f t="shared" si="0"/>
        <v>2.7129679869777537</v>
      </c>
      <c r="X40" s="12">
        <f t="shared" si="1"/>
        <v>65.111231687466088</v>
      </c>
      <c r="Y40" s="12">
        <f t="shared" si="2"/>
        <v>4.7846889952153111</v>
      </c>
      <c r="Z40" s="13">
        <v>5</v>
      </c>
      <c r="AA40" s="14">
        <v>82.433999999999997</v>
      </c>
      <c r="AB40" s="10">
        <v>0</v>
      </c>
      <c r="AC40" s="12">
        <f t="shared" si="3"/>
        <v>0</v>
      </c>
      <c r="AD40" s="12">
        <f t="shared" si="4"/>
        <v>0</v>
      </c>
      <c r="AE40" s="12">
        <f t="shared" si="5"/>
        <v>0</v>
      </c>
      <c r="AF40" s="13">
        <v>65</v>
      </c>
      <c r="AG40" s="52">
        <v>167.1</v>
      </c>
      <c r="AH40" s="61">
        <v>55</v>
      </c>
      <c r="AI40" s="16">
        <f t="shared" si="21"/>
        <v>5.9685295713510582</v>
      </c>
      <c r="AJ40" s="48">
        <f t="shared" si="22"/>
        <v>143.24470971242539</v>
      </c>
      <c r="AK40" s="48">
        <f t="shared" si="23"/>
        <v>10.526315789473685</v>
      </c>
      <c r="AL40" s="57">
        <v>12</v>
      </c>
      <c r="AM40" s="14">
        <v>4.1500000000000004</v>
      </c>
      <c r="AN40" s="12">
        <f t="shared" si="24"/>
        <v>1.3022246337493217</v>
      </c>
      <c r="AO40" s="12">
        <f t="shared" si="25"/>
        <v>31.253391209983725</v>
      </c>
      <c r="AP40" s="12">
        <f t="shared" si="26"/>
        <v>2.2966507177033493</v>
      </c>
      <c r="AQ40" s="13">
        <v>12</v>
      </c>
      <c r="AR40" s="14">
        <v>21.516999999999999</v>
      </c>
      <c r="AS40" s="12">
        <f t="shared" si="6"/>
        <v>1.3022246337493217</v>
      </c>
      <c r="AT40" s="12">
        <f t="shared" si="7"/>
        <v>31.253391209983725</v>
      </c>
      <c r="AU40" s="12">
        <f t="shared" si="8"/>
        <v>2.2966507177033493</v>
      </c>
      <c r="AV40" s="13">
        <v>0</v>
      </c>
      <c r="AW40" s="14">
        <v>0</v>
      </c>
      <c r="AX40" s="12">
        <f t="shared" si="9"/>
        <v>0</v>
      </c>
      <c r="AY40" s="12">
        <f t="shared" si="10"/>
        <v>0</v>
      </c>
      <c r="AZ40" s="12">
        <f t="shared" si="11"/>
        <v>0</v>
      </c>
      <c r="BA40" s="13">
        <v>1</v>
      </c>
      <c r="BB40" s="52">
        <v>0.38300000000000001</v>
      </c>
      <c r="BC40" s="48">
        <f t="shared" si="12"/>
        <v>0.10851871947911015</v>
      </c>
      <c r="BD40" s="48">
        <f t="shared" si="13"/>
        <v>2.6044492674986435</v>
      </c>
      <c r="BE40" s="48">
        <f t="shared" si="14"/>
        <v>0.19138755980861244</v>
      </c>
    </row>
    <row r="41" spans="1:57">
      <c r="A41" s="15" t="s">
        <v>217</v>
      </c>
      <c r="B41" s="9" t="str">
        <f>"37"</f>
        <v>37</v>
      </c>
      <c r="C41" s="9" t="str">
        <f>"4040 12776 77 4-1"</f>
        <v>4040 12776 77 4-1</v>
      </c>
      <c r="D41" s="9" t="str">
        <f>"1133 Z"</f>
        <v>1133 Z</v>
      </c>
      <c r="E41" s="10">
        <f t="shared" si="15"/>
        <v>934.46509848741789</v>
      </c>
      <c r="F41" s="11">
        <f t="shared" si="16"/>
        <v>89.682916666666657</v>
      </c>
      <c r="G41" s="11">
        <v>645.71699999999998</v>
      </c>
      <c r="H41" s="11">
        <v>74.283000000000001</v>
      </c>
      <c r="I41" s="11">
        <v>603.4</v>
      </c>
      <c r="J41" s="11">
        <v>201.7</v>
      </c>
      <c r="K41" s="11">
        <v>2512096.12</v>
      </c>
      <c r="L41" s="11">
        <v>38743</v>
      </c>
      <c r="M41" s="11">
        <f t="shared" si="17"/>
        <v>64.84</v>
      </c>
      <c r="N41" s="13">
        <v>6</v>
      </c>
      <c r="O41" s="14">
        <v>16.382999999999999</v>
      </c>
      <c r="P41" s="13">
        <v>11</v>
      </c>
      <c r="Q41" s="14">
        <v>16.399999999999999</v>
      </c>
      <c r="R41" s="12">
        <f t="shared" si="18"/>
        <v>1.0221195972848787</v>
      </c>
      <c r="S41" s="12">
        <f t="shared" si="19"/>
        <v>24.53087033483709</v>
      </c>
      <c r="T41" s="12">
        <f t="shared" si="20"/>
        <v>1.8230029830957906</v>
      </c>
      <c r="U41" s="13">
        <v>69</v>
      </c>
      <c r="V41" s="14">
        <v>40.633000000000003</v>
      </c>
      <c r="W41" s="12">
        <f t="shared" si="0"/>
        <v>6.4114774738778753</v>
      </c>
      <c r="X41" s="12">
        <f t="shared" si="1"/>
        <v>153.87545937306902</v>
      </c>
      <c r="Y41" s="12">
        <f t="shared" si="2"/>
        <v>11.435200530328141</v>
      </c>
      <c r="Z41" s="13">
        <v>4</v>
      </c>
      <c r="AA41" s="14">
        <v>0.86699999999999999</v>
      </c>
      <c r="AB41" s="10">
        <v>0</v>
      </c>
      <c r="AC41" s="12">
        <f t="shared" si="3"/>
        <v>0</v>
      </c>
      <c r="AD41" s="12">
        <f t="shared" si="4"/>
        <v>0</v>
      </c>
      <c r="AE41" s="12">
        <f t="shared" si="5"/>
        <v>0</v>
      </c>
      <c r="AF41" s="13">
        <v>90</v>
      </c>
      <c r="AG41" s="52">
        <v>74.283000000000001</v>
      </c>
      <c r="AH41" s="61">
        <v>80</v>
      </c>
      <c r="AI41" s="16">
        <f t="shared" si="21"/>
        <v>7.4335970711627537</v>
      </c>
      <c r="AJ41" s="48">
        <f t="shared" si="22"/>
        <v>178.40632970790611</v>
      </c>
      <c r="AK41" s="48">
        <f t="shared" si="23"/>
        <v>13.258203513423931</v>
      </c>
      <c r="AL41" s="57">
        <v>47</v>
      </c>
      <c r="AM41" s="14">
        <v>24.882999999999999</v>
      </c>
      <c r="AN41" s="12">
        <f t="shared" si="24"/>
        <v>4.3672382793081184</v>
      </c>
      <c r="AO41" s="12">
        <f t="shared" si="25"/>
        <v>104.81371870339483</v>
      </c>
      <c r="AP41" s="12">
        <f t="shared" si="26"/>
        <v>7.7891945641365599</v>
      </c>
      <c r="AQ41" s="13">
        <v>12</v>
      </c>
      <c r="AR41" s="14">
        <v>6.633</v>
      </c>
      <c r="AS41" s="12">
        <f t="shared" si="6"/>
        <v>1.115039560674413</v>
      </c>
      <c r="AT41" s="12">
        <f t="shared" si="7"/>
        <v>26.760949456185916</v>
      </c>
      <c r="AU41" s="12">
        <f t="shared" si="8"/>
        <v>1.9887305270135898</v>
      </c>
      <c r="AV41" s="13">
        <v>8</v>
      </c>
      <c r="AW41" s="14">
        <v>8.2829999999999995</v>
      </c>
      <c r="AX41" s="12">
        <f t="shared" si="9"/>
        <v>0.74335970711627541</v>
      </c>
      <c r="AY41" s="12">
        <f t="shared" si="10"/>
        <v>17.840632970790608</v>
      </c>
      <c r="AZ41" s="12">
        <f t="shared" si="11"/>
        <v>1.3258203513423932</v>
      </c>
      <c r="BA41" s="13">
        <v>2</v>
      </c>
      <c r="BB41" s="52">
        <v>0.83299999999999996</v>
      </c>
      <c r="BC41" s="48">
        <f t="shared" si="12"/>
        <v>0.18583992677906885</v>
      </c>
      <c r="BD41" s="48">
        <f t="shared" si="13"/>
        <v>4.460158242697652</v>
      </c>
      <c r="BE41" s="48">
        <f t="shared" si="14"/>
        <v>0.33145508783559829</v>
      </c>
    </row>
    <row r="42" spans="1:57">
      <c r="A42" s="15" t="s">
        <v>217</v>
      </c>
      <c r="B42" s="9" t="str">
        <f>"38"</f>
        <v>38</v>
      </c>
      <c r="C42" s="9" t="str">
        <f>"4040 13079 59 4-1"</f>
        <v>4040 13079 59 4-1</v>
      </c>
      <c r="D42" s="9" t="str">
        <f>"03 Z"</f>
        <v>03 Z</v>
      </c>
      <c r="E42" s="10">
        <f t="shared" si="15"/>
        <v>953.67631256697871</v>
      </c>
      <c r="F42" s="11">
        <f t="shared" si="16"/>
        <v>96.294027777777771</v>
      </c>
      <c r="G42" s="11">
        <v>693.31700000000001</v>
      </c>
      <c r="H42" s="11">
        <v>26.683</v>
      </c>
      <c r="I42" s="11">
        <v>661.2</v>
      </c>
      <c r="J42" s="11">
        <v>212.6</v>
      </c>
      <c r="K42" s="11">
        <v>2417733.88</v>
      </c>
      <c r="L42" s="11">
        <v>41599</v>
      </c>
      <c r="M42" s="11">
        <f t="shared" si="17"/>
        <v>58.12</v>
      </c>
      <c r="N42" s="13">
        <v>4</v>
      </c>
      <c r="O42" s="14">
        <v>1.417</v>
      </c>
      <c r="P42" s="13">
        <v>5</v>
      </c>
      <c r="Q42" s="14">
        <v>11.333</v>
      </c>
      <c r="R42" s="12">
        <f t="shared" si="18"/>
        <v>0.43270250116469089</v>
      </c>
      <c r="S42" s="12">
        <f t="shared" si="19"/>
        <v>10.384860027952582</v>
      </c>
      <c r="T42" s="12">
        <f t="shared" si="20"/>
        <v>0.75620084694494849</v>
      </c>
      <c r="U42" s="13">
        <v>15</v>
      </c>
      <c r="V42" s="14">
        <v>13.217000000000001</v>
      </c>
      <c r="W42" s="12">
        <f t="shared" si="0"/>
        <v>1.2981075034940728</v>
      </c>
      <c r="X42" s="12">
        <f t="shared" si="1"/>
        <v>31.154580083857745</v>
      </c>
      <c r="Y42" s="12">
        <f t="shared" si="2"/>
        <v>2.2686025408348454</v>
      </c>
      <c r="Z42" s="13">
        <v>1</v>
      </c>
      <c r="AA42" s="14">
        <v>0.71699999999999997</v>
      </c>
      <c r="AB42" s="10">
        <v>0</v>
      </c>
      <c r="AC42" s="12">
        <f t="shared" si="3"/>
        <v>0</v>
      </c>
      <c r="AD42" s="12">
        <f t="shared" si="4"/>
        <v>0</v>
      </c>
      <c r="AE42" s="12">
        <f t="shared" si="5"/>
        <v>0</v>
      </c>
      <c r="AF42" s="13">
        <v>25</v>
      </c>
      <c r="AG42" s="52">
        <v>26.684000000000001</v>
      </c>
      <c r="AH42" s="61">
        <v>20</v>
      </c>
      <c r="AI42" s="16">
        <f t="shared" si="21"/>
        <v>1.7308100046587636</v>
      </c>
      <c r="AJ42" s="48">
        <f t="shared" si="22"/>
        <v>41.539440111810329</v>
      </c>
      <c r="AK42" s="48">
        <f t="shared" si="23"/>
        <v>3.024803387779794</v>
      </c>
      <c r="AL42" s="57">
        <v>5</v>
      </c>
      <c r="AM42" s="14">
        <v>4.7169999999999996</v>
      </c>
      <c r="AN42" s="12">
        <f t="shared" si="24"/>
        <v>0.43270250116469089</v>
      </c>
      <c r="AO42" s="12">
        <f t="shared" si="25"/>
        <v>10.384860027952582</v>
      </c>
      <c r="AP42" s="12">
        <f t="shared" si="26"/>
        <v>0.75620084694494849</v>
      </c>
      <c r="AQ42" s="13">
        <v>8</v>
      </c>
      <c r="AR42" s="14">
        <v>3.4830000000000001</v>
      </c>
      <c r="AS42" s="12">
        <f t="shared" si="6"/>
        <v>0.6923240018635054</v>
      </c>
      <c r="AT42" s="12">
        <f t="shared" si="7"/>
        <v>16.615776044724129</v>
      </c>
      <c r="AU42" s="12">
        <f t="shared" si="8"/>
        <v>1.2099213551119177</v>
      </c>
      <c r="AV42" s="13">
        <v>1</v>
      </c>
      <c r="AW42" s="14">
        <v>0.46700000000000003</v>
      </c>
      <c r="AX42" s="12">
        <f t="shared" si="9"/>
        <v>8.6540500232938175E-2</v>
      </c>
      <c r="AY42" s="12">
        <f t="shared" si="10"/>
        <v>2.0769720055905161</v>
      </c>
      <c r="AZ42" s="12">
        <f t="shared" si="11"/>
        <v>0.15124016938898971</v>
      </c>
      <c r="BA42" s="13">
        <v>1</v>
      </c>
      <c r="BB42" s="52">
        <v>4.55</v>
      </c>
      <c r="BC42" s="48">
        <f t="shared" si="12"/>
        <v>8.6540500232938175E-2</v>
      </c>
      <c r="BD42" s="48">
        <f t="shared" si="13"/>
        <v>2.0769720055905161</v>
      </c>
      <c r="BE42" s="48">
        <f t="shared" si="14"/>
        <v>0.15124016938898971</v>
      </c>
    </row>
    <row r="43" spans="1:57">
      <c r="A43" s="15" t="s">
        <v>217</v>
      </c>
      <c r="B43" s="9" t="str">
        <f>"39"</f>
        <v>39</v>
      </c>
      <c r="C43" s="9" t="str">
        <f>"4040 11083 123 1-1"</f>
        <v>4040 11083 123 1-1</v>
      </c>
      <c r="D43" s="9" t="str">
        <f>"1020 Z"</f>
        <v>1020 Z</v>
      </c>
      <c r="E43" s="10">
        <f t="shared" si="15"/>
        <v>794.17459382102868</v>
      </c>
      <c r="F43" s="11">
        <f t="shared" si="16"/>
        <v>82.493055555555571</v>
      </c>
      <c r="G43" s="11">
        <v>593.95000000000005</v>
      </c>
      <c r="H43" s="11">
        <v>126.05</v>
      </c>
      <c r="I43" s="11">
        <v>471.7</v>
      </c>
      <c r="J43" s="11">
        <v>146.19999999999999</v>
      </c>
      <c r="K43" s="11">
        <v>4219777.17</v>
      </c>
      <c r="L43" s="11">
        <v>35637</v>
      </c>
      <c r="M43" s="11">
        <f t="shared" si="17"/>
        <v>118.41</v>
      </c>
      <c r="N43" s="13">
        <v>7</v>
      </c>
      <c r="O43" s="14">
        <v>2.25</v>
      </c>
      <c r="P43" s="13">
        <v>45</v>
      </c>
      <c r="Q43" s="14">
        <v>79.766999999999996</v>
      </c>
      <c r="R43" s="12">
        <f t="shared" si="18"/>
        <v>4.5458371916828009</v>
      </c>
      <c r="S43" s="12">
        <f t="shared" si="19"/>
        <v>109.10009260038723</v>
      </c>
      <c r="T43" s="12">
        <f t="shared" si="20"/>
        <v>9.5399618401526389</v>
      </c>
      <c r="U43" s="13">
        <v>51</v>
      </c>
      <c r="V43" s="14">
        <v>37.817</v>
      </c>
      <c r="W43" s="12">
        <f t="shared" si="0"/>
        <v>5.1519488172405081</v>
      </c>
      <c r="X43" s="12">
        <f t="shared" si="1"/>
        <v>123.64677161377219</v>
      </c>
      <c r="Y43" s="12">
        <f t="shared" si="2"/>
        <v>10.811956752172991</v>
      </c>
      <c r="Z43" s="13">
        <v>8</v>
      </c>
      <c r="AA43" s="14">
        <v>6.2169999999999996</v>
      </c>
      <c r="AB43" s="10">
        <v>0</v>
      </c>
      <c r="AC43" s="12">
        <f t="shared" si="3"/>
        <v>0</v>
      </c>
      <c r="AD43" s="12">
        <f t="shared" si="4"/>
        <v>0</v>
      </c>
      <c r="AE43" s="12">
        <f t="shared" si="5"/>
        <v>0</v>
      </c>
      <c r="AF43" s="13">
        <v>111</v>
      </c>
      <c r="AG43" s="52">
        <v>126.051</v>
      </c>
      <c r="AH43" s="61">
        <v>96</v>
      </c>
      <c r="AI43" s="16">
        <f t="shared" si="21"/>
        <v>9.697786008923309</v>
      </c>
      <c r="AJ43" s="48">
        <f t="shared" si="22"/>
        <v>232.74686421415942</v>
      </c>
      <c r="AK43" s="48">
        <f t="shared" si="23"/>
        <v>20.351918592325632</v>
      </c>
      <c r="AL43" s="57">
        <v>12</v>
      </c>
      <c r="AM43" s="14">
        <v>5.4669999999999996</v>
      </c>
      <c r="AN43" s="12">
        <f t="shared" si="24"/>
        <v>1.2122232511154136</v>
      </c>
      <c r="AO43" s="12">
        <f t="shared" si="25"/>
        <v>29.093358026769927</v>
      </c>
      <c r="AP43" s="12">
        <f t="shared" si="26"/>
        <v>2.543989824040704</v>
      </c>
      <c r="AQ43" s="13">
        <v>27</v>
      </c>
      <c r="AR43" s="14">
        <v>21</v>
      </c>
      <c r="AS43" s="12">
        <f t="shared" si="6"/>
        <v>2.7275023150096809</v>
      </c>
      <c r="AT43" s="12">
        <f t="shared" si="7"/>
        <v>65.460055560232334</v>
      </c>
      <c r="AU43" s="12">
        <f t="shared" si="8"/>
        <v>5.7239771040915839</v>
      </c>
      <c r="AV43" s="13">
        <v>5</v>
      </c>
      <c r="AW43" s="14">
        <v>4.117</v>
      </c>
      <c r="AX43" s="12">
        <f t="shared" si="9"/>
        <v>0.50509302129808897</v>
      </c>
      <c r="AY43" s="12">
        <f t="shared" si="10"/>
        <v>12.122232511154136</v>
      </c>
      <c r="AZ43" s="12">
        <f t="shared" si="11"/>
        <v>1.0599957600169601</v>
      </c>
      <c r="BA43" s="13">
        <v>7</v>
      </c>
      <c r="BB43" s="52">
        <v>7.2329999999999997</v>
      </c>
      <c r="BC43" s="48">
        <f t="shared" si="12"/>
        <v>0.70713022981732465</v>
      </c>
      <c r="BD43" s="48">
        <f t="shared" si="13"/>
        <v>16.971125515615793</v>
      </c>
      <c r="BE43" s="48">
        <f t="shared" si="14"/>
        <v>1.4839940640237439</v>
      </c>
    </row>
    <row r="44" spans="1:57">
      <c r="A44" s="15" t="s">
        <v>217</v>
      </c>
      <c r="B44" s="9" t="str">
        <f>"40"</f>
        <v>40</v>
      </c>
      <c r="C44" s="9" t="str">
        <f>"6060173120110 dobby"</f>
        <v>6060173120110 dobby</v>
      </c>
      <c r="D44" s="9" t="str">
        <f>"1007 Z"</f>
        <v>1007 Z</v>
      </c>
      <c r="E44" s="10">
        <f t="shared" si="15"/>
        <v>500.07870297497249</v>
      </c>
      <c r="F44" s="11">
        <f t="shared" si="16"/>
        <v>88.2361111111111</v>
      </c>
      <c r="G44" s="11">
        <v>635.29999999999995</v>
      </c>
      <c r="H44" s="11">
        <v>84.7</v>
      </c>
      <c r="I44" s="11">
        <v>317.7</v>
      </c>
      <c r="J44" s="11">
        <v>68.099999999999994</v>
      </c>
      <c r="K44" s="11">
        <v>2433834.2999999998</v>
      </c>
      <c r="L44" s="11">
        <v>38118</v>
      </c>
      <c r="M44" s="11">
        <f t="shared" si="17"/>
        <v>63.849999999999994</v>
      </c>
      <c r="N44" s="13">
        <v>5</v>
      </c>
      <c r="O44" s="14">
        <v>2.133</v>
      </c>
      <c r="P44" s="13">
        <v>22</v>
      </c>
      <c r="Q44" s="14">
        <v>40.033000000000001</v>
      </c>
      <c r="R44" s="12">
        <f t="shared" si="18"/>
        <v>2.0777585392727849</v>
      </c>
      <c r="S44" s="12">
        <f t="shared" si="19"/>
        <v>49.86620494254683</v>
      </c>
      <c r="T44" s="12">
        <f t="shared" si="20"/>
        <v>6.9247717972930438</v>
      </c>
      <c r="U44" s="13">
        <v>57</v>
      </c>
      <c r="V44" s="14">
        <v>39.366999999999997</v>
      </c>
      <c r="W44" s="12">
        <f t="shared" si="0"/>
        <v>5.3832834881158513</v>
      </c>
      <c r="X44" s="12">
        <f t="shared" si="1"/>
        <v>129.19880371478044</v>
      </c>
      <c r="Y44" s="12">
        <f t="shared" si="2"/>
        <v>17.941454202077431</v>
      </c>
      <c r="Z44" s="13">
        <v>3</v>
      </c>
      <c r="AA44" s="14">
        <v>3.1669999999999998</v>
      </c>
      <c r="AB44" s="10">
        <v>0</v>
      </c>
      <c r="AC44" s="12">
        <f t="shared" si="3"/>
        <v>0</v>
      </c>
      <c r="AD44" s="12">
        <f t="shared" si="4"/>
        <v>0</v>
      </c>
      <c r="AE44" s="12">
        <f t="shared" si="5"/>
        <v>0</v>
      </c>
      <c r="AF44" s="13">
        <v>87</v>
      </c>
      <c r="AG44" s="52">
        <v>84.7</v>
      </c>
      <c r="AH44" s="61">
        <v>79</v>
      </c>
      <c r="AI44" s="16">
        <f t="shared" si="21"/>
        <v>7.4610420273886362</v>
      </c>
      <c r="AJ44" s="48">
        <f t="shared" si="22"/>
        <v>179.06500865732727</v>
      </c>
      <c r="AK44" s="48">
        <f t="shared" si="23"/>
        <v>24.866225999370478</v>
      </c>
      <c r="AL44" s="57">
        <v>22</v>
      </c>
      <c r="AM44" s="14">
        <v>11.217000000000001</v>
      </c>
      <c r="AN44" s="12">
        <f t="shared" si="24"/>
        <v>2.0777585392727849</v>
      </c>
      <c r="AO44" s="12">
        <f t="shared" si="25"/>
        <v>49.86620494254683</v>
      </c>
      <c r="AP44" s="12">
        <f t="shared" si="26"/>
        <v>6.9247717972930438</v>
      </c>
      <c r="AQ44" s="13">
        <v>33</v>
      </c>
      <c r="AR44" s="14">
        <v>24.817</v>
      </c>
      <c r="AS44" s="12">
        <f t="shared" si="6"/>
        <v>3.1166378089091769</v>
      </c>
      <c r="AT44" s="12">
        <f t="shared" si="7"/>
        <v>74.799307413820245</v>
      </c>
      <c r="AU44" s="12">
        <f t="shared" si="8"/>
        <v>10.387157695939566</v>
      </c>
      <c r="AV44" s="13">
        <v>0</v>
      </c>
      <c r="AW44" s="14">
        <v>0</v>
      </c>
      <c r="AX44" s="12">
        <f t="shared" si="9"/>
        <v>0</v>
      </c>
      <c r="AY44" s="12">
        <f t="shared" si="10"/>
        <v>0</v>
      </c>
      <c r="AZ44" s="12">
        <f t="shared" si="11"/>
        <v>0</v>
      </c>
      <c r="BA44" s="13">
        <v>2</v>
      </c>
      <c r="BB44" s="52">
        <v>3.3330000000000002</v>
      </c>
      <c r="BC44" s="48">
        <f t="shared" si="12"/>
        <v>0.1888871399338895</v>
      </c>
      <c r="BD44" s="48">
        <f t="shared" si="13"/>
        <v>4.5332913584133481</v>
      </c>
      <c r="BE44" s="48">
        <f t="shared" si="14"/>
        <v>0.62952470884482215</v>
      </c>
    </row>
    <row r="45" spans="1:57">
      <c r="A45" s="15" t="s">
        <v>217</v>
      </c>
      <c r="B45" s="9" t="str">
        <f>"41"</f>
        <v>41</v>
      </c>
      <c r="C45" s="9" t="str">
        <f>"4040 11083 123 1-1"</f>
        <v>4040 11083 123 1-1</v>
      </c>
      <c r="D45" s="9" t="str">
        <f>"1024 Z"</f>
        <v>1024 Z</v>
      </c>
      <c r="E45" s="10">
        <f t="shared" si="15"/>
        <v>791.51307189055365</v>
      </c>
      <c r="F45" s="11">
        <f t="shared" si="16"/>
        <v>93.175972222222214</v>
      </c>
      <c r="G45" s="11">
        <v>670.86699999999996</v>
      </c>
      <c r="H45" s="11">
        <v>49.133000000000003</v>
      </c>
      <c r="I45" s="11">
        <v>531</v>
      </c>
      <c r="J45" s="11">
        <v>164.4</v>
      </c>
      <c r="K45" s="11">
        <v>4581080.12</v>
      </c>
      <c r="L45" s="11">
        <v>40252</v>
      </c>
      <c r="M45" s="11">
        <f t="shared" si="17"/>
        <v>113.81</v>
      </c>
      <c r="N45" s="13">
        <v>7</v>
      </c>
      <c r="O45" s="14">
        <v>2.2170000000000001</v>
      </c>
      <c r="P45" s="13">
        <v>15</v>
      </c>
      <c r="Q45" s="14">
        <v>28.933</v>
      </c>
      <c r="R45" s="12">
        <f t="shared" si="18"/>
        <v>1.3415475794755145</v>
      </c>
      <c r="S45" s="12">
        <f t="shared" si="19"/>
        <v>32.197141907412352</v>
      </c>
      <c r="T45" s="12">
        <f t="shared" si="20"/>
        <v>2.8248587570621471</v>
      </c>
      <c r="U45" s="13">
        <v>19</v>
      </c>
      <c r="V45" s="14">
        <v>15.9</v>
      </c>
      <c r="W45" s="12">
        <f t="shared" si="0"/>
        <v>1.6992936006689852</v>
      </c>
      <c r="X45" s="12">
        <f t="shared" si="1"/>
        <v>40.78304641605564</v>
      </c>
      <c r="Y45" s="12">
        <f t="shared" si="2"/>
        <v>3.5781544256120528</v>
      </c>
      <c r="Z45" s="13">
        <v>4</v>
      </c>
      <c r="AA45" s="14">
        <v>2.0830000000000002</v>
      </c>
      <c r="AB45" s="10">
        <v>0</v>
      </c>
      <c r="AC45" s="12">
        <f t="shared" si="3"/>
        <v>0</v>
      </c>
      <c r="AD45" s="12">
        <f t="shared" si="4"/>
        <v>0</v>
      </c>
      <c r="AE45" s="12">
        <f t="shared" si="5"/>
        <v>0</v>
      </c>
      <c r="AF45" s="13">
        <v>45</v>
      </c>
      <c r="AG45" s="52">
        <v>49.133000000000003</v>
      </c>
      <c r="AH45" s="61">
        <v>34</v>
      </c>
      <c r="AI45" s="16">
        <f t="shared" si="21"/>
        <v>3.0408411801444997</v>
      </c>
      <c r="AJ45" s="48">
        <f t="shared" si="22"/>
        <v>72.980188323467999</v>
      </c>
      <c r="AK45" s="48">
        <f t="shared" si="23"/>
        <v>6.4030131826741998</v>
      </c>
      <c r="AL45" s="57">
        <v>6</v>
      </c>
      <c r="AM45" s="14">
        <v>3.8170000000000002</v>
      </c>
      <c r="AN45" s="12">
        <f t="shared" si="24"/>
        <v>0.53661903179020587</v>
      </c>
      <c r="AO45" s="12">
        <f t="shared" si="25"/>
        <v>12.87885676296494</v>
      </c>
      <c r="AP45" s="12">
        <f t="shared" si="26"/>
        <v>1.1299435028248588</v>
      </c>
      <c r="AQ45" s="13">
        <v>4</v>
      </c>
      <c r="AR45" s="14">
        <v>3.9</v>
      </c>
      <c r="AS45" s="12">
        <f t="shared" si="6"/>
        <v>0.35774602119347054</v>
      </c>
      <c r="AT45" s="12">
        <f t="shared" si="7"/>
        <v>8.5859045086432939</v>
      </c>
      <c r="AU45" s="12">
        <f t="shared" si="8"/>
        <v>0.75329566854990582</v>
      </c>
      <c r="AV45" s="13">
        <v>5</v>
      </c>
      <c r="AW45" s="14">
        <v>3.2669999999999999</v>
      </c>
      <c r="AX45" s="12">
        <f t="shared" si="9"/>
        <v>0.44718252649183821</v>
      </c>
      <c r="AY45" s="12">
        <f t="shared" si="10"/>
        <v>10.732380635804116</v>
      </c>
      <c r="AZ45" s="12">
        <f t="shared" si="11"/>
        <v>0.94161958568738224</v>
      </c>
      <c r="BA45" s="13">
        <v>4</v>
      </c>
      <c r="BB45" s="52">
        <v>4.9169999999999998</v>
      </c>
      <c r="BC45" s="48">
        <f t="shared" si="12"/>
        <v>0.35774602119347054</v>
      </c>
      <c r="BD45" s="48">
        <f t="shared" si="13"/>
        <v>8.5859045086432939</v>
      </c>
      <c r="BE45" s="48">
        <f t="shared" si="14"/>
        <v>0.75329566854990582</v>
      </c>
    </row>
    <row r="46" spans="1:57">
      <c r="A46" s="15" t="s">
        <v>217</v>
      </c>
      <c r="B46" s="9" t="str">
        <f>"42"</f>
        <v>42</v>
      </c>
      <c r="C46" s="9" t="str">
        <f>"4040 11082 124 1-1"</f>
        <v>4040 11082 124 1-1</v>
      </c>
      <c r="D46" s="9" t="str">
        <f>"1025 Z"</f>
        <v>1025 Z</v>
      </c>
      <c r="E46" s="10">
        <f t="shared" si="15"/>
        <v>783.31690615759715</v>
      </c>
      <c r="F46" s="11">
        <f t="shared" si="16"/>
        <v>77.641639016856544</v>
      </c>
      <c r="G46" s="11">
        <v>559.03300000000002</v>
      </c>
      <c r="H46" s="11">
        <v>160.98400000000001</v>
      </c>
      <c r="I46" s="11">
        <v>437.9</v>
      </c>
      <c r="J46" s="11">
        <v>137.30000000000001</v>
      </c>
      <c r="K46" s="11">
        <v>3899257.5</v>
      </c>
      <c r="L46" s="11">
        <v>33542</v>
      </c>
      <c r="M46" s="11">
        <f t="shared" si="17"/>
        <v>116.25</v>
      </c>
      <c r="N46" s="13">
        <v>16</v>
      </c>
      <c r="O46" s="14">
        <v>8.0670000000000002</v>
      </c>
      <c r="P46" s="13">
        <v>28</v>
      </c>
      <c r="Q46" s="14">
        <v>49.216999999999999</v>
      </c>
      <c r="R46" s="12">
        <f t="shared" si="18"/>
        <v>3.0051893179830169</v>
      </c>
      <c r="S46" s="12">
        <f t="shared" si="19"/>
        <v>72.124543631592402</v>
      </c>
      <c r="T46" s="12">
        <f t="shared" si="20"/>
        <v>6.394153916419274</v>
      </c>
      <c r="U46" s="13">
        <v>69</v>
      </c>
      <c r="V46" s="14">
        <v>92.417000000000002</v>
      </c>
      <c r="W46" s="12">
        <f t="shared" si="0"/>
        <v>7.4056451050295777</v>
      </c>
      <c r="X46" s="12">
        <f t="shared" si="1"/>
        <v>177.73548252070987</v>
      </c>
      <c r="Y46" s="12">
        <f t="shared" si="2"/>
        <v>15.757022151176068</v>
      </c>
      <c r="Z46" s="13">
        <v>5</v>
      </c>
      <c r="AA46" s="14">
        <v>11.282999999999999</v>
      </c>
      <c r="AB46" s="10">
        <v>0</v>
      </c>
      <c r="AC46" s="12">
        <f t="shared" si="3"/>
        <v>0</v>
      </c>
      <c r="AD46" s="12">
        <f t="shared" si="4"/>
        <v>0</v>
      </c>
      <c r="AE46" s="12">
        <f t="shared" si="5"/>
        <v>0</v>
      </c>
      <c r="AF46" s="13">
        <v>118</v>
      </c>
      <c r="AG46" s="52">
        <v>160.98400000000001</v>
      </c>
      <c r="AH46" s="61">
        <v>97</v>
      </c>
      <c r="AI46" s="16">
        <f t="shared" si="21"/>
        <v>10.410834423012595</v>
      </c>
      <c r="AJ46" s="48">
        <f t="shared" si="22"/>
        <v>249.86002615230228</v>
      </c>
      <c r="AK46" s="48">
        <f t="shared" si="23"/>
        <v>22.151176067595344</v>
      </c>
      <c r="AL46" s="57">
        <v>28</v>
      </c>
      <c r="AM46" s="14">
        <v>42.667000000000002</v>
      </c>
      <c r="AN46" s="12">
        <f t="shared" si="24"/>
        <v>3.0051893179830169</v>
      </c>
      <c r="AO46" s="12">
        <f t="shared" si="25"/>
        <v>72.124543631592402</v>
      </c>
      <c r="AP46" s="12">
        <f t="shared" si="26"/>
        <v>6.394153916419274</v>
      </c>
      <c r="AQ46" s="13">
        <v>21</v>
      </c>
      <c r="AR46" s="14">
        <v>24.082999999999998</v>
      </c>
      <c r="AS46" s="12">
        <f t="shared" si="6"/>
        <v>2.2538919884872626</v>
      </c>
      <c r="AT46" s="12">
        <f t="shared" si="7"/>
        <v>54.093407723694305</v>
      </c>
      <c r="AU46" s="12">
        <f t="shared" si="8"/>
        <v>4.7956154373144555</v>
      </c>
      <c r="AV46" s="13">
        <v>13</v>
      </c>
      <c r="AW46" s="14">
        <v>16.817</v>
      </c>
      <c r="AX46" s="12">
        <f t="shared" si="9"/>
        <v>1.3952664690635437</v>
      </c>
      <c r="AY46" s="12">
        <f t="shared" si="10"/>
        <v>33.486395257525047</v>
      </c>
      <c r="AZ46" s="12">
        <f t="shared" si="11"/>
        <v>2.9687143183375202</v>
      </c>
      <c r="BA46" s="13">
        <v>7</v>
      </c>
      <c r="BB46" s="52">
        <v>8.85</v>
      </c>
      <c r="BC46" s="48">
        <f t="shared" si="12"/>
        <v>0.75129732949575423</v>
      </c>
      <c r="BD46" s="48">
        <f t="shared" si="13"/>
        <v>18.031135907898101</v>
      </c>
      <c r="BE46" s="48">
        <f t="shared" si="14"/>
        <v>1.5985384791048185</v>
      </c>
    </row>
    <row r="47" spans="1:57">
      <c r="A47" s="15" t="s">
        <v>217</v>
      </c>
      <c r="B47" s="9" t="str">
        <f>"43"</f>
        <v>43</v>
      </c>
      <c r="C47" s="9" t="str">
        <f>"6060 164113 128 1-1"</f>
        <v>6060 164113 128 1-1</v>
      </c>
      <c r="D47" s="9" t="str">
        <f>"1164"</f>
        <v>1164</v>
      </c>
      <c r="E47" s="10">
        <f t="shared" si="15"/>
        <v>536.59266238332418</v>
      </c>
      <c r="F47" s="11">
        <f t="shared" si="16"/>
        <v>80.780565987422492</v>
      </c>
      <c r="G47" s="11">
        <v>581.63300000000004</v>
      </c>
      <c r="H47" s="11">
        <v>138.38300000000001</v>
      </c>
      <c r="I47" s="11">
        <v>312.10000000000002</v>
      </c>
      <c r="J47" s="11">
        <v>71.099999999999994</v>
      </c>
      <c r="K47" s="11">
        <v>3275526.28</v>
      </c>
      <c r="L47" s="11">
        <v>34898</v>
      </c>
      <c r="M47" s="11">
        <f t="shared" si="17"/>
        <v>93.86</v>
      </c>
      <c r="N47" s="13">
        <v>13</v>
      </c>
      <c r="O47" s="14">
        <v>24.332999999999998</v>
      </c>
      <c r="P47" s="13">
        <v>17</v>
      </c>
      <c r="Q47" s="14">
        <v>66.617000000000004</v>
      </c>
      <c r="R47" s="12">
        <f t="shared" si="18"/>
        <v>1.7536831644696913</v>
      </c>
      <c r="S47" s="12">
        <f t="shared" si="19"/>
        <v>42.088395947272588</v>
      </c>
      <c r="T47" s="12">
        <f t="shared" si="20"/>
        <v>5.446972124319128</v>
      </c>
      <c r="U47" s="13">
        <v>44</v>
      </c>
      <c r="V47" s="14">
        <v>23.966999999999999</v>
      </c>
      <c r="W47" s="12">
        <f t="shared" si="0"/>
        <v>4.538944660980377</v>
      </c>
      <c r="X47" s="12">
        <f t="shared" si="1"/>
        <v>108.93467186352906</v>
      </c>
      <c r="Y47" s="12">
        <f t="shared" si="2"/>
        <v>14.098045498237743</v>
      </c>
      <c r="Z47" s="13">
        <v>2</v>
      </c>
      <c r="AA47" s="14">
        <v>23.466000000000001</v>
      </c>
      <c r="AB47" s="10">
        <v>0</v>
      </c>
      <c r="AC47" s="12">
        <f t="shared" si="3"/>
        <v>0</v>
      </c>
      <c r="AD47" s="12">
        <f t="shared" si="4"/>
        <v>0</v>
      </c>
      <c r="AE47" s="12">
        <f t="shared" si="5"/>
        <v>0</v>
      </c>
      <c r="AF47" s="13">
        <v>76</v>
      </c>
      <c r="AG47" s="52">
        <v>138.38300000000001</v>
      </c>
      <c r="AH47" s="61">
        <v>61</v>
      </c>
      <c r="AI47" s="16">
        <f t="shared" si="21"/>
        <v>6.2926278254500687</v>
      </c>
      <c r="AJ47" s="48">
        <f t="shared" si="22"/>
        <v>151.02306781080165</v>
      </c>
      <c r="AK47" s="48">
        <f t="shared" si="23"/>
        <v>19.54501762255687</v>
      </c>
      <c r="AL47" s="57">
        <v>25</v>
      </c>
      <c r="AM47" s="14">
        <v>12</v>
      </c>
      <c r="AN47" s="12">
        <f t="shared" si="24"/>
        <v>2.5789458301024872</v>
      </c>
      <c r="AO47" s="12">
        <f t="shared" si="25"/>
        <v>61.894699922459694</v>
      </c>
      <c r="AP47" s="12">
        <f t="shared" si="26"/>
        <v>8.0102531239987176</v>
      </c>
      <c r="AQ47" s="13">
        <v>16</v>
      </c>
      <c r="AR47" s="14">
        <v>9</v>
      </c>
      <c r="AS47" s="12">
        <f t="shared" si="6"/>
        <v>1.6505253312655919</v>
      </c>
      <c r="AT47" s="12">
        <f t="shared" si="7"/>
        <v>39.612607950374205</v>
      </c>
      <c r="AU47" s="12">
        <f t="shared" si="8"/>
        <v>5.1265619993591791</v>
      </c>
      <c r="AV47" s="13">
        <v>1</v>
      </c>
      <c r="AW47" s="14">
        <v>0.33300000000000002</v>
      </c>
      <c r="AX47" s="12">
        <f t="shared" si="9"/>
        <v>0.10315783320409949</v>
      </c>
      <c r="AY47" s="12">
        <f t="shared" si="10"/>
        <v>2.4757879968983878</v>
      </c>
      <c r="AZ47" s="12">
        <f t="shared" si="11"/>
        <v>0.32041012495994869</v>
      </c>
      <c r="BA47" s="13">
        <v>2</v>
      </c>
      <c r="BB47" s="52">
        <v>2.633</v>
      </c>
      <c r="BC47" s="48">
        <f t="shared" si="12"/>
        <v>0.20631566640819898</v>
      </c>
      <c r="BD47" s="48">
        <f t="shared" si="13"/>
        <v>4.9515759937967756</v>
      </c>
      <c r="BE47" s="48">
        <f t="shared" si="14"/>
        <v>0.64082024991989739</v>
      </c>
    </row>
    <row r="48" spans="1:57">
      <c r="A48" s="15" t="s">
        <v>217</v>
      </c>
      <c r="B48" s="9" t="str">
        <f>"44"</f>
        <v>44</v>
      </c>
      <c r="C48" s="9" t="str">
        <f>"6060 18587 123 4-1"</f>
        <v>6060 18587 123 4-1</v>
      </c>
      <c r="D48" s="9" t="str">
        <f>"1172"</f>
        <v>1172</v>
      </c>
      <c r="E48" s="10">
        <f t="shared" si="15"/>
        <v>611.33490368386867</v>
      </c>
      <c r="F48" s="11">
        <f t="shared" si="16"/>
        <v>83.196805555555557</v>
      </c>
      <c r="G48" s="11">
        <v>599.01700000000005</v>
      </c>
      <c r="H48" s="11">
        <v>120.983</v>
      </c>
      <c r="I48" s="11">
        <v>366.2</v>
      </c>
      <c r="J48" s="11">
        <v>106.9</v>
      </c>
      <c r="K48" s="11">
        <v>3390314.53</v>
      </c>
      <c r="L48" s="11">
        <v>35941</v>
      </c>
      <c r="M48" s="11">
        <f t="shared" si="17"/>
        <v>94.33</v>
      </c>
      <c r="N48" s="13">
        <v>5</v>
      </c>
      <c r="O48" s="14">
        <v>2.2330000000000001</v>
      </c>
      <c r="P48" s="13">
        <v>41</v>
      </c>
      <c r="Q48" s="14">
        <v>82.632999999999996</v>
      </c>
      <c r="R48" s="12">
        <f t="shared" si="18"/>
        <v>4.106728189684099</v>
      </c>
      <c r="S48" s="12">
        <f t="shared" si="19"/>
        <v>98.56147655241837</v>
      </c>
      <c r="T48" s="12">
        <f t="shared" si="20"/>
        <v>11.196067722555981</v>
      </c>
      <c r="U48" s="13">
        <v>44</v>
      </c>
      <c r="V48" s="14">
        <v>34.799999999999997</v>
      </c>
      <c r="W48" s="12">
        <f t="shared" si="0"/>
        <v>4.4072204962463495</v>
      </c>
      <c r="X48" s="12">
        <f t="shared" si="1"/>
        <v>105.7732919099124</v>
      </c>
      <c r="Y48" s="12">
        <f t="shared" si="2"/>
        <v>12.015292190060077</v>
      </c>
      <c r="Z48" s="13">
        <v>1</v>
      </c>
      <c r="AA48" s="14">
        <v>1.3169999999999999</v>
      </c>
      <c r="AB48" s="10">
        <v>0</v>
      </c>
      <c r="AC48" s="12">
        <f t="shared" si="3"/>
        <v>0</v>
      </c>
      <c r="AD48" s="12">
        <f t="shared" si="4"/>
        <v>0</v>
      </c>
      <c r="AE48" s="12">
        <f t="shared" si="5"/>
        <v>0</v>
      </c>
      <c r="AF48" s="13">
        <v>91</v>
      </c>
      <c r="AG48" s="52">
        <v>120.983</v>
      </c>
      <c r="AH48" s="61">
        <v>85</v>
      </c>
      <c r="AI48" s="16">
        <f t="shared" si="21"/>
        <v>8.5139486859304494</v>
      </c>
      <c r="AJ48" s="48">
        <f t="shared" si="22"/>
        <v>204.33476846233077</v>
      </c>
      <c r="AK48" s="48">
        <f t="shared" si="23"/>
        <v>23.211359912616057</v>
      </c>
      <c r="AL48" s="57">
        <v>21</v>
      </c>
      <c r="AM48" s="14">
        <v>17.567</v>
      </c>
      <c r="AN48" s="12">
        <f t="shared" si="24"/>
        <v>2.1034461459357581</v>
      </c>
      <c r="AO48" s="12">
        <f t="shared" si="25"/>
        <v>50.48270750245819</v>
      </c>
      <c r="AP48" s="12">
        <f t="shared" si="26"/>
        <v>5.7345712725286733</v>
      </c>
      <c r="AQ48" s="13">
        <v>20</v>
      </c>
      <c r="AR48" s="14">
        <v>14.8</v>
      </c>
      <c r="AS48" s="12">
        <f t="shared" si="6"/>
        <v>2.003282043748341</v>
      </c>
      <c r="AT48" s="12">
        <f t="shared" si="7"/>
        <v>48.078769049960179</v>
      </c>
      <c r="AU48" s="12">
        <f t="shared" si="8"/>
        <v>5.4614964500273073</v>
      </c>
      <c r="AV48" s="13">
        <v>2</v>
      </c>
      <c r="AW48" s="14">
        <v>1.5669999999999999</v>
      </c>
      <c r="AX48" s="12">
        <f t="shared" si="9"/>
        <v>0.20032820437483409</v>
      </c>
      <c r="AY48" s="12">
        <f t="shared" si="10"/>
        <v>4.8078769049960179</v>
      </c>
      <c r="AZ48" s="12">
        <f t="shared" si="11"/>
        <v>0.54614964500273078</v>
      </c>
      <c r="BA48" s="13">
        <v>1</v>
      </c>
      <c r="BB48" s="52">
        <v>0.86699999999999999</v>
      </c>
      <c r="BC48" s="48">
        <f t="shared" si="12"/>
        <v>0.10016410218741705</v>
      </c>
      <c r="BD48" s="48">
        <f t="shared" si="13"/>
        <v>2.403938452498009</v>
      </c>
      <c r="BE48" s="48">
        <f t="shared" si="14"/>
        <v>0.27307482250136539</v>
      </c>
    </row>
    <row r="49" spans="1:57">
      <c r="A49" s="15" t="s">
        <v>217</v>
      </c>
      <c r="B49" s="9" t="str">
        <f>"45"</f>
        <v>45</v>
      </c>
      <c r="C49" s="9" t="str">
        <f>"8080 8080 86 1-1"</f>
        <v>8080 8080 86 1-1</v>
      </c>
      <c r="D49" s="9" t="str">
        <f>"1073 Z"</f>
        <v>1073 Z</v>
      </c>
      <c r="E49" s="10">
        <f t="shared" si="15"/>
        <v>796.62929850575665</v>
      </c>
      <c r="F49" s="11">
        <f t="shared" si="16"/>
        <v>86.266249999999999</v>
      </c>
      <c r="G49" s="11">
        <v>621.11699999999996</v>
      </c>
      <c r="H49" s="11">
        <v>98.882999999999996</v>
      </c>
      <c r="I49" s="11">
        <v>494.8</v>
      </c>
      <c r="J49" s="11">
        <v>157.19999999999999</v>
      </c>
      <c r="K49" s="11">
        <v>2381733.9700000002</v>
      </c>
      <c r="L49" s="11">
        <v>37267</v>
      </c>
      <c r="M49" s="11">
        <f t="shared" si="17"/>
        <v>63.910000000000004</v>
      </c>
      <c r="N49" s="13">
        <v>3</v>
      </c>
      <c r="O49" s="14">
        <v>1.333</v>
      </c>
      <c r="P49" s="13">
        <v>29</v>
      </c>
      <c r="Q49" s="14">
        <v>53.35</v>
      </c>
      <c r="R49" s="12">
        <f t="shared" si="18"/>
        <v>2.8014045662894431</v>
      </c>
      <c r="S49" s="12">
        <f t="shared" si="19"/>
        <v>67.233709590946631</v>
      </c>
      <c r="T49" s="12">
        <f t="shared" si="20"/>
        <v>5.8609539207760708</v>
      </c>
      <c r="U49" s="13">
        <v>61</v>
      </c>
      <c r="V49" s="14">
        <v>37.933</v>
      </c>
      <c r="W49" s="12">
        <f t="shared" si="0"/>
        <v>5.8926096049536563</v>
      </c>
      <c r="X49" s="12">
        <f t="shared" si="1"/>
        <v>141.42263051888776</v>
      </c>
      <c r="Y49" s="12">
        <f t="shared" si="2"/>
        <v>12.328213419563459</v>
      </c>
      <c r="Z49" s="13">
        <v>6</v>
      </c>
      <c r="AA49" s="14">
        <v>6.2670000000000003</v>
      </c>
      <c r="AB49" s="10">
        <v>2</v>
      </c>
      <c r="AC49" s="12">
        <f t="shared" si="3"/>
        <v>0.19320031491651332</v>
      </c>
      <c r="AD49" s="12">
        <f t="shared" si="4"/>
        <v>4.6368075579963195</v>
      </c>
      <c r="AE49" s="12">
        <f t="shared" si="5"/>
        <v>0.40420371867421179</v>
      </c>
      <c r="AF49" s="13">
        <v>99</v>
      </c>
      <c r="AG49" s="52">
        <v>98.882999999999996</v>
      </c>
      <c r="AH49" s="61">
        <v>92</v>
      </c>
      <c r="AI49" s="16">
        <f t="shared" si="21"/>
        <v>8.8872144861596123</v>
      </c>
      <c r="AJ49" s="48">
        <f t="shared" si="22"/>
        <v>213.29314766783071</v>
      </c>
      <c r="AK49" s="48">
        <f t="shared" si="23"/>
        <v>18.593371059013741</v>
      </c>
      <c r="AL49" s="57">
        <v>32</v>
      </c>
      <c r="AM49" s="14">
        <v>21.016999999999999</v>
      </c>
      <c r="AN49" s="12">
        <f t="shared" si="24"/>
        <v>3.0912050386642131</v>
      </c>
      <c r="AO49" s="12">
        <f t="shared" si="25"/>
        <v>74.188920927941112</v>
      </c>
      <c r="AP49" s="12">
        <f t="shared" si="26"/>
        <v>6.4672594987873886</v>
      </c>
      <c r="AQ49" s="13">
        <v>20</v>
      </c>
      <c r="AR49" s="14">
        <v>10.632999999999999</v>
      </c>
      <c r="AS49" s="12">
        <f t="shared" si="6"/>
        <v>1.9320031491651333</v>
      </c>
      <c r="AT49" s="12">
        <f t="shared" si="7"/>
        <v>46.368075579963197</v>
      </c>
      <c r="AU49" s="12">
        <f t="shared" si="8"/>
        <v>4.0420371867421183</v>
      </c>
      <c r="AV49" s="13">
        <v>3</v>
      </c>
      <c r="AW49" s="14">
        <v>2.1829999999999998</v>
      </c>
      <c r="AX49" s="12">
        <f t="shared" si="9"/>
        <v>0.28980047237476997</v>
      </c>
      <c r="AY49" s="12">
        <f t="shared" si="10"/>
        <v>6.9552113369944797</v>
      </c>
      <c r="AZ49" s="12">
        <f t="shared" si="11"/>
        <v>0.60630557801131768</v>
      </c>
      <c r="BA49" s="13">
        <v>6</v>
      </c>
      <c r="BB49" s="52">
        <v>4.0999999999999996</v>
      </c>
      <c r="BC49" s="48">
        <f t="shared" si="12"/>
        <v>0.57960094474953994</v>
      </c>
      <c r="BD49" s="48">
        <f t="shared" si="13"/>
        <v>13.910422673988959</v>
      </c>
      <c r="BE49" s="48">
        <f t="shared" si="14"/>
        <v>1.2126111560226354</v>
      </c>
    </row>
    <row r="50" spans="1:57">
      <c r="A50" s="15" t="s">
        <v>217</v>
      </c>
      <c r="B50" s="9" t="str">
        <f>"46"</f>
        <v>46</v>
      </c>
      <c r="C50" s="9" t="str">
        <f>"4040 127121 106 2-1"</f>
        <v>4040 127121 106 2-1</v>
      </c>
      <c r="D50" s="9" t="str">
        <f>"1049 Z"</f>
        <v>1049 Z</v>
      </c>
      <c r="E50" s="10">
        <f t="shared" si="15"/>
        <v>617.74471699570154</v>
      </c>
      <c r="F50" s="11">
        <f t="shared" si="16"/>
        <v>91.731527777777771</v>
      </c>
      <c r="G50" s="11">
        <v>660.46699999999998</v>
      </c>
      <c r="H50" s="11">
        <v>59.533000000000001</v>
      </c>
      <c r="I50" s="11">
        <v>408</v>
      </c>
      <c r="J50" s="11">
        <v>86.4</v>
      </c>
      <c r="K50" s="11">
        <v>2646754.12</v>
      </c>
      <c r="L50" s="11">
        <v>39628</v>
      </c>
      <c r="M50" s="11">
        <f t="shared" si="17"/>
        <v>66.790000000000006</v>
      </c>
      <c r="N50" s="13">
        <v>7</v>
      </c>
      <c r="O50" s="14">
        <v>5.0830000000000002</v>
      </c>
      <c r="P50" s="13">
        <v>21</v>
      </c>
      <c r="Q50" s="14">
        <v>31.466999999999999</v>
      </c>
      <c r="R50" s="12">
        <f t="shared" si="18"/>
        <v>1.907741037780843</v>
      </c>
      <c r="S50" s="12">
        <f t="shared" si="19"/>
        <v>45.785784906740233</v>
      </c>
      <c r="T50" s="12">
        <f t="shared" si="20"/>
        <v>5.1470588235294121</v>
      </c>
      <c r="U50" s="13">
        <v>26</v>
      </c>
      <c r="V50" s="14">
        <v>22.9</v>
      </c>
      <c r="W50" s="12">
        <f t="shared" si="0"/>
        <v>2.3619650943953294</v>
      </c>
      <c r="X50" s="12">
        <f t="shared" si="1"/>
        <v>56.687162265487906</v>
      </c>
      <c r="Y50" s="12">
        <f t="shared" si="2"/>
        <v>6.3725490196078427</v>
      </c>
      <c r="Z50" s="13">
        <v>1</v>
      </c>
      <c r="AA50" s="14">
        <v>8.3000000000000004E-2</v>
      </c>
      <c r="AB50" s="10">
        <v>0</v>
      </c>
      <c r="AC50" s="12">
        <f t="shared" si="3"/>
        <v>0</v>
      </c>
      <c r="AD50" s="12">
        <f t="shared" si="4"/>
        <v>0</v>
      </c>
      <c r="AE50" s="12">
        <f t="shared" si="5"/>
        <v>0</v>
      </c>
      <c r="AF50" s="13">
        <v>55</v>
      </c>
      <c r="AG50" s="52">
        <v>59.533000000000001</v>
      </c>
      <c r="AH50" s="61">
        <v>47</v>
      </c>
      <c r="AI50" s="16">
        <f t="shared" si="21"/>
        <v>4.2697061321761725</v>
      </c>
      <c r="AJ50" s="48">
        <f t="shared" si="22"/>
        <v>102.47294717222813</v>
      </c>
      <c r="AK50" s="48">
        <f t="shared" si="23"/>
        <v>11.519607843137255</v>
      </c>
      <c r="AL50" s="57">
        <v>14</v>
      </c>
      <c r="AM50" s="14">
        <v>9.6</v>
      </c>
      <c r="AN50" s="12">
        <f t="shared" si="24"/>
        <v>1.2718273585205619</v>
      </c>
      <c r="AO50" s="12">
        <f t="shared" si="25"/>
        <v>30.523856604493488</v>
      </c>
      <c r="AP50" s="12">
        <f t="shared" si="26"/>
        <v>3.4313725490196076</v>
      </c>
      <c r="AQ50" s="13">
        <v>11</v>
      </c>
      <c r="AR50" s="14">
        <v>13.067</v>
      </c>
      <c r="AS50" s="12">
        <f t="shared" si="6"/>
        <v>0.99929292455187013</v>
      </c>
      <c r="AT50" s="12">
        <f t="shared" si="7"/>
        <v>23.983030189244882</v>
      </c>
      <c r="AU50" s="12">
        <f t="shared" si="8"/>
        <v>2.6960784313725492</v>
      </c>
      <c r="AV50" s="13">
        <v>0</v>
      </c>
      <c r="AW50" s="14">
        <v>0</v>
      </c>
      <c r="AX50" s="12">
        <f t="shared" si="9"/>
        <v>0</v>
      </c>
      <c r="AY50" s="12">
        <f t="shared" si="10"/>
        <v>0</v>
      </c>
      <c r="AZ50" s="12">
        <f t="shared" si="11"/>
        <v>0</v>
      </c>
      <c r="BA50" s="13">
        <v>1</v>
      </c>
      <c r="BB50" s="52">
        <v>0.23300000000000001</v>
      </c>
      <c r="BC50" s="48">
        <f t="shared" si="12"/>
        <v>9.084481132289729E-2</v>
      </c>
      <c r="BD50" s="48">
        <f t="shared" si="13"/>
        <v>2.180275471749535</v>
      </c>
      <c r="BE50" s="48">
        <f t="shared" si="14"/>
        <v>0.24509803921568626</v>
      </c>
    </row>
    <row r="51" spans="1:57">
      <c r="A51" s="15" t="s">
        <v>217</v>
      </c>
      <c r="B51" s="9" t="str">
        <f>"47"</f>
        <v>47</v>
      </c>
      <c r="C51" s="9" t="str">
        <f>"8080 10288 46x2 1-1"</f>
        <v>8080 10288 46x2 1-1</v>
      </c>
      <c r="D51" s="9" t="str">
        <f>"1071 Z"</f>
        <v>1071 Z</v>
      </c>
      <c r="E51" s="10">
        <f t="shared" si="15"/>
        <v>797.52086389916326</v>
      </c>
      <c r="F51" s="11">
        <f t="shared" si="16"/>
        <v>87.754583333333329</v>
      </c>
      <c r="G51" s="11">
        <v>631.83299999999997</v>
      </c>
      <c r="H51" s="11">
        <v>88.167000000000002</v>
      </c>
      <c r="I51" s="11">
        <v>503.9</v>
      </c>
      <c r="J51" s="11">
        <v>145.4</v>
      </c>
      <c r="K51" s="11">
        <v>2341700.7000000002</v>
      </c>
      <c r="L51" s="11">
        <v>37910</v>
      </c>
      <c r="M51" s="11">
        <f t="shared" si="17"/>
        <v>61.77</v>
      </c>
      <c r="N51" s="13">
        <v>8</v>
      </c>
      <c r="O51" s="14">
        <v>5.8</v>
      </c>
      <c r="P51" s="13">
        <v>15</v>
      </c>
      <c r="Q51" s="14">
        <v>30.3</v>
      </c>
      <c r="R51" s="12">
        <f t="shared" si="18"/>
        <v>1.4244270242295038</v>
      </c>
      <c r="S51" s="12">
        <f t="shared" si="19"/>
        <v>34.186248581508089</v>
      </c>
      <c r="T51" s="12">
        <f t="shared" si="20"/>
        <v>2.9767811073625721</v>
      </c>
      <c r="U51" s="13">
        <v>62</v>
      </c>
      <c r="V51" s="14">
        <v>42.866999999999997</v>
      </c>
      <c r="W51" s="12">
        <f t="shared" si="0"/>
        <v>5.8876317001486154</v>
      </c>
      <c r="X51" s="12">
        <f t="shared" si="1"/>
        <v>141.30316080356678</v>
      </c>
      <c r="Y51" s="12">
        <f t="shared" si="2"/>
        <v>12.304028577098631</v>
      </c>
      <c r="Z51" s="13">
        <v>11</v>
      </c>
      <c r="AA51" s="14">
        <v>9.1999999999999993</v>
      </c>
      <c r="AB51" s="10">
        <v>0</v>
      </c>
      <c r="AC51" s="12">
        <f t="shared" si="3"/>
        <v>0</v>
      </c>
      <c r="AD51" s="12">
        <f t="shared" si="4"/>
        <v>0</v>
      </c>
      <c r="AE51" s="12">
        <f t="shared" si="5"/>
        <v>0</v>
      </c>
      <c r="AF51" s="13">
        <v>96</v>
      </c>
      <c r="AG51" s="52">
        <v>88.167000000000002</v>
      </c>
      <c r="AH51" s="61">
        <v>77</v>
      </c>
      <c r="AI51" s="16">
        <f t="shared" si="21"/>
        <v>7.3120587243781197</v>
      </c>
      <c r="AJ51" s="48">
        <f t="shared" si="22"/>
        <v>175.48940938507485</v>
      </c>
      <c r="AK51" s="48">
        <f t="shared" si="23"/>
        <v>15.280809684461204</v>
      </c>
      <c r="AL51" s="57">
        <v>21</v>
      </c>
      <c r="AM51" s="14">
        <v>12.4</v>
      </c>
      <c r="AN51" s="12">
        <f t="shared" si="24"/>
        <v>1.9941978339213053</v>
      </c>
      <c r="AO51" s="12">
        <f t="shared" si="25"/>
        <v>47.860748014111323</v>
      </c>
      <c r="AP51" s="12">
        <f t="shared" si="26"/>
        <v>4.1674935503076007</v>
      </c>
      <c r="AQ51" s="13">
        <v>36</v>
      </c>
      <c r="AR51" s="14">
        <v>25.716999999999999</v>
      </c>
      <c r="AS51" s="12">
        <f t="shared" si="6"/>
        <v>3.418624858150809</v>
      </c>
      <c r="AT51" s="12">
        <f t="shared" si="7"/>
        <v>82.046996595619419</v>
      </c>
      <c r="AU51" s="12">
        <f t="shared" si="8"/>
        <v>7.1442746576701728</v>
      </c>
      <c r="AV51" s="13">
        <v>1</v>
      </c>
      <c r="AW51" s="14">
        <v>2.2330000000000001</v>
      </c>
      <c r="AX51" s="12">
        <f t="shared" si="9"/>
        <v>9.4961801615300254E-2</v>
      </c>
      <c r="AY51" s="12">
        <f t="shared" si="10"/>
        <v>2.279083238767206</v>
      </c>
      <c r="AZ51" s="12">
        <f t="shared" si="11"/>
        <v>0.19845207382417146</v>
      </c>
      <c r="BA51" s="13">
        <v>4</v>
      </c>
      <c r="BB51" s="52">
        <v>2.5169999999999999</v>
      </c>
      <c r="BC51" s="48">
        <f t="shared" si="12"/>
        <v>0.37984720646120101</v>
      </c>
      <c r="BD51" s="48">
        <f t="shared" si="13"/>
        <v>9.1163329550688239</v>
      </c>
      <c r="BE51" s="48">
        <f t="shared" si="14"/>
        <v>0.79380829529668584</v>
      </c>
    </row>
    <row r="52" spans="1:57">
      <c r="A52" s="15" t="s">
        <v>217</v>
      </c>
      <c r="B52" s="9" t="str">
        <f>"48"</f>
        <v>48</v>
      </c>
      <c r="C52" s="9" t="str">
        <f>"8080 9088 46x2 1-1"</f>
        <v>8080 9088 46x2 1-1</v>
      </c>
      <c r="D52" s="9" t="str">
        <f>"1086 Z"</f>
        <v>1086 Z</v>
      </c>
      <c r="E52" s="10">
        <f t="shared" si="15"/>
        <v>726.50336046726966</v>
      </c>
      <c r="F52" s="11">
        <f t="shared" si="16"/>
        <v>84.747638888888886</v>
      </c>
      <c r="G52" s="11">
        <v>610.18299999999999</v>
      </c>
      <c r="H52" s="11">
        <v>109.81699999999999</v>
      </c>
      <c r="I52" s="11">
        <v>443.3</v>
      </c>
      <c r="J52" s="11">
        <v>128</v>
      </c>
      <c r="K52" s="11">
        <v>2291116.38</v>
      </c>
      <c r="L52" s="11">
        <v>36611</v>
      </c>
      <c r="M52" s="11">
        <f t="shared" si="17"/>
        <v>62.58</v>
      </c>
      <c r="N52" s="13">
        <v>4</v>
      </c>
      <c r="O52" s="14">
        <v>0.78300000000000003</v>
      </c>
      <c r="P52" s="13">
        <v>26</v>
      </c>
      <c r="Q52" s="14">
        <v>69.332999999999998</v>
      </c>
      <c r="R52" s="12">
        <f t="shared" si="18"/>
        <v>2.5566100661604798</v>
      </c>
      <c r="S52" s="12">
        <f t="shared" si="19"/>
        <v>61.358641587851515</v>
      </c>
      <c r="T52" s="12">
        <f t="shared" si="20"/>
        <v>5.8651026392961878</v>
      </c>
      <c r="U52" s="13">
        <v>37</v>
      </c>
      <c r="V52" s="14">
        <v>38.4</v>
      </c>
      <c r="W52" s="12">
        <f t="shared" si="0"/>
        <v>3.6382527864591441</v>
      </c>
      <c r="X52" s="12">
        <f t="shared" si="1"/>
        <v>87.318066875019468</v>
      </c>
      <c r="Y52" s="12">
        <f t="shared" si="2"/>
        <v>8.346492217459959</v>
      </c>
      <c r="Z52" s="13">
        <v>1</v>
      </c>
      <c r="AA52" s="14">
        <v>1.3</v>
      </c>
      <c r="AB52" s="10">
        <v>0</v>
      </c>
      <c r="AC52" s="12">
        <f t="shared" si="3"/>
        <v>0</v>
      </c>
      <c r="AD52" s="12">
        <f t="shared" si="4"/>
        <v>0</v>
      </c>
      <c r="AE52" s="12">
        <f t="shared" si="5"/>
        <v>0</v>
      </c>
      <c r="AF52" s="13">
        <v>68</v>
      </c>
      <c r="AG52" s="52">
        <v>109.816</v>
      </c>
      <c r="AH52" s="61">
        <v>63</v>
      </c>
      <c r="AI52" s="16">
        <f t="shared" si="21"/>
        <v>6.1948628526196243</v>
      </c>
      <c r="AJ52" s="48">
        <f t="shared" si="22"/>
        <v>148.67670846287098</v>
      </c>
      <c r="AK52" s="48">
        <f t="shared" si="23"/>
        <v>14.211594856756147</v>
      </c>
      <c r="AL52" s="57">
        <v>21</v>
      </c>
      <c r="AM52" s="14">
        <v>20.317</v>
      </c>
      <c r="AN52" s="12">
        <f t="shared" si="24"/>
        <v>2.0649542842065411</v>
      </c>
      <c r="AO52" s="12">
        <f t="shared" si="25"/>
        <v>49.558902820956995</v>
      </c>
      <c r="AP52" s="12">
        <f t="shared" si="26"/>
        <v>4.7371982855853823</v>
      </c>
      <c r="AQ52" s="13">
        <v>15</v>
      </c>
      <c r="AR52" s="14">
        <v>16.783000000000001</v>
      </c>
      <c r="AS52" s="12">
        <f t="shared" si="6"/>
        <v>1.4749673458618153</v>
      </c>
      <c r="AT52" s="12">
        <f t="shared" si="7"/>
        <v>35.399216300683563</v>
      </c>
      <c r="AU52" s="12">
        <f t="shared" si="8"/>
        <v>3.3837130611324158</v>
      </c>
      <c r="AV52" s="13">
        <v>1</v>
      </c>
      <c r="AW52" s="14">
        <v>1.3</v>
      </c>
      <c r="AX52" s="12">
        <f t="shared" si="9"/>
        <v>9.8331156390787683E-2</v>
      </c>
      <c r="AY52" s="12">
        <f t="shared" si="10"/>
        <v>2.3599477533789046</v>
      </c>
      <c r="AZ52" s="12">
        <f t="shared" si="11"/>
        <v>0.22558087074216107</v>
      </c>
      <c r="BA52" s="13">
        <v>0</v>
      </c>
      <c r="BB52" s="52">
        <v>0</v>
      </c>
      <c r="BC52" s="48">
        <f t="shared" si="12"/>
        <v>0</v>
      </c>
      <c r="BD52" s="48">
        <f t="shared" si="13"/>
        <v>0</v>
      </c>
      <c r="BE52" s="48">
        <f t="shared" si="14"/>
        <v>0</v>
      </c>
    </row>
    <row r="53" spans="1:57">
      <c r="A53" s="15" t="s">
        <v>217</v>
      </c>
      <c r="B53" s="9" t="str">
        <f>"49"</f>
        <v>49</v>
      </c>
      <c r="C53" s="9" t="str">
        <f>"3030 7674 72 1-1"</f>
        <v>3030 7674 72 1-1</v>
      </c>
      <c r="D53" s="9" t="str">
        <f>"1116 R"</f>
        <v>1116 R</v>
      </c>
      <c r="E53" s="10">
        <f t="shared" si="15"/>
        <v>957.07124565425227</v>
      </c>
      <c r="F53" s="11">
        <f t="shared" si="16"/>
        <v>93.122638888888872</v>
      </c>
      <c r="G53" s="11">
        <v>670.48299999999995</v>
      </c>
      <c r="H53" s="11">
        <v>49.517000000000003</v>
      </c>
      <c r="I53" s="11">
        <v>641.70000000000005</v>
      </c>
      <c r="J53" s="11">
        <v>223.3</v>
      </c>
      <c r="K53" s="11">
        <v>2243973.62</v>
      </c>
      <c r="L53" s="11">
        <v>40229</v>
      </c>
      <c r="M53" s="11">
        <f t="shared" si="17"/>
        <v>55.78</v>
      </c>
      <c r="N53" s="13">
        <v>5</v>
      </c>
      <c r="O53" s="14">
        <v>1.2829999999999999</v>
      </c>
      <c r="P53" s="13">
        <v>14</v>
      </c>
      <c r="Q53" s="14">
        <v>22.25</v>
      </c>
      <c r="R53" s="12">
        <f t="shared" si="18"/>
        <v>1.2528281850546548</v>
      </c>
      <c r="S53" s="12">
        <f t="shared" si="19"/>
        <v>30.067876441311714</v>
      </c>
      <c r="T53" s="12">
        <f t="shared" si="20"/>
        <v>2.1817048465014803</v>
      </c>
      <c r="U53" s="13">
        <v>21</v>
      </c>
      <c r="V53" s="14">
        <v>20.966999999999999</v>
      </c>
      <c r="W53" s="12">
        <f t="shared" si="0"/>
        <v>1.8792422775819821</v>
      </c>
      <c r="X53" s="12">
        <f t="shared" si="1"/>
        <v>45.101814661967573</v>
      </c>
      <c r="Y53" s="12">
        <f t="shared" si="2"/>
        <v>3.2725572697522205</v>
      </c>
      <c r="Z53" s="13">
        <v>4</v>
      </c>
      <c r="AA53" s="14">
        <v>5.0170000000000003</v>
      </c>
      <c r="AB53" s="10">
        <v>0</v>
      </c>
      <c r="AC53" s="12">
        <f t="shared" si="3"/>
        <v>0</v>
      </c>
      <c r="AD53" s="12">
        <f t="shared" si="4"/>
        <v>0</v>
      </c>
      <c r="AE53" s="12">
        <f t="shared" si="5"/>
        <v>0</v>
      </c>
      <c r="AF53" s="13">
        <v>44</v>
      </c>
      <c r="AG53" s="52">
        <v>49.517000000000003</v>
      </c>
      <c r="AH53" s="61">
        <v>35</v>
      </c>
      <c r="AI53" s="16">
        <f t="shared" si="21"/>
        <v>3.1320704626366367</v>
      </c>
      <c r="AJ53" s="48">
        <f t="shared" si="22"/>
        <v>75.169691103279277</v>
      </c>
      <c r="AK53" s="48">
        <f t="shared" si="23"/>
        <v>5.4542621162537008</v>
      </c>
      <c r="AL53" s="57">
        <v>8</v>
      </c>
      <c r="AM53" s="14">
        <v>8.85</v>
      </c>
      <c r="AN53" s="12">
        <f t="shared" si="24"/>
        <v>0.71590182003123126</v>
      </c>
      <c r="AO53" s="12">
        <f t="shared" si="25"/>
        <v>17.181643680749552</v>
      </c>
      <c r="AP53" s="12">
        <f t="shared" si="26"/>
        <v>1.2466884837151315</v>
      </c>
      <c r="AQ53" s="13">
        <v>6</v>
      </c>
      <c r="AR53" s="14">
        <v>3.9169999999999998</v>
      </c>
      <c r="AS53" s="12">
        <f t="shared" si="6"/>
        <v>0.5369263650234235</v>
      </c>
      <c r="AT53" s="12">
        <f t="shared" si="7"/>
        <v>12.886232760562162</v>
      </c>
      <c r="AU53" s="12">
        <f t="shared" si="8"/>
        <v>0.9350163627863487</v>
      </c>
      <c r="AV53" s="13">
        <v>6</v>
      </c>
      <c r="AW53" s="14">
        <v>7.7329999999999997</v>
      </c>
      <c r="AX53" s="12">
        <f t="shared" si="9"/>
        <v>0.5369263650234235</v>
      </c>
      <c r="AY53" s="12">
        <f t="shared" si="10"/>
        <v>12.886232760562162</v>
      </c>
      <c r="AZ53" s="12">
        <f t="shared" si="11"/>
        <v>0.9350163627863487</v>
      </c>
      <c r="BA53" s="13">
        <v>1</v>
      </c>
      <c r="BB53" s="52">
        <v>0.46700000000000003</v>
      </c>
      <c r="BC53" s="48">
        <f t="shared" si="12"/>
        <v>8.9487727503903908E-2</v>
      </c>
      <c r="BD53" s="48">
        <f t="shared" si="13"/>
        <v>2.147705460093694</v>
      </c>
      <c r="BE53" s="48">
        <f t="shared" si="14"/>
        <v>0.15583606046439144</v>
      </c>
    </row>
    <row r="54" spans="1:57">
      <c r="A54" s="15" t="s">
        <v>217</v>
      </c>
      <c r="B54" s="9" t="str">
        <f>"50"</f>
        <v>50</v>
      </c>
      <c r="C54" s="9" t="str">
        <f>"6060 135115 65 1-1"</f>
        <v>6060 135115 65 1-1</v>
      </c>
      <c r="D54" s="9" t="str">
        <f>"06 R"</f>
        <v>06 R</v>
      </c>
      <c r="E54" s="10">
        <f t="shared" si="15"/>
        <v>946.38550183500388</v>
      </c>
      <c r="F54" s="11">
        <f t="shared" si="16"/>
        <v>89.199027777777772</v>
      </c>
      <c r="G54" s="11">
        <v>642.23299999999995</v>
      </c>
      <c r="H54" s="11">
        <v>77.766999999999996</v>
      </c>
      <c r="I54" s="11">
        <v>607.79999999999995</v>
      </c>
      <c r="J54" s="11">
        <v>136</v>
      </c>
      <c r="K54" s="11">
        <v>2065807.74</v>
      </c>
      <c r="L54" s="11">
        <v>38534</v>
      </c>
      <c r="M54" s="11">
        <f t="shared" si="17"/>
        <v>53.61</v>
      </c>
      <c r="N54" s="13">
        <v>7</v>
      </c>
      <c r="O54" s="14">
        <v>1.5669999999999999</v>
      </c>
      <c r="P54" s="13">
        <v>10</v>
      </c>
      <c r="Q54" s="14">
        <v>36.799999999999997</v>
      </c>
      <c r="R54" s="12">
        <f t="shared" si="18"/>
        <v>0.93424037693485085</v>
      </c>
      <c r="S54" s="12">
        <f t="shared" si="19"/>
        <v>22.42176904643642</v>
      </c>
      <c r="T54" s="12">
        <f t="shared" si="20"/>
        <v>1.6452780519907866</v>
      </c>
      <c r="U54" s="13">
        <v>36</v>
      </c>
      <c r="V54" s="14">
        <v>31.317</v>
      </c>
      <c r="W54" s="12">
        <f t="shared" si="0"/>
        <v>3.3632653569654631</v>
      </c>
      <c r="X54" s="12">
        <f t="shared" si="1"/>
        <v>80.718368567171112</v>
      </c>
      <c r="Y54" s="12">
        <f t="shared" si="2"/>
        <v>5.9230009871668319</v>
      </c>
      <c r="Z54" s="13">
        <v>5</v>
      </c>
      <c r="AA54" s="14">
        <v>8.0830000000000002</v>
      </c>
      <c r="AB54" s="10">
        <v>3</v>
      </c>
      <c r="AC54" s="12">
        <f t="shared" si="3"/>
        <v>0.28027211308045524</v>
      </c>
      <c r="AD54" s="12">
        <f t="shared" si="4"/>
        <v>6.7265307139309263</v>
      </c>
      <c r="AE54" s="12">
        <f t="shared" si="5"/>
        <v>0.49358341559723595</v>
      </c>
      <c r="AF54" s="13">
        <v>58</v>
      </c>
      <c r="AG54" s="52">
        <v>77.766999999999996</v>
      </c>
      <c r="AH54" s="61">
        <v>49</v>
      </c>
      <c r="AI54" s="16">
        <f t="shared" si="21"/>
        <v>4.5777778469807693</v>
      </c>
      <c r="AJ54" s="48">
        <f t="shared" si="22"/>
        <v>109.86666832753846</v>
      </c>
      <c r="AK54" s="48">
        <f t="shared" si="23"/>
        <v>8.0618624547548539</v>
      </c>
      <c r="AL54" s="57">
        <v>17</v>
      </c>
      <c r="AM54" s="14">
        <v>10.833</v>
      </c>
      <c r="AN54" s="12">
        <f t="shared" si="24"/>
        <v>1.5882086407892464</v>
      </c>
      <c r="AO54" s="12">
        <f t="shared" si="25"/>
        <v>38.117007378941913</v>
      </c>
      <c r="AP54" s="12">
        <f t="shared" si="26"/>
        <v>2.7969726883843373</v>
      </c>
      <c r="AQ54" s="13">
        <v>13</v>
      </c>
      <c r="AR54" s="14">
        <v>16.5</v>
      </c>
      <c r="AS54" s="12">
        <f t="shared" si="6"/>
        <v>1.2145124900153061</v>
      </c>
      <c r="AT54" s="12">
        <f t="shared" si="7"/>
        <v>29.148299760367344</v>
      </c>
      <c r="AU54" s="12">
        <f t="shared" si="8"/>
        <v>2.1388614675880224</v>
      </c>
      <c r="AV54" s="13">
        <v>2</v>
      </c>
      <c r="AW54" s="14">
        <v>1.133</v>
      </c>
      <c r="AX54" s="12">
        <f t="shared" si="9"/>
        <v>0.18684807538697015</v>
      </c>
      <c r="AY54" s="12">
        <f t="shared" si="10"/>
        <v>4.4843538092872839</v>
      </c>
      <c r="AZ54" s="12">
        <f t="shared" si="11"/>
        <v>0.32905561039815734</v>
      </c>
      <c r="BA54" s="13">
        <v>4</v>
      </c>
      <c r="BB54" s="52">
        <v>2.85</v>
      </c>
      <c r="BC54" s="48">
        <f t="shared" si="12"/>
        <v>0.37369615077394031</v>
      </c>
      <c r="BD54" s="48">
        <f t="shared" si="13"/>
        <v>8.9687076185745678</v>
      </c>
      <c r="BE54" s="48">
        <f t="shared" si="14"/>
        <v>0.65811122079631468</v>
      </c>
    </row>
    <row r="55" spans="1:57">
      <c r="A55" s="15" t="s">
        <v>217</v>
      </c>
      <c r="B55" s="9" t="str">
        <f>"51"</f>
        <v>51</v>
      </c>
      <c r="C55" s="9" t="str">
        <f>"3030 7674 77 1-1"</f>
        <v>3030 7674 77 1-1</v>
      </c>
      <c r="D55" s="9" t="str">
        <f>"1122 R"</f>
        <v>1122 R</v>
      </c>
      <c r="E55" s="10">
        <f t="shared" si="15"/>
        <v>952.58349086326405</v>
      </c>
      <c r="F55" s="11">
        <f t="shared" si="16"/>
        <v>88.166666666666657</v>
      </c>
      <c r="G55" s="11">
        <v>634.79999999999995</v>
      </c>
      <c r="H55" s="11">
        <v>85.2</v>
      </c>
      <c r="I55" s="11">
        <v>604.70000000000005</v>
      </c>
      <c r="J55" s="11">
        <v>210.4</v>
      </c>
      <c r="K55" s="11">
        <v>2101314.96</v>
      </c>
      <c r="L55" s="11">
        <v>38088</v>
      </c>
      <c r="M55" s="11">
        <f t="shared" si="17"/>
        <v>55.17</v>
      </c>
      <c r="N55" s="13">
        <v>5</v>
      </c>
      <c r="O55" s="14">
        <v>1.117</v>
      </c>
      <c r="P55" s="13">
        <v>25</v>
      </c>
      <c r="Q55" s="14">
        <v>51.6</v>
      </c>
      <c r="R55" s="12">
        <f t="shared" si="18"/>
        <v>2.3629489603024578</v>
      </c>
      <c r="S55" s="12">
        <f t="shared" si="19"/>
        <v>56.710775047258984</v>
      </c>
      <c r="T55" s="12">
        <f t="shared" si="20"/>
        <v>4.1342814618819244</v>
      </c>
      <c r="U55" s="13">
        <v>37</v>
      </c>
      <c r="V55" s="14">
        <v>30.35</v>
      </c>
      <c r="W55" s="12">
        <f t="shared" si="0"/>
        <v>3.4971644612476371</v>
      </c>
      <c r="X55" s="12">
        <f t="shared" si="1"/>
        <v>83.931947069943291</v>
      </c>
      <c r="Y55" s="12">
        <f t="shared" si="2"/>
        <v>6.1187365635852489</v>
      </c>
      <c r="Z55" s="13">
        <v>4</v>
      </c>
      <c r="AA55" s="14">
        <v>2.133</v>
      </c>
      <c r="AB55" s="10">
        <v>0</v>
      </c>
      <c r="AC55" s="12">
        <f t="shared" si="3"/>
        <v>0</v>
      </c>
      <c r="AD55" s="12">
        <f t="shared" si="4"/>
        <v>0</v>
      </c>
      <c r="AE55" s="12">
        <f t="shared" si="5"/>
        <v>0</v>
      </c>
      <c r="AF55" s="13">
        <v>71</v>
      </c>
      <c r="AG55" s="52">
        <v>85.2</v>
      </c>
      <c r="AH55" s="61">
        <v>62</v>
      </c>
      <c r="AI55" s="16">
        <f t="shared" si="21"/>
        <v>5.8601134215500945</v>
      </c>
      <c r="AJ55" s="48">
        <f t="shared" si="22"/>
        <v>140.64272211720228</v>
      </c>
      <c r="AK55" s="48">
        <f t="shared" si="23"/>
        <v>10.253018025467172</v>
      </c>
      <c r="AL55" s="57">
        <v>25</v>
      </c>
      <c r="AM55" s="14">
        <v>18.216999999999999</v>
      </c>
      <c r="AN55" s="12">
        <f t="shared" si="24"/>
        <v>2.3629489603024578</v>
      </c>
      <c r="AO55" s="12">
        <f t="shared" si="25"/>
        <v>56.710775047258984</v>
      </c>
      <c r="AP55" s="12">
        <f t="shared" si="26"/>
        <v>4.1342814618819244</v>
      </c>
      <c r="AQ55" s="13">
        <v>6</v>
      </c>
      <c r="AR55" s="14">
        <v>6.7329999999999997</v>
      </c>
      <c r="AS55" s="12">
        <f t="shared" si="6"/>
        <v>0.56710775047258988</v>
      </c>
      <c r="AT55" s="12">
        <f t="shared" si="7"/>
        <v>13.610586011342155</v>
      </c>
      <c r="AU55" s="12">
        <f t="shared" si="8"/>
        <v>0.99222755085166192</v>
      </c>
      <c r="AV55" s="13">
        <v>4</v>
      </c>
      <c r="AW55" s="14">
        <v>2.1669999999999998</v>
      </c>
      <c r="AX55" s="12">
        <f t="shared" si="9"/>
        <v>0.3780718336483932</v>
      </c>
      <c r="AY55" s="12">
        <f t="shared" si="10"/>
        <v>9.073724007561438</v>
      </c>
      <c r="AZ55" s="12">
        <f t="shared" si="11"/>
        <v>0.66148503390110791</v>
      </c>
      <c r="BA55" s="13">
        <v>2</v>
      </c>
      <c r="BB55" s="52">
        <v>3.2330000000000001</v>
      </c>
      <c r="BC55" s="48">
        <f t="shared" si="12"/>
        <v>0.1890359168241966</v>
      </c>
      <c r="BD55" s="48">
        <f t="shared" si="13"/>
        <v>4.536862003780719</v>
      </c>
      <c r="BE55" s="48">
        <f t="shared" si="14"/>
        <v>0.33074251695055396</v>
      </c>
    </row>
    <row r="56" spans="1:57">
      <c r="A56" s="15" t="s">
        <v>217</v>
      </c>
      <c r="B56" s="9" t="str">
        <f>"52"</f>
        <v>52</v>
      </c>
      <c r="C56" s="9" t="str">
        <f>"3030 7674 72 1-1"</f>
        <v>3030 7674 72 1-1</v>
      </c>
      <c r="D56" s="9" t="str">
        <f>"1132 R"</f>
        <v>1132 R</v>
      </c>
      <c r="E56" s="10">
        <f t="shared" si="15"/>
        <v>835.65099908477089</v>
      </c>
      <c r="F56" s="11">
        <f t="shared" si="16"/>
        <v>86.044027777777785</v>
      </c>
      <c r="G56" s="11">
        <v>619.51700000000005</v>
      </c>
      <c r="H56" s="11">
        <v>100.483</v>
      </c>
      <c r="I56" s="11">
        <v>517.70000000000005</v>
      </c>
      <c r="J56" s="11">
        <v>180.2</v>
      </c>
      <c r="K56" s="11">
        <v>1784208</v>
      </c>
      <c r="L56" s="11">
        <v>37171</v>
      </c>
      <c r="M56" s="11">
        <f t="shared" si="17"/>
        <v>48</v>
      </c>
      <c r="N56" s="13">
        <v>5</v>
      </c>
      <c r="O56" s="14">
        <v>1.65</v>
      </c>
      <c r="P56" s="13">
        <v>20</v>
      </c>
      <c r="Q56" s="14">
        <v>39.700000000000003</v>
      </c>
      <c r="R56" s="12">
        <f t="shared" si="18"/>
        <v>1.9369928508822194</v>
      </c>
      <c r="S56" s="12">
        <f t="shared" si="19"/>
        <v>46.487828421173262</v>
      </c>
      <c r="T56" s="12">
        <f t="shared" si="20"/>
        <v>3.8632412594166503</v>
      </c>
      <c r="U56" s="13">
        <v>50</v>
      </c>
      <c r="V56" s="14">
        <v>52.45</v>
      </c>
      <c r="W56" s="12">
        <f t="shared" si="0"/>
        <v>4.8424821272055487</v>
      </c>
      <c r="X56" s="12">
        <f t="shared" si="1"/>
        <v>116.21957105293316</v>
      </c>
      <c r="Y56" s="12">
        <f t="shared" si="2"/>
        <v>9.6581031485416258</v>
      </c>
      <c r="Z56" s="13">
        <v>6</v>
      </c>
      <c r="AA56" s="14">
        <v>6.6829999999999998</v>
      </c>
      <c r="AB56" s="10">
        <v>1</v>
      </c>
      <c r="AC56" s="12">
        <f t="shared" si="3"/>
        <v>9.6849642544110964E-2</v>
      </c>
      <c r="AD56" s="12">
        <f t="shared" si="4"/>
        <v>2.3243914210586634</v>
      </c>
      <c r="AE56" s="12">
        <f t="shared" si="5"/>
        <v>0.19316206297083252</v>
      </c>
      <c r="AF56" s="13">
        <v>81</v>
      </c>
      <c r="AG56" s="52">
        <v>100.483</v>
      </c>
      <c r="AH56" s="61">
        <v>71</v>
      </c>
      <c r="AI56" s="16">
        <f t="shared" si="21"/>
        <v>6.8763246206318787</v>
      </c>
      <c r="AJ56" s="48">
        <f t="shared" si="22"/>
        <v>165.0317908951651</v>
      </c>
      <c r="AK56" s="48">
        <f t="shared" si="23"/>
        <v>13.714506470929109</v>
      </c>
      <c r="AL56" s="57">
        <v>25</v>
      </c>
      <c r="AM56" s="14">
        <v>23.45</v>
      </c>
      <c r="AN56" s="12">
        <f t="shared" si="24"/>
        <v>2.4212410636027744</v>
      </c>
      <c r="AO56" s="12">
        <f t="shared" si="25"/>
        <v>58.109785526466581</v>
      </c>
      <c r="AP56" s="12">
        <f t="shared" si="26"/>
        <v>4.8290515742708129</v>
      </c>
      <c r="AQ56" s="13">
        <v>17</v>
      </c>
      <c r="AR56" s="14">
        <v>23</v>
      </c>
      <c r="AS56" s="12">
        <f t="shared" si="6"/>
        <v>1.6464439232498864</v>
      </c>
      <c r="AT56" s="12">
        <f t="shared" si="7"/>
        <v>39.514654157997278</v>
      </c>
      <c r="AU56" s="12">
        <f t="shared" si="8"/>
        <v>3.2837550705041525</v>
      </c>
      <c r="AV56" s="13">
        <v>1</v>
      </c>
      <c r="AW56" s="14">
        <v>0.76700000000000002</v>
      </c>
      <c r="AX56" s="12">
        <f t="shared" si="9"/>
        <v>9.6849642544110964E-2</v>
      </c>
      <c r="AY56" s="12">
        <f t="shared" si="10"/>
        <v>2.3243914210586634</v>
      </c>
      <c r="AZ56" s="12">
        <f t="shared" si="11"/>
        <v>0.19316206297083252</v>
      </c>
      <c r="BA56" s="13">
        <v>7</v>
      </c>
      <c r="BB56" s="52">
        <v>5.2329999999999997</v>
      </c>
      <c r="BC56" s="48">
        <f t="shared" si="12"/>
        <v>0.67794749780877683</v>
      </c>
      <c r="BD56" s="48">
        <f t="shared" si="13"/>
        <v>16.270739947410643</v>
      </c>
      <c r="BE56" s="48">
        <f t="shared" si="14"/>
        <v>1.3521344407958276</v>
      </c>
    </row>
    <row r="57" spans="1:57">
      <c r="A57" s="15" t="s">
        <v>217</v>
      </c>
      <c r="B57" s="9" t="str">
        <f>"53"</f>
        <v>53</v>
      </c>
      <c r="C57" s="9" t="str">
        <f>"4040 11082 124 1-1"</f>
        <v>4040 11082 124 1-1</v>
      </c>
      <c r="D57" s="9" t="str">
        <f>"1039 R"</f>
        <v>1039 R</v>
      </c>
      <c r="E57" s="10">
        <f t="shared" si="15"/>
        <v>777.99956900145196</v>
      </c>
      <c r="F57" s="11">
        <f t="shared" si="16"/>
        <v>88.296250000000001</v>
      </c>
      <c r="G57" s="11">
        <v>635.73299999999995</v>
      </c>
      <c r="H57" s="11">
        <v>84.266999999999996</v>
      </c>
      <c r="I57" s="11">
        <v>494.6</v>
      </c>
      <c r="J57" s="11">
        <v>155.1</v>
      </c>
      <c r="K57" s="11">
        <v>4154644.48</v>
      </c>
      <c r="L57" s="11">
        <v>38144</v>
      </c>
      <c r="M57" s="11">
        <f t="shared" si="17"/>
        <v>108.92</v>
      </c>
      <c r="N57" s="13">
        <v>9</v>
      </c>
      <c r="O57" s="14">
        <v>6.8</v>
      </c>
      <c r="P57" s="13">
        <v>21</v>
      </c>
      <c r="Q57" s="14">
        <v>32.200000000000003</v>
      </c>
      <c r="R57" s="12">
        <f t="shared" si="18"/>
        <v>1.9819641264493115</v>
      </c>
      <c r="S57" s="12">
        <f t="shared" si="19"/>
        <v>47.567139034783473</v>
      </c>
      <c r="T57" s="12">
        <f t="shared" si="20"/>
        <v>4.2458552365547915</v>
      </c>
      <c r="U57" s="13">
        <v>34</v>
      </c>
      <c r="V57" s="14">
        <v>24.95</v>
      </c>
      <c r="W57" s="12">
        <f t="shared" si="0"/>
        <v>3.2088942999655519</v>
      </c>
      <c r="X57" s="12">
        <f t="shared" si="1"/>
        <v>77.013463199173245</v>
      </c>
      <c r="Y57" s="12">
        <f t="shared" si="2"/>
        <v>6.8742418115649002</v>
      </c>
      <c r="Z57" s="13">
        <v>17</v>
      </c>
      <c r="AA57" s="14">
        <v>20.317</v>
      </c>
      <c r="AB57" s="10">
        <v>0</v>
      </c>
      <c r="AC57" s="12">
        <f t="shared" si="3"/>
        <v>0</v>
      </c>
      <c r="AD57" s="12">
        <f t="shared" si="4"/>
        <v>0</v>
      </c>
      <c r="AE57" s="12">
        <f t="shared" si="5"/>
        <v>0</v>
      </c>
      <c r="AF57" s="13">
        <v>81</v>
      </c>
      <c r="AG57" s="52">
        <v>84.266999999999996</v>
      </c>
      <c r="AH57" s="61">
        <v>55</v>
      </c>
      <c r="AI57" s="16">
        <f t="shared" si="21"/>
        <v>5.1908584264148629</v>
      </c>
      <c r="AJ57" s="48">
        <f t="shared" si="22"/>
        <v>124.58060223395672</v>
      </c>
      <c r="AK57" s="48">
        <f t="shared" si="23"/>
        <v>11.120097048119693</v>
      </c>
      <c r="AL57" s="57">
        <v>19</v>
      </c>
      <c r="AM57" s="14">
        <v>15.382999999999999</v>
      </c>
      <c r="AN57" s="12">
        <f t="shared" si="24"/>
        <v>1.7932056382160437</v>
      </c>
      <c r="AO57" s="12">
        <f t="shared" si="25"/>
        <v>43.036935317185048</v>
      </c>
      <c r="AP57" s="12">
        <f t="shared" si="26"/>
        <v>3.8414880711686208</v>
      </c>
      <c r="AQ57" s="13">
        <v>10</v>
      </c>
      <c r="AR57" s="14">
        <v>4.9669999999999996</v>
      </c>
      <c r="AS57" s="12">
        <f t="shared" si="6"/>
        <v>0.94379244116633876</v>
      </c>
      <c r="AT57" s="12">
        <f t="shared" si="7"/>
        <v>22.65101858799213</v>
      </c>
      <c r="AU57" s="12">
        <f t="shared" si="8"/>
        <v>2.021835826930853</v>
      </c>
      <c r="AV57" s="13">
        <v>4</v>
      </c>
      <c r="AW57" s="14">
        <v>3.9670000000000001</v>
      </c>
      <c r="AX57" s="12">
        <f t="shared" si="9"/>
        <v>0.37751697646653554</v>
      </c>
      <c r="AY57" s="12">
        <f t="shared" si="10"/>
        <v>9.0604074351968524</v>
      </c>
      <c r="AZ57" s="12">
        <f t="shared" si="11"/>
        <v>0.80873433077234125</v>
      </c>
      <c r="BA57" s="13">
        <v>1</v>
      </c>
      <c r="BB57" s="52">
        <v>0.63300000000000001</v>
      </c>
      <c r="BC57" s="48">
        <f t="shared" si="12"/>
        <v>9.4379244116633884E-2</v>
      </c>
      <c r="BD57" s="48">
        <f t="shared" si="13"/>
        <v>2.2651018587992131</v>
      </c>
      <c r="BE57" s="48">
        <f t="shared" si="14"/>
        <v>0.20218358269308531</v>
      </c>
    </row>
    <row r="58" spans="1:57">
      <c r="A58" s="15" t="s">
        <v>217</v>
      </c>
      <c r="B58" s="9" t="str">
        <f>"54"</f>
        <v>54</v>
      </c>
      <c r="C58" s="9" t="str">
        <f>"4040 13079 67x59 4-1"</f>
        <v>4040 13079 67x59 4-1</v>
      </c>
      <c r="D58" s="9" t="str">
        <f>"1160 Z"</f>
        <v>1160 Z</v>
      </c>
      <c r="E58" s="10">
        <f t="shared" si="15"/>
        <v>581.65608537079561</v>
      </c>
      <c r="F58" s="11">
        <f t="shared" si="16"/>
        <v>51.409722222222221</v>
      </c>
      <c r="G58" s="11">
        <v>370.15</v>
      </c>
      <c r="H58" s="11">
        <v>349.85</v>
      </c>
      <c r="I58" s="11">
        <v>215.3</v>
      </c>
      <c r="J58" s="11">
        <v>70.3</v>
      </c>
      <c r="K58" s="11">
        <v>2305960.4700000002</v>
      </c>
      <c r="L58" s="11">
        <v>22209</v>
      </c>
      <c r="M58" s="11">
        <f t="shared" si="17"/>
        <v>103.83000000000001</v>
      </c>
      <c r="N58" s="13">
        <v>5</v>
      </c>
      <c r="O58" s="14">
        <v>52.582999999999998</v>
      </c>
      <c r="P58" s="13">
        <v>41</v>
      </c>
      <c r="Q58" s="14">
        <v>233.483</v>
      </c>
      <c r="R58" s="12">
        <f t="shared" si="18"/>
        <v>6.6459543428339867</v>
      </c>
      <c r="S58" s="12">
        <f t="shared" si="19"/>
        <v>159.50290422801567</v>
      </c>
      <c r="T58" s="12">
        <f t="shared" si="20"/>
        <v>19.043195541105433</v>
      </c>
      <c r="U58" s="13">
        <v>29</v>
      </c>
      <c r="V58" s="14">
        <v>41.55</v>
      </c>
      <c r="W58" s="12">
        <f t="shared" si="0"/>
        <v>4.7007969741996494</v>
      </c>
      <c r="X58" s="12">
        <f t="shared" si="1"/>
        <v>112.81912738079158</v>
      </c>
      <c r="Y58" s="12">
        <f t="shared" si="2"/>
        <v>13.469577333952623</v>
      </c>
      <c r="Z58" s="13">
        <v>0</v>
      </c>
      <c r="AA58" s="14">
        <v>22.233000000000001</v>
      </c>
      <c r="AB58" s="10">
        <v>0</v>
      </c>
      <c r="AC58" s="12">
        <f t="shared" si="3"/>
        <v>0</v>
      </c>
      <c r="AD58" s="12">
        <f t="shared" si="4"/>
        <v>0</v>
      </c>
      <c r="AE58" s="12">
        <f t="shared" si="5"/>
        <v>0</v>
      </c>
      <c r="AF58" s="13">
        <v>75</v>
      </c>
      <c r="AG58" s="52">
        <v>349.84899999999999</v>
      </c>
      <c r="AH58" s="61">
        <v>70</v>
      </c>
      <c r="AI58" s="16">
        <f t="shared" si="21"/>
        <v>11.346751317033636</v>
      </c>
      <c r="AJ58" s="48">
        <f t="shared" si="22"/>
        <v>272.32203160880727</v>
      </c>
      <c r="AK58" s="48">
        <f t="shared" si="23"/>
        <v>32.512772875058054</v>
      </c>
      <c r="AL58" s="57">
        <v>8</v>
      </c>
      <c r="AM58" s="14">
        <v>10.217000000000001</v>
      </c>
      <c r="AN58" s="12">
        <f t="shared" si="24"/>
        <v>1.2967715790895584</v>
      </c>
      <c r="AO58" s="12">
        <f t="shared" si="25"/>
        <v>31.1225178981494</v>
      </c>
      <c r="AP58" s="12">
        <f t="shared" si="26"/>
        <v>3.7157454714352065</v>
      </c>
      <c r="AQ58" s="13">
        <v>14</v>
      </c>
      <c r="AR58" s="14">
        <v>23.567</v>
      </c>
      <c r="AS58" s="12">
        <f t="shared" si="6"/>
        <v>2.2693502634067273</v>
      </c>
      <c r="AT58" s="12">
        <f t="shared" si="7"/>
        <v>54.464406321761452</v>
      </c>
      <c r="AU58" s="12">
        <f t="shared" si="8"/>
        <v>6.5025545750116116</v>
      </c>
      <c r="AV58" s="13">
        <v>5</v>
      </c>
      <c r="AW58" s="14">
        <v>5.95</v>
      </c>
      <c r="AX58" s="12">
        <f t="shared" si="9"/>
        <v>0.81048223693097399</v>
      </c>
      <c r="AY58" s="12">
        <f t="shared" si="10"/>
        <v>19.451573686343377</v>
      </c>
      <c r="AZ58" s="12">
        <f t="shared" si="11"/>
        <v>2.322340919647004</v>
      </c>
      <c r="BA58" s="13">
        <v>2</v>
      </c>
      <c r="BB58" s="52">
        <v>1.8169999999999999</v>
      </c>
      <c r="BC58" s="48">
        <f t="shared" si="12"/>
        <v>0.32419289477238961</v>
      </c>
      <c r="BD58" s="48">
        <f t="shared" si="13"/>
        <v>7.7806294745373501</v>
      </c>
      <c r="BE58" s="48">
        <f t="shared" si="14"/>
        <v>0.92893636785880163</v>
      </c>
    </row>
    <row r="59" spans="1:57">
      <c r="A59" s="15" t="s">
        <v>217</v>
      </c>
      <c r="B59" s="9" t="str">
        <f>"55"</f>
        <v>55</v>
      </c>
      <c r="C59" s="9" t="str">
        <f>"4040 10080 124 1-1"</f>
        <v>4040 10080 124 1-1</v>
      </c>
      <c r="D59" s="9" t="str">
        <f>"1195 Z"</f>
        <v>1195 Z</v>
      </c>
      <c r="E59" s="10">
        <f t="shared" si="15"/>
        <v>780.28007847424647</v>
      </c>
      <c r="F59" s="11">
        <f t="shared" si="16"/>
        <v>87.148194444444442</v>
      </c>
      <c r="G59" s="11">
        <v>627.46699999999998</v>
      </c>
      <c r="H59" s="11">
        <v>92.533000000000001</v>
      </c>
      <c r="I59" s="11">
        <v>489.6</v>
      </c>
      <c r="J59" s="11">
        <v>156.4</v>
      </c>
      <c r="K59" s="11">
        <v>4766236.8</v>
      </c>
      <c r="L59" s="11">
        <v>37648</v>
      </c>
      <c r="M59" s="11">
        <f t="shared" si="17"/>
        <v>126.6</v>
      </c>
      <c r="N59" s="13">
        <v>6</v>
      </c>
      <c r="O59" s="14">
        <v>2.6829999999999998</v>
      </c>
      <c r="P59" s="13">
        <v>34</v>
      </c>
      <c r="Q59" s="14">
        <v>54.95</v>
      </c>
      <c r="R59" s="12">
        <f t="shared" si="18"/>
        <v>3.2511669936426935</v>
      </c>
      <c r="S59" s="12">
        <f t="shared" si="19"/>
        <v>78.028007847424647</v>
      </c>
      <c r="T59" s="12">
        <f t="shared" si="20"/>
        <v>6.9444444444444438</v>
      </c>
      <c r="U59" s="13">
        <v>22</v>
      </c>
      <c r="V59" s="14">
        <v>20.983000000000001</v>
      </c>
      <c r="W59" s="12">
        <f t="shared" si="0"/>
        <v>2.1036962900040961</v>
      </c>
      <c r="X59" s="12">
        <f t="shared" si="1"/>
        <v>50.488710960098302</v>
      </c>
      <c r="Y59" s="12">
        <f t="shared" si="2"/>
        <v>4.4934640522875817</v>
      </c>
      <c r="Z59" s="13">
        <v>7</v>
      </c>
      <c r="AA59" s="14">
        <v>13.916</v>
      </c>
      <c r="AB59" s="10">
        <v>0</v>
      </c>
      <c r="AC59" s="12">
        <f t="shared" si="3"/>
        <v>0</v>
      </c>
      <c r="AD59" s="12">
        <f t="shared" si="4"/>
        <v>0</v>
      </c>
      <c r="AE59" s="12">
        <f t="shared" si="5"/>
        <v>0</v>
      </c>
      <c r="AF59" s="13">
        <v>69</v>
      </c>
      <c r="AG59" s="52">
        <v>92.531999999999996</v>
      </c>
      <c r="AH59" s="61">
        <v>56</v>
      </c>
      <c r="AI59" s="16">
        <f t="shared" si="21"/>
        <v>5.3548632836467895</v>
      </c>
      <c r="AJ59" s="48">
        <f t="shared" si="22"/>
        <v>128.51671880752295</v>
      </c>
      <c r="AK59" s="48">
        <f t="shared" si="23"/>
        <v>11.437908496732026</v>
      </c>
      <c r="AL59" s="57">
        <v>10</v>
      </c>
      <c r="AM59" s="14">
        <v>10.766999999999999</v>
      </c>
      <c r="AN59" s="12">
        <f t="shared" si="24"/>
        <v>0.95622558636549815</v>
      </c>
      <c r="AO59" s="12">
        <f t="shared" si="25"/>
        <v>22.949414072771955</v>
      </c>
      <c r="AP59" s="12">
        <f t="shared" si="26"/>
        <v>2.0424836601307188</v>
      </c>
      <c r="AQ59" s="13">
        <v>7</v>
      </c>
      <c r="AR59" s="14">
        <v>6.5830000000000002</v>
      </c>
      <c r="AS59" s="12">
        <f t="shared" si="6"/>
        <v>0.66935791045584869</v>
      </c>
      <c r="AT59" s="12">
        <f t="shared" si="7"/>
        <v>16.064589850940369</v>
      </c>
      <c r="AU59" s="12">
        <f t="shared" si="8"/>
        <v>1.4297385620915033</v>
      </c>
      <c r="AV59" s="13">
        <v>4</v>
      </c>
      <c r="AW59" s="14">
        <v>2.117</v>
      </c>
      <c r="AX59" s="12">
        <f t="shared" si="9"/>
        <v>0.38249023454619924</v>
      </c>
      <c r="AY59" s="12">
        <f t="shared" si="10"/>
        <v>9.1797656291087826</v>
      </c>
      <c r="AZ59" s="12">
        <f t="shared" si="11"/>
        <v>0.81699346405228757</v>
      </c>
      <c r="BA59" s="13">
        <v>1</v>
      </c>
      <c r="BB59" s="52">
        <v>1.5169999999999999</v>
      </c>
      <c r="BC59" s="48">
        <f t="shared" si="12"/>
        <v>9.5622558636549809E-2</v>
      </c>
      <c r="BD59" s="48">
        <f t="shared" si="13"/>
        <v>2.2949414072771956</v>
      </c>
      <c r="BE59" s="48">
        <f t="shared" si="14"/>
        <v>0.20424836601307189</v>
      </c>
    </row>
    <row r="60" spans="1:57">
      <c r="A60" s="15" t="s">
        <v>217</v>
      </c>
      <c r="B60" s="9" t="str">
        <f>"56"</f>
        <v>56</v>
      </c>
      <c r="C60" s="9" t="str">
        <f>"4040 10080 124 1-1"</f>
        <v>4040 10080 124 1-1</v>
      </c>
      <c r="D60" s="9" t="str">
        <f>"1022 Z"</f>
        <v>1022 Z</v>
      </c>
      <c r="E60" s="10">
        <f t="shared" si="15"/>
        <v>697.79259965062727</v>
      </c>
      <c r="F60" s="11">
        <f t="shared" si="16"/>
        <v>87.458333333333343</v>
      </c>
      <c r="G60" s="11">
        <v>629.70000000000005</v>
      </c>
      <c r="H60" s="11">
        <v>90.3</v>
      </c>
      <c r="I60" s="11">
        <v>439.4</v>
      </c>
      <c r="J60" s="11">
        <v>140.4</v>
      </c>
      <c r="K60" s="11">
        <v>3840540.3</v>
      </c>
      <c r="L60" s="11">
        <v>37782</v>
      </c>
      <c r="M60" s="11">
        <f t="shared" si="17"/>
        <v>101.64999999999999</v>
      </c>
      <c r="N60" s="13">
        <v>3</v>
      </c>
      <c r="O60" s="14">
        <v>2</v>
      </c>
      <c r="P60" s="13">
        <v>26</v>
      </c>
      <c r="Q60" s="14">
        <v>48.917000000000002</v>
      </c>
      <c r="R60" s="12">
        <f t="shared" si="18"/>
        <v>2.477370176274416</v>
      </c>
      <c r="S60" s="12">
        <f t="shared" si="19"/>
        <v>59.456884230585992</v>
      </c>
      <c r="T60" s="12">
        <f t="shared" si="20"/>
        <v>5.9171597633136095</v>
      </c>
      <c r="U60" s="13">
        <v>33</v>
      </c>
      <c r="V60" s="14">
        <v>36.85</v>
      </c>
      <c r="W60" s="12">
        <f t="shared" si="0"/>
        <v>3.1443544545021438</v>
      </c>
      <c r="X60" s="12">
        <f t="shared" si="1"/>
        <v>75.464506908051447</v>
      </c>
      <c r="Y60" s="12">
        <f t="shared" si="2"/>
        <v>7.510241238051889</v>
      </c>
      <c r="Z60" s="13">
        <v>2</v>
      </c>
      <c r="AA60" s="14">
        <v>2.5329999999999999</v>
      </c>
      <c r="AB60" s="10">
        <v>0</v>
      </c>
      <c r="AC60" s="12">
        <f t="shared" si="3"/>
        <v>0</v>
      </c>
      <c r="AD60" s="12">
        <f t="shared" si="4"/>
        <v>0</v>
      </c>
      <c r="AE60" s="12">
        <f t="shared" si="5"/>
        <v>0</v>
      </c>
      <c r="AF60" s="13">
        <v>64</v>
      </c>
      <c r="AG60" s="52">
        <v>90.3</v>
      </c>
      <c r="AH60" s="61">
        <v>59</v>
      </c>
      <c r="AI60" s="16">
        <f t="shared" si="21"/>
        <v>5.6217246307765603</v>
      </c>
      <c r="AJ60" s="48">
        <f t="shared" si="22"/>
        <v>134.92139113863743</v>
      </c>
      <c r="AK60" s="48">
        <f t="shared" si="23"/>
        <v>13.427401001365499</v>
      </c>
      <c r="AL60" s="57">
        <v>10</v>
      </c>
      <c r="AM60" s="14">
        <v>9.1669999999999998</v>
      </c>
      <c r="AN60" s="12">
        <f t="shared" si="24"/>
        <v>0.95283468318246778</v>
      </c>
      <c r="AO60" s="12">
        <f t="shared" si="25"/>
        <v>22.868032396379228</v>
      </c>
      <c r="AP60" s="12">
        <f t="shared" si="26"/>
        <v>2.2758306781975421</v>
      </c>
      <c r="AQ60" s="13">
        <v>11</v>
      </c>
      <c r="AR60" s="14">
        <v>18.45</v>
      </c>
      <c r="AS60" s="12">
        <f t="shared" si="6"/>
        <v>1.0481181515007145</v>
      </c>
      <c r="AT60" s="12">
        <f t="shared" si="7"/>
        <v>25.15483563601715</v>
      </c>
      <c r="AU60" s="12">
        <f t="shared" si="8"/>
        <v>2.5034137460172965</v>
      </c>
      <c r="AV60" s="13">
        <v>9</v>
      </c>
      <c r="AW60" s="14">
        <v>7.75</v>
      </c>
      <c r="AX60" s="12">
        <f t="shared" si="9"/>
        <v>0.85755121486422103</v>
      </c>
      <c r="AY60" s="12">
        <f t="shared" si="10"/>
        <v>20.581229156741305</v>
      </c>
      <c r="AZ60" s="12">
        <f t="shared" si="11"/>
        <v>2.0482476103777878</v>
      </c>
      <c r="BA60" s="13">
        <v>3</v>
      </c>
      <c r="BB60" s="52">
        <v>1.4830000000000001</v>
      </c>
      <c r="BC60" s="48">
        <f t="shared" si="12"/>
        <v>0.28585040495474034</v>
      </c>
      <c r="BD60" s="48">
        <f t="shared" si="13"/>
        <v>6.8604097189137683</v>
      </c>
      <c r="BE60" s="48">
        <f t="shared" si="14"/>
        <v>0.68274920345926271</v>
      </c>
    </row>
    <row r="61" spans="1:57">
      <c r="A61" s="15" t="s">
        <v>217</v>
      </c>
      <c r="B61" s="9" t="str">
        <f>"57"</f>
        <v>57</v>
      </c>
      <c r="C61" s="9" t="str">
        <f>"6060 18587 126 4-1"</f>
        <v>6060 18587 126 4-1</v>
      </c>
      <c r="D61" s="9" t="str">
        <f>"1043 Z"</f>
        <v>1043 Z</v>
      </c>
      <c r="E61" s="10">
        <f t="shared" si="15"/>
        <v>661.49688638232874</v>
      </c>
      <c r="F61" s="11">
        <f t="shared" si="16"/>
        <v>59.100062495660026</v>
      </c>
      <c r="G61" s="11">
        <v>425.55</v>
      </c>
      <c r="H61" s="11">
        <v>294.5</v>
      </c>
      <c r="I61" s="11">
        <v>281.5</v>
      </c>
      <c r="J61" s="11">
        <v>84.7</v>
      </c>
      <c r="K61" s="11">
        <v>2337035.4900000002</v>
      </c>
      <c r="L61" s="11">
        <v>25533</v>
      </c>
      <c r="M61" s="11">
        <f t="shared" si="17"/>
        <v>91.530000000000015</v>
      </c>
      <c r="N61" s="13">
        <v>16</v>
      </c>
      <c r="O61" s="14">
        <v>22.5</v>
      </c>
      <c r="P61" s="13">
        <v>14</v>
      </c>
      <c r="Q61" s="14">
        <v>44.65</v>
      </c>
      <c r="R61" s="12">
        <f t="shared" si="18"/>
        <v>1.973916108565386</v>
      </c>
      <c r="S61" s="12">
        <f t="shared" si="19"/>
        <v>47.373986605569264</v>
      </c>
      <c r="T61" s="12">
        <f t="shared" si="20"/>
        <v>4.9733570159857905</v>
      </c>
      <c r="U61" s="13">
        <v>21</v>
      </c>
      <c r="V61" s="14">
        <v>11.9</v>
      </c>
      <c r="W61" s="12">
        <f t="shared" si="0"/>
        <v>2.960874162848079</v>
      </c>
      <c r="X61" s="12">
        <f t="shared" si="1"/>
        <v>71.060979908353886</v>
      </c>
      <c r="Y61" s="12">
        <f t="shared" si="2"/>
        <v>7.4600355239786857</v>
      </c>
      <c r="Z61" s="13">
        <v>5</v>
      </c>
      <c r="AA61" s="14">
        <v>215.45</v>
      </c>
      <c r="AB61" s="10">
        <v>0</v>
      </c>
      <c r="AC61" s="12">
        <f t="shared" si="3"/>
        <v>0</v>
      </c>
      <c r="AD61" s="12">
        <f t="shared" si="4"/>
        <v>0</v>
      </c>
      <c r="AE61" s="12">
        <f t="shared" si="5"/>
        <v>0</v>
      </c>
      <c r="AF61" s="13">
        <v>56</v>
      </c>
      <c r="AG61" s="52">
        <v>294.5</v>
      </c>
      <c r="AH61" s="61">
        <v>35</v>
      </c>
      <c r="AI61" s="16">
        <f t="shared" si="21"/>
        <v>4.9347902714134646</v>
      </c>
      <c r="AJ61" s="48">
        <f t="shared" si="22"/>
        <v>118.43496651392316</v>
      </c>
      <c r="AK61" s="48">
        <f t="shared" si="23"/>
        <v>12.433392539964476</v>
      </c>
      <c r="AL61" s="57">
        <v>6</v>
      </c>
      <c r="AM61" s="14">
        <v>2.4169999999999998</v>
      </c>
      <c r="AN61" s="12">
        <f t="shared" si="24"/>
        <v>0.84596404652802248</v>
      </c>
      <c r="AO61" s="12">
        <f t="shared" si="25"/>
        <v>20.303137116672541</v>
      </c>
      <c r="AP61" s="12">
        <f t="shared" si="26"/>
        <v>2.1314387211367674</v>
      </c>
      <c r="AQ61" s="13">
        <v>10</v>
      </c>
      <c r="AR61" s="14">
        <v>5.633</v>
      </c>
      <c r="AS61" s="12">
        <f t="shared" si="6"/>
        <v>1.4099400775467041</v>
      </c>
      <c r="AT61" s="12">
        <f t="shared" si="7"/>
        <v>33.838561861120901</v>
      </c>
      <c r="AU61" s="12">
        <f t="shared" si="8"/>
        <v>3.5523978685612789</v>
      </c>
      <c r="AV61" s="13">
        <v>2</v>
      </c>
      <c r="AW61" s="14">
        <v>1.417</v>
      </c>
      <c r="AX61" s="12">
        <f t="shared" si="9"/>
        <v>0.28198801550934083</v>
      </c>
      <c r="AY61" s="12">
        <f t="shared" si="10"/>
        <v>6.7677123722241799</v>
      </c>
      <c r="AZ61" s="12">
        <f t="shared" si="11"/>
        <v>0.71047957371225579</v>
      </c>
      <c r="BA61" s="13">
        <v>3</v>
      </c>
      <c r="BB61" s="52">
        <v>2.4329999999999998</v>
      </c>
      <c r="BC61" s="48">
        <f t="shared" si="12"/>
        <v>0.42298202326401124</v>
      </c>
      <c r="BD61" s="48">
        <f t="shared" si="13"/>
        <v>10.151568558336271</v>
      </c>
      <c r="BE61" s="48">
        <f t="shared" si="14"/>
        <v>1.0657193605683837</v>
      </c>
    </row>
    <row r="62" spans="1:57">
      <c r="A62" s="15" t="s">
        <v>217</v>
      </c>
      <c r="B62" s="9" t="str">
        <f>"58"</f>
        <v>58</v>
      </c>
      <c r="C62" s="9" t="str">
        <f>"6060 18587 123 4-1"</f>
        <v>6060 18587 123 4-1</v>
      </c>
      <c r="D62" s="9" t="str">
        <f>"1029 R"</f>
        <v>1029 R</v>
      </c>
      <c r="E62" s="10">
        <f t="shared" si="15"/>
        <v>648.40603459528495</v>
      </c>
      <c r="F62" s="11">
        <f t="shared" si="16"/>
        <v>88.314861111111114</v>
      </c>
      <c r="G62" s="11">
        <v>635.86699999999996</v>
      </c>
      <c r="H62" s="11">
        <v>84.132999999999996</v>
      </c>
      <c r="I62" s="11">
        <v>412.3</v>
      </c>
      <c r="J62" s="11">
        <v>120.4</v>
      </c>
      <c r="K62" s="11">
        <v>3649238.8</v>
      </c>
      <c r="L62" s="11">
        <v>38152</v>
      </c>
      <c r="M62" s="11">
        <f t="shared" si="17"/>
        <v>95.649999999999991</v>
      </c>
      <c r="N62" s="13">
        <v>4</v>
      </c>
      <c r="O62" s="14">
        <v>3.7</v>
      </c>
      <c r="P62" s="13">
        <v>27</v>
      </c>
      <c r="Q62" s="14">
        <v>56.933</v>
      </c>
      <c r="R62" s="12">
        <f t="shared" si="18"/>
        <v>2.5477025856035933</v>
      </c>
      <c r="S62" s="12">
        <f t="shared" si="19"/>
        <v>61.144862054486239</v>
      </c>
      <c r="T62" s="12">
        <f t="shared" si="20"/>
        <v>6.5486296386126606</v>
      </c>
      <c r="U62" s="13">
        <v>34</v>
      </c>
      <c r="V62" s="14">
        <v>21.85</v>
      </c>
      <c r="W62" s="12">
        <f t="shared" si="0"/>
        <v>3.2082180707600805</v>
      </c>
      <c r="X62" s="12">
        <f t="shared" si="1"/>
        <v>76.997233698241928</v>
      </c>
      <c r="Y62" s="12">
        <f t="shared" si="2"/>
        <v>8.2464225078826097</v>
      </c>
      <c r="Z62" s="13">
        <v>1</v>
      </c>
      <c r="AA62" s="14">
        <v>1.65</v>
      </c>
      <c r="AB62" s="10">
        <v>0</v>
      </c>
      <c r="AC62" s="12">
        <f t="shared" si="3"/>
        <v>0</v>
      </c>
      <c r="AD62" s="12">
        <f t="shared" si="4"/>
        <v>0</v>
      </c>
      <c r="AE62" s="12">
        <f t="shared" si="5"/>
        <v>0</v>
      </c>
      <c r="AF62" s="13">
        <v>66</v>
      </c>
      <c r="AG62" s="52">
        <v>84.132999999999996</v>
      </c>
      <c r="AH62" s="61">
        <v>61</v>
      </c>
      <c r="AI62" s="16">
        <f t="shared" si="21"/>
        <v>5.7559206563636742</v>
      </c>
      <c r="AJ62" s="48">
        <f t="shared" si="22"/>
        <v>138.14209575272818</v>
      </c>
      <c r="AK62" s="48">
        <f t="shared" si="23"/>
        <v>14.795052146495269</v>
      </c>
      <c r="AL62" s="57">
        <v>11</v>
      </c>
      <c r="AM62" s="14">
        <v>4.9829999999999997</v>
      </c>
      <c r="AN62" s="12">
        <f t="shared" si="24"/>
        <v>1.0379529052459084</v>
      </c>
      <c r="AO62" s="12">
        <f t="shared" si="25"/>
        <v>24.910869725901801</v>
      </c>
      <c r="AP62" s="12">
        <f t="shared" si="26"/>
        <v>2.6679602231384911</v>
      </c>
      <c r="AQ62" s="13">
        <v>19</v>
      </c>
      <c r="AR62" s="14">
        <v>12.467000000000001</v>
      </c>
      <c r="AS62" s="12">
        <f t="shared" si="6"/>
        <v>1.792827745424751</v>
      </c>
      <c r="AT62" s="12">
        <f t="shared" si="7"/>
        <v>43.027865890194022</v>
      </c>
      <c r="AU62" s="12">
        <f t="shared" si="8"/>
        <v>4.6082949308755756</v>
      </c>
      <c r="AV62" s="13">
        <v>1</v>
      </c>
      <c r="AW62" s="14">
        <v>0.11700000000000001</v>
      </c>
      <c r="AX62" s="12">
        <f t="shared" si="9"/>
        <v>9.4359355022355304E-2</v>
      </c>
      <c r="AY62" s="12">
        <f t="shared" si="10"/>
        <v>2.2646245205365276</v>
      </c>
      <c r="AZ62" s="12">
        <f t="shared" si="11"/>
        <v>0.24254183846713556</v>
      </c>
      <c r="BA62" s="13">
        <v>3</v>
      </c>
      <c r="BB62" s="52">
        <v>4.2830000000000004</v>
      </c>
      <c r="BC62" s="48">
        <f t="shared" si="12"/>
        <v>0.28307806506706595</v>
      </c>
      <c r="BD62" s="48">
        <f t="shared" si="13"/>
        <v>6.7938735616095824</v>
      </c>
      <c r="BE62" s="48">
        <f t="shared" si="14"/>
        <v>0.72762551540140674</v>
      </c>
    </row>
    <row r="63" spans="1:57">
      <c r="A63" s="15" t="s">
        <v>217</v>
      </c>
      <c r="B63" s="9" t="str">
        <f>"59"</f>
        <v>59</v>
      </c>
      <c r="C63" s="9" t="str">
        <f>"6060 178120 100 4-1"</f>
        <v>6060 178120 100 4-1</v>
      </c>
      <c r="D63" s="9" t="str">
        <f>"1051 Z"</f>
        <v>1051 Z</v>
      </c>
      <c r="E63" s="10">
        <f t="shared" si="15"/>
        <v>693.33333333333337</v>
      </c>
      <c r="F63" s="11">
        <f t="shared" si="16"/>
        <v>60.416666666666664</v>
      </c>
      <c r="G63" s="11">
        <v>435</v>
      </c>
      <c r="H63" s="11">
        <v>285</v>
      </c>
      <c r="I63" s="11">
        <v>301.60000000000002</v>
      </c>
      <c r="J63" s="11">
        <v>65.099999999999994</v>
      </c>
      <c r="K63" s="11">
        <v>1618200</v>
      </c>
      <c r="L63" s="11">
        <v>26100</v>
      </c>
      <c r="M63" s="11">
        <f t="shared" si="17"/>
        <v>62</v>
      </c>
      <c r="N63" s="13">
        <v>2</v>
      </c>
      <c r="O63" s="14">
        <v>2.2170000000000001</v>
      </c>
      <c r="P63" s="13">
        <v>33</v>
      </c>
      <c r="Q63" s="14">
        <v>108.833</v>
      </c>
      <c r="R63" s="12">
        <f t="shared" si="18"/>
        <v>4.5517241379310347</v>
      </c>
      <c r="S63" s="12">
        <f t="shared" si="19"/>
        <v>109.24137931034483</v>
      </c>
      <c r="T63" s="12">
        <f t="shared" si="20"/>
        <v>10.941644562334217</v>
      </c>
      <c r="U63" s="13">
        <v>24</v>
      </c>
      <c r="V63" s="14">
        <v>21.966999999999999</v>
      </c>
      <c r="W63" s="12">
        <f t="shared" si="0"/>
        <v>3.3103448275862069</v>
      </c>
      <c r="X63" s="12">
        <f t="shared" si="1"/>
        <v>79.448275862068968</v>
      </c>
      <c r="Y63" s="12">
        <f t="shared" si="2"/>
        <v>7.957559681697612</v>
      </c>
      <c r="Z63" s="13">
        <v>3</v>
      </c>
      <c r="AA63" s="14">
        <v>151.983</v>
      </c>
      <c r="AB63" s="10">
        <v>0</v>
      </c>
      <c r="AC63" s="12">
        <f t="shared" si="3"/>
        <v>0</v>
      </c>
      <c r="AD63" s="12">
        <f t="shared" si="4"/>
        <v>0</v>
      </c>
      <c r="AE63" s="12">
        <f t="shared" si="5"/>
        <v>0</v>
      </c>
      <c r="AF63" s="13">
        <v>62</v>
      </c>
      <c r="AG63" s="52">
        <v>285</v>
      </c>
      <c r="AH63" s="61">
        <v>57</v>
      </c>
      <c r="AI63" s="16">
        <f t="shared" si="21"/>
        <v>7.8620689655172411</v>
      </c>
      <c r="AJ63" s="48">
        <f t="shared" si="22"/>
        <v>188.68965517241378</v>
      </c>
      <c r="AK63" s="48">
        <f t="shared" si="23"/>
        <v>18.899204244031829</v>
      </c>
      <c r="AL63" s="57">
        <v>6</v>
      </c>
      <c r="AM63" s="14">
        <v>4.0999999999999996</v>
      </c>
      <c r="AN63" s="12">
        <f t="shared" si="24"/>
        <v>0.82758620689655171</v>
      </c>
      <c r="AO63" s="12">
        <f t="shared" si="25"/>
        <v>19.862068965517242</v>
      </c>
      <c r="AP63" s="12">
        <f t="shared" si="26"/>
        <v>1.989389920424403</v>
      </c>
      <c r="AQ63" s="13">
        <v>10</v>
      </c>
      <c r="AR63" s="14">
        <v>10.167</v>
      </c>
      <c r="AS63" s="12">
        <f t="shared" si="6"/>
        <v>1.3793103448275863</v>
      </c>
      <c r="AT63" s="12">
        <f t="shared" si="7"/>
        <v>33.103448275862071</v>
      </c>
      <c r="AU63" s="12">
        <f t="shared" si="8"/>
        <v>3.3156498673740051</v>
      </c>
      <c r="AV63" s="13">
        <v>4</v>
      </c>
      <c r="AW63" s="14">
        <v>5.05</v>
      </c>
      <c r="AX63" s="12">
        <f t="shared" si="9"/>
        <v>0.55172413793103448</v>
      </c>
      <c r="AY63" s="12">
        <f t="shared" si="10"/>
        <v>13.241379310344827</v>
      </c>
      <c r="AZ63" s="12">
        <f t="shared" si="11"/>
        <v>1.3262599469496019</v>
      </c>
      <c r="BA63" s="13">
        <v>4</v>
      </c>
      <c r="BB63" s="52">
        <v>2.65</v>
      </c>
      <c r="BC63" s="48">
        <f t="shared" si="12"/>
        <v>0.55172413793103448</v>
      </c>
      <c r="BD63" s="48">
        <f t="shared" si="13"/>
        <v>13.241379310344827</v>
      </c>
      <c r="BE63" s="48">
        <f t="shared" si="14"/>
        <v>1.3262599469496019</v>
      </c>
    </row>
    <row r="64" spans="1:57">
      <c r="A64" s="15" t="s">
        <v>217</v>
      </c>
      <c r="B64" s="9" t="str">
        <f>"60"</f>
        <v>60</v>
      </c>
      <c r="C64" s="9" t="str">
        <f>"8080 10288 46x2 1-1"</f>
        <v>8080 10288 46x2 1-1</v>
      </c>
      <c r="D64" s="9" t="str">
        <f>"1067 Z"</f>
        <v>1067 Z</v>
      </c>
      <c r="E64" s="10">
        <f t="shared" si="15"/>
        <v>796.67840966280824</v>
      </c>
      <c r="F64" s="11">
        <f t="shared" si="16"/>
        <v>82.791666666666671</v>
      </c>
      <c r="G64" s="11">
        <v>596.1</v>
      </c>
      <c r="H64" s="11">
        <v>123.9</v>
      </c>
      <c r="I64" s="11">
        <v>474.9</v>
      </c>
      <c r="J64" s="11">
        <v>137.1</v>
      </c>
      <c r="K64" s="11">
        <v>2283301.44</v>
      </c>
      <c r="L64" s="11">
        <v>35766</v>
      </c>
      <c r="M64" s="11">
        <f t="shared" si="17"/>
        <v>63.839999999999996</v>
      </c>
      <c r="N64" s="13">
        <v>3</v>
      </c>
      <c r="O64" s="14">
        <v>2.617</v>
      </c>
      <c r="P64" s="13">
        <v>33</v>
      </c>
      <c r="Q64" s="14">
        <v>69.95</v>
      </c>
      <c r="R64" s="12">
        <f t="shared" si="18"/>
        <v>3.3215903371917461</v>
      </c>
      <c r="S64" s="12">
        <f t="shared" si="19"/>
        <v>79.718168092601914</v>
      </c>
      <c r="T64" s="12">
        <f t="shared" si="20"/>
        <v>6.9488313329121922</v>
      </c>
      <c r="U64" s="13">
        <v>55</v>
      </c>
      <c r="V64" s="14">
        <v>42.3</v>
      </c>
      <c r="W64" s="12">
        <f t="shared" si="0"/>
        <v>5.5359838953195775</v>
      </c>
      <c r="X64" s="12">
        <f t="shared" si="1"/>
        <v>132.86361348766985</v>
      </c>
      <c r="Y64" s="12">
        <f t="shared" si="2"/>
        <v>11.581385554853654</v>
      </c>
      <c r="Z64" s="13">
        <v>4</v>
      </c>
      <c r="AA64" s="14">
        <v>9.0329999999999995</v>
      </c>
      <c r="AB64" s="10">
        <v>0</v>
      </c>
      <c r="AC64" s="12">
        <f t="shared" si="3"/>
        <v>0</v>
      </c>
      <c r="AD64" s="12">
        <f t="shared" si="4"/>
        <v>0</v>
      </c>
      <c r="AE64" s="12">
        <f t="shared" si="5"/>
        <v>0</v>
      </c>
      <c r="AF64" s="13">
        <v>95</v>
      </c>
      <c r="AG64" s="52">
        <v>123.9</v>
      </c>
      <c r="AH64" s="61">
        <v>88</v>
      </c>
      <c r="AI64" s="16">
        <f t="shared" si="21"/>
        <v>8.8575742325113236</v>
      </c>
      <c r="AJ64" s="48">
        <f t="shared" si="22"/>
        <v>212.58178158027175</v>
      </c>
      <c r="AK64" s="48">
        <f t="shared" si="23"/>
        <v>18.530216887765846</v>
      </c>
      <c r="AL64" s="57">
        <v>24</v>
      </c>
      <c r="AM64" s="14">
        <v>14.882999999999999</v>
      </c>
      <c r="AN64" s="12">
        <f t="shared" si="24"/>
        <v>2.4157020634121791</v>
      </c>
      <c r="AO64" s="12">
        <f t="shared" si="25"/>
        <v>57.976849521892298</v>
      </c>
      <c r="AP64" s="12">
        <f t="shared" si="26"/>
        <v>5.0536955148452307</v>
      </c>
      <c r="AQ64" s="13">
        <v>22</v>
      </c>
      <c r="AR64" s="14">
        <v>21.033000000000001</v>
      </c>
      <c r="AS64" s="12">
        <f t="shared" si="6"/>
        <v>2.2143935581278309</v>
      </c>
      <c r="AT64" s="12">
        <f t="shared" si="7"/>
        <v>53.145445395067938</v>
      </c>
      <c r="AU64" s="12">
        <f t="shared" si="8"/>
        <v>4.6325542219414615</v>
      </c>
      <c r="AV64" s="13">
        <v>5</v>
      </c>
      <c r="AW64" s="14">
        <v>3.55</v>
      </c>
      <c r="AX64" s="12">
        <f t="shared" si="9"/>
        <v>0.50327126321087068</v>
      </c>
      <c r="AY64" s="12">
        <f t="shared" si="10"/>
        <v>12.078510317060895</v>
      </c>
      <c r="AZ64" s="12">
        <f t="shared" si="11"/>
        <v>1.0528532322594231</v>
      </c>
      <c r="BA64" s="13">
        <v>4</v>
      </c>
      <c r="BB64" s="52">
        <v>2.8330000000000002</v>
      </c>
      <c r="BC64" s="48">
        <f t="shared" si="12"/>
        <v>0.40261701056869653</v>
      </c>
      <c r="BD64" s="48">
        <f t="shared" si="13"/>
        <v>9.6628082536487163</v>
      </c>
      <c r="BE64" s="48">
        <f t="shared" si="14"/>
        <v>0.84228258580753845</v>
      </c>
    </row>
    <row r="65" spans="1:57">
      <c r="A65" s="15" t="s">
        <v>217</v>
      </c>
      <c r="B65" s="9" t="str">
        <f>"61"</f>
        <v>61</v>
      </c>
      <c r="C65" s="9" t="str">
        <f>"8080 8080 86 1-1"</f>
        <v>8080 8080 86 1-1</v>
      </c>
      <c r="D65" s="9" t="str">
        <f>"1057 Z"</f>
        <v>1057 Z</v>
      </c>
      <c r="E65" s="10">
        <f t="shared" si="15"/>
        <v>796.62118258609485</v>
      </c>
      <c r="F65" s="11">
        <f t="shared" si="16"/>
        <v>85.5</v>
      </c>
      <c r="G65" s="11">
        <v>615.6</v>
      </c>
      <c r="H65" s="11">
        <v>104.4</v>
      </c>
      <c r="I65" s="11">
        <v>490.4</v>
      </c>
      <c r="J65" s="11">
        <v>155.69999999999999</v>
      </c>
      <c r="K65" s="11">
        <v>2089838.88</v>
      </c>
      <c r="L65" s="11">
        <v>36936</v>
      </c>
      <c r="M65" s="11">
        <f t="shared" si="17"/>
        <v>56.58</v>
      </c>
      <c r="N65" s="13">
        <v>4</v>
      </c>
      <c r="O65" s="14">
        <v>2.95</v>
      </c>
      <c r="P65" s="13">
        <v>30</v>
      </c>
      <c r="Q65" s="14">
        <v>47.616999999999997</v>
      </c>
      <c r="R65" s="12">
        <f t="shared" si="18"/>
        <v>2.9239766081871346</v>
      </c>
      <c r="S65" s="12">
        <f t="shared" si="19"/>
        <v>70.175438596491219</v>
      </c>
      <c r="T65" s="12">
        <f t="shared" si="20"/>
        <v>6.1174551386623168</v>
      </c>
      <c r="U65" s="13">
        <v>53</v>
      </c>
      <c r="V65" s="14">
        <v>48.033000000000001</v>
      </c>
      <c r="W65" s="12">
        <f t="shared" si="0"/>
        <v>5.1656920077972703</v>
      </c>
      <c r="X65" s="12">
        <f t="shared" si="1"/>
        <v>123.9766081871345</v>
      </c>
      <c r="Y65" s="12">
        <f t="shared" si="2"/>
        <v>10.807504078303426</v>
      </c>
      <c r="Z65" s="13">
        <v>4</v>
      </c>
      <c r="AA65" s="14">
        <v>5.8</v>
      </c>
      <c r="AB65" s="10">
        <v>0</v>
      </c>
      <c r="AC65" s="12">
        <f t="shared" si="3"/>
        <v>0</v>
      </c>
      <c r="AD65" s="12">
        <f t="shared" si="4"/>
        <v>0</v>
      </c>
      <c r="AE65" s="12">
        <f t="shared" si="5"/>
        <v>0</v>
      </c>
      <c r="AF65" s="13">
        <v>91</v>
      </c>
      <c r="AG65" s="52">
        <v>104.4</v>
      </c>
      <c r="AH65" s="61">
        <v>83</v>
      </c>
      <c r="AI65" s="16">
        <f t="shared" si="21"/>
        <v>8.0896686159844045</v>
      </c>
      <c r="AJ65" s="48">
        <f t="shared" si="22"/>
        <v>194.15204678362574</v>
      </c>
      <c r="AK65" s="48">
        <f t="shared" si="23"/>
        <v>16.924959216965743</v>
      </c>
      <c r="AL65" s="57">
        <v>23</v>
      </c>
      <c r="AM65" s="14">
        <v>13.717000000000001</v>
      </c>
      <c r="AN65" s="12">
        <f t="shared" si="24"/>
        <v>2.2417153996101362</v>
      </c>
      <c r="AO65" s="12">
        <f t="shared" si="25"/>
        <v>53.801169590643276</v>
      </c>
      <c r="AP65" s="12">
        <f t="shared" si="26"/>
        <v>4.6900489396411098</v>
      </c>
      <c r="AQ65" s="13">
        <v>27</v>
      </c>
      <c r="AR65" s="14">
        <v>28.55</v>
      </c>
      <c r="AS65" s="12">
        <f t="shared" si="6"/>
        <v>2.6315789473684208</v>
      </c>
      <c r="AT65" s="12">
        <f t="shared" si="7"/>
        <v>63.157894736842103</v>
      </c>
      <c r="AU65" s="12">
        <f t="shared" si="8"/>
        <v>5.5057096247960855</v>
      </c>
      <c r="AV65" s="13">
        <v>2</v>
      </c>
      <c r="AW65" s="14">
        <v>3.1669999999999998</v>
      </c>
      <c r="AX65" s="12">
        <f t="shared" si="9"/>
        <v>0.19493177387914229</v>
      </c>
      <c r="AY65" s="12">
        <f t="shared" si="10"/>
        <v>4.6783625730994149</v>
      </c>
      <c r="AZ65" s="12">
        <f t="shared" si="11"/>
        <v>0.40783034257748779</v>
      </c>
      <c r="BA65" s="13">
        <v>1</v>
      </c>
      <c r="BB65" s="52">
        <v>2.6</v>
      </c>
      <c r="BC65" s="48">
        <f t="shared" si="12"/>
        <v>9.7465886939571145E-2</v>
      </c>
      <c r="BD65" s="48">
        <f t="shared" si="13"/>
        <v>2.3391812865497075</v>
      </c>
      <c r="BE65" s="48">
        <f t="shared" si="14"/>
        <v>0.2039151712887439</v>
      </c>
    </row>
    <row r="66" spans="1:57">
      <c r="A66" s="15" t="s">
        <v>217</v>
      </c>
      <c r="B66" s="9" t="str">
        <f>"62"</f>
        <v>62</v>
      </c>
      <c r="C66" s="9" t="str">
        <f>"8080 9088 46x2 1-1"</f>
        <v>8080 9088 46x2 1-1</v>
      </c>
      <c r="D66" s="9" t="str">
        <f>"1056 Z"</f>
        <v>1056 Z</v>
      </c>
      <c r="E66" s="10">
        <f t="shared" si="15"/>
        <v>793.49779959237674</v>
      </c>
      <c r="F66" s="11">
        <f t="shared" si="16"/>
        <v>84.296250000000001</v>
      </c>
      <c r="G66" s="11">
        <v>606.93299999999999</v>
      </c>
      <c r="H66" s="11">
        <v>113.06699999999999</v>
      </c>
      <c r="I66" s="11">
        <v>481.6</v>
      </c>
      <c r="J66" s="11">
        <v>139</v>
      </c>
      <c r="K66" s="11">
        <v>2456623.36</v>
      </c>
      <c r="L66" s="11">
        <v>36416</v>
      </c>
      <c r="M66" s="11">
        <f t="shared" si="17"/>
        <v>67.459999999999994</v>
      </c>
      <c r="N66" s="13">
        <v>5</v>
      </c>
      <c r="O66" s="14">
        <v>1.9830000000000001</v>
      </c>
      <c r="P66" s="13">
        <v>24</v>
      </c>
      <c r="Q66" s="14">
        <v>50.716999999999999</v>
      </c>
      <c r="R66" s="12">
        <f t="shared" si="18"/>
        <v>2.3725847828343491</v>
      </c>
      <c r="S66" s="12">
        <f t="shared" si="19"/>
        <v>56.94203478802438</v>
      </c>
      <c r="T66" s="12">
        <f t="shared" si="20"/>
        <v>4.9833887043189362</v>
      </c>
      <c r="U66" s="13">
        <v>68</v>
      </c>
      <c r="V66" s="14">
        <v>57.017000000000003</v>
      </c>
      <c r="W66" s="12">
        <f t="shared" si="0"/>
        <v>6.7223235513639894</v>
      </c>
      <c r="X66" s="12">
        <f t="shared" si="1"/>
        <v>161.33576523273575</v>
      </c>
      <c r="Y66" s="12">
        <f t="shared" si="2"/>
        <v>14.119601328903654</v>
      </c>
      <c r="Z66" s="13">
        <v>4</v>
      </c>
      <c r="AA66" s="14">
        <v>3.35</v>
      </c>
      <c r="AB66" s="10">
        <v>0</v>
      </c>
      <c r="AC66" s="12">
        <f t="shared" si="3"/>
        <v>0</v>
      </c>
      <c r="AD66" s="12">
        <f t="shared" si="4"/>
        <v>0</v>
      </c>
      <c r="AE66" s="12">
        <f t="shared" si="5"/>
        <v>0</v>
      </c>
      <c r="AF66" s="13">
        <v>101</v>
      </c>
      <c r="AG66" s="52">
        <v>113.06699999999999</v>
      </c>
      <c r="AH66" s="61">
        <v>92</v>
      </c>
      <c r="AI66" s="16">
        <f t="shared" si="21"/>
        <v>9.0949083341983386</v>
      </c>
      <c r="AJ66" s="48">
        <f t="shared" si="22"/>
        <v>218.27780002076011</v>
      </c>
      <c r="AK66" s="48">
        <f t="shared" si="23"/>
        <v>19.102990033222589</v>
      </c>
      <c r="AL66" s="57">
        <v>22</v>
      </c>
      <c r="AM66" s="14">
        <v>20.033000000000001</v>
      </c>
      <c r="AN66" s="12">
        <f t="shared" si="24"/>
        <v>2.1748693842648201</v>
      </c>
      <c r="AO66" s="12">
        <f t="shared" si="25"/>
        <v>52.196865222355683</v>
      </c>
      <c r="AP66" s="12">
        <f t="shared" si="26"/>
        <v>4.5681063122923584</v>
      </c>
      <c r="AQ66" s="13">
        <v>41</v>
      </c>
      <c r="AR66" s="14">
        <v>31.65</v>
      </c>
      <c r="AS66" s="12">
        <f t="shared" si="6"/>
        <v>4.0531656706753463</v>
      </c>
      <c r="AT66" s="12">
        <f t="shared" si="7"/>
        <v>97.275976096208311</v>
      </c>
      <c r="AU66" s="12">
        <f t="shared" si="8"/>
        <v>8.5132890365448493</v>
      </c>
      <c r="AV66" s="13">
        <v>5</v>
      </c>
      <c r="AW66" s="14">
        <v>4.9169999999999998</v>
      </c>
      <c r="AX66" s="12">
        <f t="shared" si="9"/>
        <v>0.49428849642382272</v>
      </c>
      <c r="AY66" s="12">
        <f t="shared" si="10"/>
        <v>11.862923914171745</v>
      </c>
      <c r="AZ66" s="12">
        <f t="shared" si="11"/>
        <v>1.0382059800664452</v>
      </c>
      <c r="BA66" s="13">
        <v>0</v>
      </c>
      <c r="BB66" s="52">
        <v>0.41699999999999998</v>
      </c>
      <c r="BC66" s="48">
        <f t="shared" si="12"/>
        <v>0</v>
      </c>
      <c r="BD66" s="48">
        <f t="shared" si="13"/>
        <v>0</v>
      </c>
      <c r="BE66" s="48">
        <f t="shared" si="14"/>
        <v>0</v>
      </c>
    </row>
    <row r="67" spans="1:57">
      <c r="A67" s="15" t="s">
        <v>217</v>
      </c>
      <c r="B67" s="9" t="str">
        <f>"63"</f>
        <v>63</v>
      </c>
      <c r="C67" s="9" t="str">
        <f>"3030 7674 77 1-1"</f>
        <v>3030 7674 77 1-1</v>
      </c>
      <c r="D67" s="9" t="str">
        <f>"1124"</f>
        <v>1124</v>
      </c>
      <c r="E67" s="10">
        <f t="shared" si="15"/>
        <v>944.54948112228078</v>
      </c>
      <c r="F67" s="11">
        <f t="shared" si="16"/>
        <v>88.960694444444457</v>
      </c>
      <c r="G67" s="11">
        <v>640.51700000000005</v>
      </c>
      <c r="H67" s="11">
        <v>79.483000000000004</v>
      </c>
      <c r="I67" s="11">
        <v>605</v>
      </c>
      <c r="J67" s="11">
        <v>209</v>
      </c>
      <c r="K67" s="11">
        <v>2337757.73</v>
      </c>
      <c r="L67" s="11">
        <v>38431</v>
      </c>
      <c r="M67" s="11">
        <f t="shared" si="17"/>
        <v>60.83</v>
      </c>
      <c r="N67" s="13">
        <v>4</v>
      </c>
      <c r="O67" s="14">
        <v>1.35</v>
      </c>
      <c r="P67" s="13">
        <v>17</v>
      </c>
      <c r="Q67" s="14">
        <v>20.233000000000001</v>
      </c>
      <c r="R67" s="12">
        <f t="shared" si="18"/>
        <v>1.5924635880078124</v>
      </c>
      <c r="S67" s="12">
        <f t="shared" si="19"/>
        <v>38.219126112187496</v>
      </c>
      <c r="T67" s="12">
        <f t="shared" si="20"/>
        <v>2.8099173553719008</v>
      </c>
      <c r="U67" s="13">
        <v>62</v>
      </c>
      <c r="V67" s="14">
        <v>50.482999999999997</v>
      </c>
      <c r="W67" s="12">
        <f t="shared" si="0"/>
        <v>5.8078083797931974</v>
      </c>
      <c r="X67" s="12">
        <f t="shared" si="1"/>
        <v>139.38740111503674</v>
      </c>
      <c r="Y67" s="12">
        <f t="shared" si="2"/>
        <v>10.24793388429752</v>
      </c>
      <c r="Z67" s="13">
        <v>4</v>
      </c>
      <c r="AA67" s="14">
        <v>7.4169999999999998</v>
      </c>
      <c r="AB67" s="10">
        <v>1</v>
      </c>
      <c r="AC67" s="12">
        <f t="shared" si="3"/>
        <v>9.3674328706341903E-2</v>
      </c>
      <c r="AD67" s="12">
        <f t="shared" si="4"/>
        <v>2.2481838889522057</v>
      </c>
      <c r="AE67" s="12">
        <f t="shared" si="5"/>
        <v>0.16528925619834711</v>
      </c>
      <c r="AF67" s="13">
        <v>87</v>
      </c>
      <c r="AG67" s="52">
        <v>79.483000000000004</v>
      </c>
      <c r="AH67" s="61">
        <v>80</v>
      </c>
      <c r="AI67" s="16">
        <f t="shared" si="21"/>
        <v>7.4939462965073522</v>
      </c>
      <c r="AJ67" s="48">
        <f t="shared" si="22"/>
        <v>179.85471111617645</v>
      </c>
      <c r="AK67" s="48">
        <f t="shared" si="23"/>
        <v>13.223140495867769</v>
      </c>
      <c r="AL67" s="57">
        <v>11</v>
      </c>
      <c r="AM67" s="14">
        <v>11.532999999999999</v>
      </c>
      <c r="AN67" s="12">
        <f t="shared" si="24"/>
        <v>1.0304176157697609</v>
      </c>
      <c r="AO67" s="12">
        <f t="shared" si="25"/>
        <v>24.730022778474261</v>
      </c>
      <c r="AP67" s="12">
        <f t="shared" si="26"/>
        <v>1.8181818181818181</v>
      </c>
      <c r="AQ67" s="13">
        <v>44</v>
      </c>
      <c r="AR67" s="14">
        <v>28.6</v>
      </c>
      <c r="AS67" s="12">
        <f t="shared" si="6"/>
        <v>4.1216704630790435</v>
      </c>
      <c r="AT67" s="12">
        <f t="shared" si="7"/>
        <v>98.920091113897044</v>
      </c>
      <c r="AU67" s="12">
        <f t="shared" si="8"/>
        <v>7.2727272727272725</v>
      </c>
      <c r="AV67" s="13">
        <v>4</v>
      </c>
      <c r="AW67" s="14">
        <v>5.4829999999999997</v>
      </c>
      <c r="AX67" s="12">
        <f t="shared" si="9"/>
        <v>0.37469731482536761</v>
      </c>
      <c r="AY67" s="12">
        <f t="shared" si="10"/>
        <v>8.9927355558088227</v>
      </c>
      <c r="AZ67" s="12">
        <f t="shared" si="11"/>
        <v>0.66115702479338845</v>
      </c>
      <c r="BA67" s="13">
        <v>3</v>
      </c>
      <c r="BB67" s="52">
        <v>4.867</v>
      </c>
      <c r="BC67" s="48">
        <f t="shared" si="12"/>
        <v>0.28102298611902571</v>
      </c>
      <c r="BD67" s="48">
        <f t="shared" si="13"/>
        <v>6.7445516668566166</v>
      </c>
      <c r="BE67" s="48">
        <f t="shared" si="14"/>
        <v>0.49586776859504134</v>
      </c>
    </row>
    <row r="68" spans="1:57">
      <c r="A68" s="15" t="s">
        <v>217</v>
      </c>
      <c r="B68" s="9" t="str">
        <f>"64"</f>
        <v>64</v>
      </c>
      <c r="C68" s="9" t="str">
        <f>"4040 11085 75 1-1"</f>
        <v>4040 11085 75 1-1</v>
      </c>
      <c r="D68" s="9" t="str">
        <f>"1125 Z"</f>
        <v>1125 Z</v>
      </c>
      <c r="E68" s="10">
        <f t="shared" si="15"/>
        <v>938.08375812455608</v>
      </c>
      <c r="F68" s="11">
        <f t="shared" si="16"/>
        <v>92.120416666666685</v>
      </c>
      <c r="G68" s="11">
        <v>663.26700000000005</v>
      </c>
      <c r="H68" s="11">
        <v>56.732999999999997</v>
      </c>
      <c r="I68" s="11">
        <v>622.20000000000005</v>
      </c>
      <c r="J68" s="11">
        <v>188.1</v>
      </c>
      <c r="K68" s="11">
        <v>2893169.2</v>
      </c>
      <c r="L68" s="11">
        <v>39796</v>
      </c>
      <c r="M68" s="11">
        <f t="shared" si="17"/>
        <v>72.7</v>
      </c>
      <c r="N68" s="13">
        <v>9</v>
      </c>
      <c r="O68" s="14">
        <v>3.85</v>
      </c>
      <c r="P68" s="13">
        <v>14</v>
      </c>
      <c r="Q68" s="14">
        <v>20.65</v>
      </c>
      <c r="R68" s="12">
        <f t="shared" si="18"/>
        <v>1.2664583041218693</v>
      </c>
      <c r="S68" s="12">
        <f t="shared" si="19"/>
        <v>30.394999298924866</v>
      </c>
      <c r="T68" s="12">
        <f t="shared" si="20"/>
        <v>2.2500803600128574</v>
      </c>
      <c r="U68" s="13">
        <v>53</v>
      </c>
      <c r="V68" s="14">
        <v>29.132999999999999</v>
      </c>
      <c r="W68" s="12">
        <f t="shared" si="0"/>
        <v>4.7944492941756485</v>
      </c>
      <c r="X68" s="12">
        <f t="shared" si="1"/>
        <v>115.06678306021556</v>
      </c>
      <c r="Y68" s="12">
        <f t="shared" si="2"/>
        <v>8.5181613629058166</v>
      </c>
      <c r="Z68" s="13">
        <v>3</v>
      </c>
      <c r="AA68" s="14">
        <v>3.1</v>
      </c>
      <c r="AB68" s="10">
        <v>0</v>
      </c>
      <c r="AC68" s="12">
        <f t="shared" si="3"/>
        <v>0</v>
      </c>
      <c r="AD68" s="12">
        <f t="shared" si="4"/>
        <v>0</v>
      </c>
      <c r="AE68" s="12">
        <f t="shared" si="5"/>
        <v>0</v>
      </c>
      <c r="AF68" s="13">
        <v>79</v>
      </c>
      <c r="AG68" s="52">
        <v>56.732999999999997</v>
      </c>
      <c r="AH68" s="61">
        <v>67</v>
      </c>
      <c r="AI68" s="16">
        <f t="shared" si="21"/>
        <v>6.0609075982975176</v>
      </c>
      <c r="AJ68" s="48">
        <f t="shared" si="22"/>
        <v>145.46178235914041</v>
      </c>
      <c r="AK68" s="48">
        <f t="shared" si="23"/>
        <v>10.768241722918676</v>
      </c>
      <c r="AL68" s="57">
        <v>26</v>
      </c>
      <c r="AM68" s="14">
        <v>11.067</v>
      </c>
      <c r="AN68" s="12">
        <f t="shared" si="24"/>
        <v>2.3519939933691858</v>
      </c>
      <c r="AO68" s="12">
        <f t="shared" si="25"/>
        <v>56.447855840860463</v>
      </c>
      <c r="AP68" s="12">
        <f t="shared" si="26"/>
        <v>4.1787206685953064</v>
      </c>
      <c r="AQ68" s="13">
        <v>7</v>
      </c>
      <c r="AR68" s="14">
        <v>3.1829999999999998</v>
      </c>
      <c r="AS68" s="12">
        <f t="shared" si="6"/>
        <v>0.63322915206093466</v>
      </c>
      <c r="AT68" s="12">
        <f t="shared" si="7"/>
        <v>15.197499649462433</v>
      </c>
      <c r="AU68" s="12">
        <f t="shared" si="8"/>
        <v>1.1250401800064287</v>
      </c>
      <c r="AV68" s="13">
        <v>8</v>
      </c>
      <c r="AW68" s="14">
        <v>6.9329999999999998</v>
      </c>
      <c r="AX68" s="12">
        <f t="shared" si="9"/>
        <v>0.72369045949821109</v>
      </c>
      <c r="AY68" s="12">
        <f t="shared" si="10"/>
        <v>17.368571027957067</v>
      </c>
      <c r="AZ68" s="12">
        <f t="shared" si="11"/>
        <v>1.2857602057216329</v>
      </c>
      <c r="BA68" s="13">
        <v>12</v>
      </c>
      <c r="BB68" s="52">
        <v>7.95</v>
      </c>
      <c r="BC68" s="48">
        <f t="shared" si="12"/>
        <v>1.0855356892473167</v>
      </c>
      <c r="BD68" s="48">
        <f t="shared" si="13"/>
        <v>26.052856541935597</v>
      </c>
      <c r="BE68" s="48">
        <f t="shared" si="14"/>
        <v>1.9286403085824493</v>
      </c>
    </row>
    <row r="69" spans="1:57">
      <c r="A69" s="15" t="s">
        <v>217</v>
      </c>
      <c r="B69" s="9" t="str">
        <f>"65"</f>
        <v>65</v>
      </c>
      <c r="C69" s="9" t="str">
        <f>"3030 7674 72 1-1"</f>
        <v>3030 7674 72 1-1</v>
      </c>
      <c r="D69" s="9" t="str">
        <f>"1123 R"</f>
        <v>1123 R</v>
      </c>
      <c r="E69" s="10">
        <f t="shared" si="15"/>
        <v>967.94430418483671</v>
      </c>
      <c r="F69" s="11">
        <f t="shared" si="16"/>
        <v>90.770833333333329</v>
      </c>
      <c r="G69" s="11">
        <v>653.54999999999995</v>
      </c>
      <c r="H69" s="11">
        <v>66.45</v>
      </c>
      <c r="I69" s="11">
        <v>632.6</v>
      </c>
      <c r="J69" s="11">
        <v>218.6</v>
      </c>
      <c r="K69" s="11">
        <v>2253571.11</v>
      </c>
      <c r="L69" s="11">
        <v>39213</v>
      </c>
      <c r="M69" s="11">
        <f t="shared" si="17"/>
        <v>57.47</v>
      </c>
      <c r="N69" s="13">
        <v>5</v>
      </c>
      <c r="O69" s="14">
        <v>2.133</v>
      </c>
      <c r="P69" s="13">
        <v>13</v>
      </c>
      <c r="Q69" s="14">
        <v>33.1</v>
      </c>
      <c r="R69" s="12">
        <f t="shared" si="18"/>
        <v>1.1934817535001148</v>
      </c>
      <c r="S69" s="12">
        <f t="shared" si="19"/>
        <v>28.643562084002756</v>
      </c>
      <c r="T69" s="12">
        <f t="shared" si="20"/>
        <v>2.0550110654441984</v>
      </c>
      <c r="U69" s="13">
        <v>31</v>
      </c>
      <c r="V69" s="14">
        <v>30.15</v>
      </c>
      <c r="W69" s="12">
        <f>IF($G69=0,0,(60*U69)/$G69)</f>
        <v>2.84599495065412</v>
      </c>
      <c r="X69" s="12">
        <f>IF($G69=0,0,(60*24*U69)/$G69)</f>
        <v>68.30387881569888</v>
      </c>
      <c r="Y69" s="12">
        <f>IF($I69=0,0,(100*U69)/$I69)</f>
        <v>4.9004110022130885</v>
      </c>
      <c r="Z69" s="13">
        <v>2</v>
      </c>
      <c r="AA69" s="14">
        <v>1.0669999999999999</v>
      </c>
      <c r="AB69" s="10">
        <v>0</v>
      </c>
      <c r="AC69" s="12">
        <f>IF($G69=0,0,(60*AB69)/$G69)</f>
        <v>0</v>
      </c>
      <c r="AD69" s="12">
        <f>IF($G69=0,0,(60*24*AB69)/$G69)</f>
        <v>0</v>
      </c>
      <c r="AE69" s="12">
        <f>IF($I69=0,0,(100*AB69)/$I69)</f>
        <v>0</v>
      </c>
      <c r="AF69" s="13">
        <v>51</v>
      </c>
      <c r="AG69" s="52">
        <v>66.45</v>
      </c>
      <c r="AH69" s="61">
        <v>44</v>
      </c>
      <c r="AI69" s="16">
        <f t="shared" si="21"/>
        <v>4.039476704154235</v>
      </c>
      <c r="AJ69" s="48">
        <f t="shared" si="22"/>
        <v>96.947440899701633</v>
      </c>
      <c r="AK69" s="48">
        <f t="shared" si="23"/>
        <v>6.9554220676572873</v>
      </c>
      <c r="AL69" s="57">
        <v>14</v>
      </c>
      <c r="AM69" s="14">
        <v>10</v>
      </c>
      <c r="AN69" s="12">
        <f t="shared" si="24"/>
        <v>1.285288042230893</v>
      </c>
      <c r="AO69" s="12">
        <f t="shared" si="25"/>
        <v>30.846913013541428</v>
      </c>
      <c r="AP69" s="12">
        <f t="shared" si="26"/>
        <v>2.2130888397091368</v>
      </c>
      <c r="AQ69" s="13">
        <v>8</v>
      </c>
      <c r="AR69" s="14">
        <v>6.9329999999999998</v>
      </c>
      <c r="AS69" s="12">
        <f>IF($G69=0,0,(60*AQ69)/$G69)</f>
        <v>0.7344503098462245</v>
      </c>
      <c r="AT69" s="12">
        <f>IF($G69=0,0,(60*24*AQ69)/$G69)</f>
        <v>17.626807436309388</v>
      </c>
      <c r="AU69" s="12">
        <f>IF($I69=0,0,(100*AQ69)/$I69)</f>
        <v>1.2646221941195068</v>
      </c>
      <c r="AV69" s="13">
        <v>5</v>
      </c>
      <c r="AW69" s="14">
        <v>5.3330000000000002</v>
      </c>
      <c r="AX69" s="12">
        <f>IF($G69=0,0,(60*AV69)/$G69)</f>
        <v>0.45903144365389031</v>
      </c>
      <c r="AY69" s="12">
        <f>IF($G69=0,0,(60*24*AV69)/$G69)</f>
        <v>11.016754647693368</v>
      </c>
      <c r="AZ69" s="12">
        <f>IF($I69=0,0,(100*AV69)/$I69)</f>
        <v>0.79038887132469171</v>
      </c>
      <c r="BA69" s="13">
        <v>4</v>
      </c>
      <c r="BB69" s="52">
        <v>7.883</v>
      </c>
      <c r="BC69" s="48">
        <f>IF($G69=0,0,(60*BA69)/$G69)</f>
        <v>0.36722515492311225</v>
      </c>
      <c r="BD69" s="48">
        <f>IF($G69=0,0,(60*24*BA69)/$G69)</f>
        <v>8.813403718154694</v>
      </c>
      <c r="BE69" s="48">
        <f>IF($I69=0,0,(100*BA69)/$I69)</f>
        <v>0.63231109705975341</v>
      </c>
    </row>
    <row r="70" spans="1:57">
      <c r="A70" s="30" t="s">
        <v>217</v>
      </c>
      <c r="B70" s="31" t="str">
        <f>"66"</f>
        <v>66</v>
      </c>
      <c r="C70" s="31" t="str">
        <f>"4040 13079 59 4-1"</f>
        <v>4040 13079 59 4-1</v>
      </c>
      <c r="D70" s="31" t="str">
        <f>"1136 Z"</f>
        <v>1136 Z</v>
      </c>
      <c r="E70" s="32">
        <f>IF($G70=0,0,(1000*$I70)/$G70)</f>
        <v>952.69954661984355</v>
      </c>
      <c r="F70" s="33">
        <f>IF($G70=0,0,(100*$G70)/($G70+$H70))</f>
        <v>90.720707995295328</v>
      </c>
      <c r="G70" s="33">
        <v>648.68299999999999</v>
      </c>
      <c r="H70" s="33">
        <v>66.349999999999994</v>
      </c>
      <c r="I70" s="33">
        <v>618</v>
      </c>
      <c r="J70" s="33">
        <v>198.7</v>
      </c>
      <c r="K70" s="33">
        <v>2210712.7999999998</v>
      </c>
      <c r="L70" s="33">
        <v>38921</v>
      </c>
      <c r="M70" s="33">
        <f>IF(L70="","",IF(L70=0,0,K70/L70))</f>
        <v>56.8</v>
      </c>
      <c r="N70" s="34">
        <v>8</v>
      </c>
      <c r="O70" s="35">
        <v>4.117</v>
      </c>
      <c r="P70" s="34">
        <v>16</v>
      </c>
      <c r="Q70" s="35">
        <v>40.183</v>
      </c>
      <c r="R70" s="36">
        <f>IF($G70=0,0,(60*P70)/$G70)</f>
        <v>1.4799216258172327</v>
      </c>
      <c r="S70" s="36">
        <f>IF($G70=0,0,(60*24*P70)/$G70)</f>
        <v>35.518119019613586</v>
      </c>
      <c r="T70" s="36">
        <f>IF($I70=0,0,(100*P70)/$I70)</f>
        <v>2.5889967637540452</v>
      </c>
      <c r="U70" s="34">
        <v>29</v>
      </c>
      <c r="V70" s="35">
        <v>19.882999999999999</v>
      </c>
      <c r="W70" s="36">
        <f>IF($G70=0,0,(60*U70)/$G70)</f>
        <v>2.6823579467937346</v>
      </c>
      <c r="X70" s="36">
        <f>IF($G70=0,0,(60*24*U70)/$G70)</f>
        <v>64.376590723049631</v>
      </c>
      <c r="Y70" s="36">
        <f>IF($I70=0,0,(100*U70)/$I70)</f>
        <v>4.6925566343042071</v>
      </c>
      <c r="Z70" s="34">
        <v>2</v>
      </c>
      <c r="AA70" s="35">
        <v>2.1669999999999998</v>
      </c>
      <c r="AB70" s="32">
        <v>0</v>
      </c>
      <c r="AC70" s="36">
        <f>IF($G70=0,0,(60*AB70)/$G70)</f>
        <v>0</v>
      </c>
      <c r="AD70" s="36">
        <f>IF($G70=0,0,(60*24*AB70)/$G70)</f>
        <v>0</v>
      </c>
      <c r="AE70" s="36">
        <f>IF($I70=0,0,(100*AB70)/$I70)</f>
        <v>0</v>
      </c>
      <c r="AF70" s="34">
        <v>55</v>
      </c>
      <c r="AG70" s="53">
        <v>66.349999999999994</v>
      </c>
      <c r="AH70" s="62">
        <v>45</v>
      </c>
      <c r="AI70" s="37">
        <f>IF($G70=0,0,(60*AH70)/$G70)</f>
        <v>4.1622795726109674</v>
      </c>
      <c r="AJ70" s="49">
        <f>IF($G70=0,0,(60*24*AH70)/$G70)</f>
        <v>99.89470974266321</v>
      </c>
      <c r="AK70" s="49">
        <f>IF($I70=0,0,(100*AH70)/$I70)</f>
        <v>7.2815533980582527</v>
      </c>
      <c r="AL70" s="58">
        <v>12</v>
      </c>
      <c r="AM70" s="35">
        <v>6.8170000000000002</v>
      </c>
      <c r="AN70" s="36">
        <f>IF($G70=0,0,(60*AL70)/$G70)</f>
        <v>1.1099412193629246</v>
      </c>
      <c r="AO70" s="36">
        <f>IF($G70=0,0,(60*24*AL70)/$G70)</f>
        <v>26.638589264710191</v>
      </c>
      <c r="AP70" s="36">
        <f>IF($I70=0,0,(100*AL70)/$I70)</f>
        <v>1.941747572815534</v>
      </c>
      <c r="AQ70" s="34">
        <v>16</v>
      </c>
      <c r="AR70" s="35">
        <v>12.867000000000001</v>
      </c>
      <c r="AS70" s="36">
        <f>IF($G70=0,0,(60*AQ70)/$G70)</f>
        <v>1.4799216258172327</v>
      </c>
      <c r="AT70" s="36">
        <f>IF($G70=0,0,(60*24*AQ70)/$G70)</f>
        <v>35.518119019613586</v>
      </c>
      <c r="AU70" s="36">
        <f>IF($I70=0,0,(100*AQ70)/$I70)</f>
        <v>2.5889967637540452</v>
      </c>
      <c r="AV70" s="34">
        <v>1</v>
      </c>
      <c r="AW70" s="35">
        <v>0.2</v>
      </c>
      <c r="AX70" s="36">
        <f>IF($G70=0,0,(60*AV70)/$G70)</f>
        <v>9.2495101613577047E-2</v>
      </c>
      <c r="AY70" s="36">
        <f>IF($G70=0,0,(60*24*AV70)/$G70)</f>
        <v>2.2198824387258491</v>
      </c>
      <c r="AZ70" s="36">
        <f>IF($I70=0,0,(100*AV70)/$I70)</f>
        <v>0.16181229773462782</v>
      </c>
      <c r="BA70" s="34">
        <v>0</v>
      </c>
      <c r="BB70" s="53">
        <v>0</v>
      </c>
      <c r="BC70" s="49">
        <f>IF($G70=0,0,(60*BA70)/$G70)</f>
        <v>0</v>
      </c>
      <c r="BD70" s="49">
        <f>IF($G70=0,0,(60*24*BA70)/$G70)</f>
        <v>0</v>
      </c>
      <c r="BE70" s="49">
        <f>IF($I70=0,0,(100*BA70)/$I70)</f>
        <v>0</v>
      </c>
    </row>
    <row r="71" spans="1:57">
      <c r="A71" s="38" t="s">
        <v>123</v>
      </c>
      <c r="B71" s="39"/>
      <c r="C71" s="39"/>
      <c r="D71" s="39"/>
      <c r="E71" s="40">
        <f>IF($G71=0,0,(1000*$I71)/$G71)</f>
        <v>742.75811585293684</v>
      </c>
      <c r="F71" s="41">
        <f>IF($G71=0,0,(100*$G71)/($G71+$H71))</f>
        <v>84.419680949129543</v>
      </c>
      <c r="G71" s="41">
        <f t="shared" ref="G71:L71" si="27">SUBTOTAL(9,G5:G70)</f>
        <v>40093.536999999989</v>
      </c>
      <c r="H71" s="41">
        <f t="shared" si="27"/>
        <v>7399.5790000000015</v>
      </c>
      <c r="I71" s="41">
        <f t="shared" si="27"/>
        <v>29779.8</v>
      </c>
      <c r="J71" s="41">
        <f t="shared" si="27"/>
        <v>8917.9000000000015</v>
      </c>
      <c r="K71" s="41">
        <f t="shared" si="27"/>
        <v>192702787.96000007</v>
      </c>
      <c r="L71" s="41">
        <f t="shared" si="27"/>
        <v>2405612</v>
      </c>
      <c r="M71" s="41">
        <f>IF(L71="","",IF(L71=0,0,K71/L71))</f>
        <v>80.105514920943222</v>
      </c>
      <c r="N71" s="42">
        <f>SUBTOTAL(9,N5:N70)</f>
        <v>364</v>
      </c>
      <c r="O71" s="43">
        <f>SUBTOTAL(9,O5:O70)</f>
        <v>304.59900000000005</v>
      </c>
      <c r="P71" s="42">
        <f>SUBTOTAL(9,P5:P70)</f>
        <v>1638</v>
      </c>
      <c r="Q71" s="43">
        <f>SUBTOTAL(9,Q5:Q70)</f>
        <v>3488.5350000000008</v>
      </c>
      <c r="R71" s="44">
        <f>IF($G71=0,0,(60*P71)/$G71)</f>
        <v>2.4512678938752654</v>
      </c>
      <c r="S71" s="44">
        <f>IF($G71=0,0,(60*24*P71)/$G71)</f>
        <v>58.830429453006367</v>
      </c>
      <c r="T71" s="44">
        <f>IF($I71=0,0,(100*P71)/$I71)</f>
        <v>5.5003727358813697</v>
      </c>
      <c r="U71" s="42">
        <f>SUBTOTAL(9,U5:U70)</f>
        <v>2957</v>
      </c>
      <c r="V71" s="43">
        <f>SUBTOTAL(9,V5:V70)</f>
        <v>2498.9830000000002</v>
      </c>
      <c r="W71" s="44">
        <f>IF($G71=0,0,(60*U71)/$G71)</f>
        <v>4.4251521136685961</v>
      </c>
      <c r="X71" s="44">
        <f>IF($G71=0,0,(60*24*U71)/$G71)</f>
        <v>106.2036507280463</v>
      </c>
      <c r="Y71" s="44">
        <f>IF($I71=0,0,(100*U71)/$I71)</f>
        <v>9.9295495604402984</v>
      </c>
      <c r="Z71" s="42">
        <f>SUBTOTAL(9,Z5:Z70)</f>
        <v>271</v>
      </c>
      <c r="AA71" s="43">
        <f>SUBTOTAL(9,AA5:AA70)</f>
        <v>1107.4689999999996</v>
      </c>
      <c r="AB71" s="40">
        <f>SUBTOTAL(9,AB5:AB70)</f>
        <v>15</v>
      </c>
      <c r="AC71" s="44">
        <f>IF($G71=0,0,(60*AB71)/$G71)</f>
        <v>2.2447508185670928E-2</v>
      </c>
      <c r="AD71" s="44">
        <f>IF($G71=0,0,(60*24*AB71)/$G71)</f>
        <v>0.53874019645610227</v>
      </c>
      <c r="AE71" s="44">
        <f>IF($I71=0,0,(100*AB71)/$I71)</f>
        <v>5.0369713698547341E-2</v>
      </c>
      <c r="AF71" s="42">
        <f>SUBTOTAL(9,AF5:AF70)</f>
        <v>5230</v>
      </c>
      <c r="AG71" s="54">
        <f>SUBTOTAL(9,AG5:AG70)</f>
        <v>7399.5860000000002</v>
      </c>
      <c r="AH71" s="63">
        <f>SUBTOTAL(9,AH5:AH70)</f>
        <v>4610</v>
      </c>
      <c r="AI71" s="45">
        <f>IF($G71=0,0,(60*AH71)/$G71)</f>
        <v>6.8988675157295321</v>
      </c>
      <c r="AJ71" s="50">
        <f>IF($G71=0,0,(60*24*AH71)/$G71)</f>
        <v>165.57282037750878</v>
      </c>
      <c r="AK71" s="50">
        <f>IF($I71=0,0,(100*AH71)/$I71)</f>
        <v>15.480292010020216</v>
      </c>
      <c r="AL71" s="59">
        <f>SUBTOTAL(9,AL5:AL70)</f>
        <v>1229</v>
      </c>
      <c r="AM71" s="43">
        <f>SUBTOTAL(9,AM5:AM70)</f>
        <v>932.3720000000003</v>
      </c>
      <c r="AN71" s="44">
        <f>IF($G71=0,0,(60*AL71)/$G71)</f>
        <v>1.8391991706793047</v>
      </c>
      <c r="AO71" s="44">
        <f>IF($G71=0,0,(60*24*AL71)/$G71)</f>
        <v>44.140780096303317</v>
      </c>
      <c r="AP71" s="44">
        <f>IF($I71=0,0,(100*AL71)/$I71)</f>
        <v>4.1269585423676451</v>
      </c>
      <c r="AQ71" s="42">
        <f>SUBTOTAL(9,AQ5:AQ70)</f>
        <v>1213</v>
      </c>
      <c r="AR71" s="43">
        <f>SUBTOTAL(9,AR5:AR70)</f>
        <v>1002.8009999999999</v>
      </c>
      <c r="AS71" s="44">
        <f>IF($G71=0,0,(60*AQ71)/$G71)</f>
        <v>1.8152551619479225</v>
      </c>
      <c r="AT71" s="44">
        <f>IF($G71=0,0,(60*24*AQ71)/$G71)</f>
        <v>43.566123886750141</v>
      </c>
      <c r="AU71" s="44">
        <f>IF($I71=0,0,(100*AQ71)/$I71)</f>
        <v>4.0732308477558616</v>
      </c>
      <c r="AV71" s="42">
        <f>SUBTOTAL(9,AV5:AV70)</f>
        <v>304</v>
      </c>
      <c r="AW71" s="43">
        <f>SUBTOTAL(9,AW5:AW70)</f>
        <v>330.9009999999999</v>
      </c>
      <c r="AX71" s="44">
        <f>IF($G71=0,0,(60*AV71)/$G71)</f>
        <v>0.45493616589626412</v>
      </c>
      <c r="AY71" s="44">
        <f>IF($G71=0,0,(60*24*AV71)/$G71)</f>
        <v>10.918467981510339</v>
      </c>
      <c r="AZ71" s="44">
        <f>IF($I71=0,0,(100*AV71)/$I71)</f>
        <v>1.0208261976238928</v>
      </c>
      <c r="BA71" s="42">
        <f>SUBTOTAL(9,BA5:BA70)</f>
        <v>211</v>
      </c>
      <c r="BB71" s="54">
        <f>SUBTOTAL(9,BB5:BB70)</f>
        <v>232.91400000000002</v>
      </c>
      <c r="BC71" s="50">
        <f>IF($G71=0,0,(60*BA71)/$G71)</f>
        <v>0.31576161514510437</v>
      </c>
      <c r="BD71" s="50">
        <f>IF($G71=0,0,(60*24*BA71)/$G71)</f>
        <v>7.5782787634825057</v>
      </c>
      <c r="BE71" s="50">
        <f>IF($I71=0,0,(100*BA71)/$I71)</f>
        <v>0.70853397269289919</v>
      </c>
    </row>
  </sheetData>
  <autoFilter ref="A4:BE70" xr:uid="{00000000-0009-0000-0000-000003000000}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BE71"/>
  <sheetViews>
    <sheetView showGridLines="0" workbookViewId="0"/>
  </sheetViews>
  <sheetFormatPr defaultRowHeight="12.75"/>
  <cols>
    <col min="1" max="1" width="12" bestFit="1" customWidth="1"/>
    <col min="2" max="2" width="6.140625" customWidth="1"/>
    <col min="3" max="3" width="21.140625" customWidth="1"/>
    <col min="4" max="4" width="6.85546875" customWidth="1"/>
    <col min="5" max="5" width="5.140625" customWidth="1"/>
    <col min="6" max="6" width="5.42578125" customWidth="1"/>
    <col min="7" max="7" width="8.7109375" customWidth="1"/>
    <col min="8" max="8" width="7.7109375" hidden="1" customWidth="1"/>
    <col min="9" max="9" width="9.85546875" hidden="1" customWidth="1"/>
    <col min="10" max="10" width="8" customWidth="1"/>
    <col min="11" max="11" width="13.42578125" hidden="1" customWidth="1"/>
    <col min="12" max="12" width="11.28515625" hidden="1" customWidth="1"/>
    <col min="13" max="13" width="8" customWidth="1"/>
    <col min="14" max="14" width="7" customWidth="1"/>
    <col min="15" max="15" width="6.140625" customWidth="1"/>
    <col min="16" max="16" width="7" hidden="1" customWidth="1"/>
    <col min="17" max="17" width="7.7109375" hidden="1" customWidth="1"/>
    <col min="18" max="18" width="8.7109375" hidden="1" customWidth="1"/>
    <col min="19" max="19" width="10.85546875" hidden="1" customWidth="1"/>
    <col min="20" max="20" width="12.5703125" customWidth="1"/>
    <col min="21" max="21" width="7" hidden="1" customWidth="1"/>
    <col min="22" max="22" width="7.7109375" hidden="1" customWidth="1"/>
    <col min="23" max="23" width="8.7109375" hidden="1" customWidth="1"/>
    <col min="24" max="24" width="10.85546875" hidden="1" customWidth="1"/>
    <col min="25" max="25" width="12.5703125" customWidth="1"/>
    <col min="26" max="27" width="9.140625" hidden="1" customWidth="1"/>
    <col min="28" max="28" width="10.140625" hidden="1" customWidth="1"/>
    <col min="29" max="29" width="9.140625" hidden="1" customWidth="1"/>
    <col min="30" max="30" width="10.85546875" hidden="1" customWidth="1"/>
    <col min="31" max="31" width="12.5703125" customWidth="1"/>
    <col min="32" max="32" width="7" hidden="1" customWidth="1"/>
    <col min="33" max="33" width="7.7109375" hidden="1" customWidth="1"/>
    <col min="34" max="34" width="7" hidden="1" customWidth="1"/>
    <col min="35" max="35" width="8.7109375" hidden="1" customWidth="1"/>
    <col min="36" max="36" width="10.85546875" hidden="1" customWidth="1"/>
    <col min="37" max="37" width="12.5703125" customWidth="1"/>
    <col min="38" max="39" width="7.140625" hidden="1" customWidth="1"/>
    <col min="40" max="40" width="8.7109375" hidden="1" customWidth="1"/>
    <col min="41" max="41" width="10.85546875" hidden="1" customWidth="1"/>
    <col min="42" max="42" width="12.5703125" customWidth="1"/>
    <col min="43" max="43" width="7.140625" hidden="1" customWidth="1"/>
    <col min="44" max="44" width="7.7109375" hidden="1" customWidth="1"/>
    <col min="45" max="45" width="8.7109375" hidden="1" customWidth="1"/>
    <col min="46" max="46" width="10.85546875" hidden="1" customWidth="1"/>
    <col min="47" max="47" width="12.5703125" customWidth="1"/>
    <col min="48" max="49" width="7.140625" hidden="1" customWidth="1"/>
    <col min="50" max="50" width="8.7109375" hidden="1" customWidth="1"/>
    <col min="51" max="51" width="10.85546875" hidden="1" customWidth="1"/>
    <col min="52" max="52" width="12.5703125" customWidth="1"/>
    <col min="53" max="54" width="7.140625" hidden="1" customWidth="1"/>
    <col min="55" max="55" width="8.7109375" hidden="1" customWidth="1"/>
    <col min="56" max="56" width="10.85546875" hidden="1" customWidth="1"/>
    <col min="57" max="57" width="12.5703125" customWidth="1"/>
  </cols>
  <sheetData>
    <row r="1" spans="1:57">
      <c r="A1" s="4" t="s">
        <v>138</v>
      </c>
    </row>
    <row r="2" spans="1:57">
      <c r="A2" s="4" t="s">
        <v>139</v>
      </c>
    </row>
    <row r="4" spans="1:57" ht="25.5">
      <c r="A4" s="25" t="s">
        <v>4</v>
      </c>
      <c r="B4" s="26" t="s">
        <v>14</v>
      </c>
      <c r="C4" s="26" t="s">
        <v>18</v>
      </c>
      <c r="D4" s="26" t="s">
        <v>22</v>
      </c>
      <c r="E4" s="26" t="s">
        <v>24</v>
      </c>
      <c r="F4" s="26" t="s">
        <v>165</v>
      </c>
      <c r="G4" s="26" t="s">
        <v>166</v>
      </c>
      <c r="H4" s="26" t="s">
        <v>167</v>
      </c>
      <c r="I4" s="26" t="s">
        <v>168</v>
      </c>
      <c r="J4" s="26" t="s">
        <v>169</v>
      </c>
      <c r="K4" s="26" t="s">
        <v>170</v>
      </c>
      <c r="L4" s="26" t="s">
        <v>171</v>
      </c>
      <c r="M4" s="26" t="s">
        <v>172</v>
      </c>
      <c r="N4" s="27" t="s">
        <v>173</v>
      </c>
      <c r="O4" s="28" t="s">
        <v>174</v>
      </c>
      <c r="P4" s="27" t="s">
        <v>175</v>
      </c>
      <c r="Q4" s="28" t="s">
        <v>176</v>
      </c>
      <c r="R4" s="26" t="s">
        <v>177</v>
      </c>
      <c r="S4" s="26" t="s">
        <v>178</v>
      </c>
      <c r="T4" s="26" t="s">
        <v>179</v>
      </c>
      <c r="U4" s="27" t="s">
        <v>180</v>
      </c>
      <c r="V4" s="28" t="s">
        <v>181</v>
      </c>
      <c r="W4" s="26" t="s">
        <v>182</v>
      </c>
      <c r="X4" s="26" t="s">
        <v>183</v>
      </c>
      <c r="Y4" s="26" t="s">
        <v>184</v>
      </c>
      <c r="Z4" s="27" t="s">
        <v>185</v>
      </c>
      <c r="AA4" s="28" t="s">
        <v>186</v>
      </c>
      <c r="AB4" s="26" t="s">
        <v>187</v>
      </c>
      <c r="AC4" s="26" t="s">
        <v>188</v>
      </c>
      <c r="AD4" s="26" t="s">
        <v>189</v>
      </c>
      <c r="AE4" s="26" t="s">
        <v>190</v>
      </c>
      <c r="AF4" s="27" t="s">
        <v>191</v>
      </c>
      <c r="AG4" s="46" t="s">
        <v>192</v>
      </c>
      <c r="AH4" s="28" t="s">
        <v>193</v>
      </c>
      <c r="AI4" s="29" t="s">
        <v>194</v>
      </c>
      <c r="AJ4" s="46" t="s">
        <v>195</v>
      </c>
      <c r="AK4" s="46" t="s">
        <v>196</v>
      </c>
      <c r="AL4" s="55" t="s">
        <v>197</v>
      </c>
      <c r="AM4" s="28" t="s">
        <v>198</v>
      </c>
      <c r="AN4" s="26" t="s">
        <v>199</v>
      </c>
      <c r="AO4" s="26" t="s">
        <v>200</v>
      </c>
      <c r="AP4" s="26" t="s">
        <v>201</v>
      </c>
      <c r="AQ4" s="27" t="s">
        <v>202</v>
      </c>
      <c r="AR4" s="28" t="s">
        <v>203</v>
      </c>
      <c r="AS4" s="26" t="s">
        <v>204</v>
      </c>
      <c r="AT4" s="26" t="s">
        <v>205</v>
      </c>
      <c r="AU4" s="26" t="s">
        <v>206</v>
      </c>
      <c r="AV4" s="27" t="s">
        <v>207</v>
      </c>
      <c r="AW4" s="28" t="s">
        <v>208</v>
      </c>
      <c r="AX4" s="26" t="s">
        <v>209</v>
      </c>
      <c r="AY4" s="26" t="s">
        <v>210</v>
      </c>
      <c r="AZ4" s="26" t="s">
        <v>211</v>
      </c>
      <c r="BA4" s="27" t="s">
        <v>212</v>
      </c>
      <c r="BB4" s="46" t="s">
        <v>213</v>
      </c>
      <c r="BC4" s="46" t="s">
        <v>214</v>
      </c>
      <c r="BD4" s="46" t="s">
        <v>215</v>
      </c>
      <c r="BE4" s="46" t="s">
        <v>216</v>
      </c>
    </row>
    <row r="5" spans="1:57">
      <c r="A5" s="17" t="s">
        <v>217</v>
      </c>
      <c r="B5" s="18" t="str">
        <f>"001"</f>
        <v>001</v>
      </c>
      <c r="C5" s="18" t="str">
        <f>"8080 10288 46x2 1-1"</f>
        <v>8080 10288 46x2 1-1</v>
      </c>
      <c r="D5" s="18" t="str">
        <f>"1066 Z"</f>
        <v>1066 Z</v>
      </c>
      <c r="E5" s="19">
        <f>IF($G5=0,0,(1000*$I5)/$G5)</f>
        <v>800.08649583738782</v>
      </c>
      <c r="F5" s="20">
        <f>IF($G5=0,0,(100*$G5)/($G5+$H5))</f>
        <v>86.067083333333343</v>
      </c>
      <c r="G5" s="20">
        <v>619.68299999999999</v>
      </c>
      <c r="H5" s="20">
        <v>100.31699999999999</v>
      </c>
      <c r="I5" s="20">
        <v>495.8</v>
      </c>
      <c r="J5" s="20">
        <v>143.1</v>
      </c>
      <c r="K5" s="20">
        <v>2278823.4900000002</v>
      </c>
      <c r="L5" s="20">
        <v>37181</v>
      </c>
      <c r="M5" s="20">
        <f>IF(L5="","",IF(L5=0,0,K5/L5))</f>
        <v>61.290000000000006</v>
      </c>
      <c r="N5" s="21">
        <v>5</v>
      </c>
      <c r="O5" s="22">
        <v>1.383</v>
      </c>
      <c r="P5" s="21">
        <v>21</v>
      </c>
      <c r="Q5" s="22">
        <v>36.866999999999997</v>
      </c>
      <c r="R5" s="23">
        <f>IF($G5=0,0,(60*P5)/$G5)</f>
        <v>2.0332976699376939</v>
      </c>
      <c r="S5" s="23">
        <f>IF($G5=0,0,(60*24*P5)/$G5)</f>
        <v>48.799144078504654</v>
      </c>
      <c r="T5" s="23">
        <f>IF($I5=0,0,(100*P5)/$I5)</f>
        <v>4.2355788624445339</v>
      </c>
      <c r="U5" s="21">
        <v>53</v>
      </c>
      <c r="V5" s="22">
        <v>59.267000000000003</v>
      </c>
      <c r="W5" s="23">
        <f t="shared" ref="W5:W68" si="0">IF($G5=0,0,(60*U5)/$G5)</f>
        <v>5.1316560241284659</v>
      </c>
      <c r="X5" s="23">
        <f t="shared" ref="X5:X68" si="1">IF($G5=0,0,(60*24*U5)/$G5)</f>
        <v>123.15974457908318</v>
      </c>
      <c r="Y5" s="23">
        <f t="shared" ref="Y5:Y68" si="2">IF($I5=0,0,(100*U5)/$I5)</f>
        <v>10.689794271883823</v>
      </c>
      <c r="Z5" s="21">
        <v>3</v>
      </c>
      <c r="AA5" s="22">
        <v>2.8</v>
      </c>
      <c r="AB5" s="19">
        <v>0</v>
      </c>
      <c r="AC5" s="23">
        <f t="shared" ref="AC5:AC68" si="3">IF($G5=0,0,(60*AB5)/$G5)</f>
        <v>0</v>
      </c>
      <c r="AD5" s="23">
        <f t="shared" ref="AD5:AD68" si="4">IF($G5=0,0,(60*24*AB5)/$G5)</f>
        <v>0</v>
      </c>
      <c r="AE5" s="23">
        <f t="shared" ref="AE5:AE68" si="5">IF($I5=0,0,(100*AB5)/$I5)</f>
        <v>0</v>
      </c>
      <c r="AF5" s="21">
        <v>82</v>
      </c>
      <c r="AG5" s="51">
        <v>100.31699999999999</v>
      </c>
      <c r="AH5" s="60">
        <v>74</v>
      </c>
      <c r="AI5" s="24">
        <f>IF($G5=0,0,(60*AH5)/$G5)</f>
        <v>7.1649536940661598</v>
      </c>
      <c r="AJ5" s="47">
        <f>IF($G5=0,0,(60*24*AH5)/$G5)</f>
        <v>171.95888865758783</v>
      </c>
      <c r="AK5" s="47">
        <f>IF($I5=0,0,(100*AH5)/$I5)</f>
        <v>14.925373134328359</v>
      </c>
      <c r="AL5" s="56">
        <v>32</v>
      </c>
      <c r="AM5" s="22">
        <v>35.216999999999999</v>
      </c>
      <c r="AN5" s="23">
        <f>IF($G5=0,0,(60*AL5)/$G5)</f>
        <v>3.098358354190772</v>
      </c>
      <c r="AO5" s="23">
        <f>IF($G5=0,0,(60*24*AL5)/$G5)</f>
        <v>74.360600500578528</v>
      </c>
      <c r="AP5" s="23">
        <f>IF($I5=0,0,(100*AL5)/$I5)</f>
        <v>6.4542154094392901</v>
      </c>
      <c r="AQ5" s="21">
        <v>14</v>
      </c>
      <c r="AR5" s="22">
        <v>14.7</v>
      </c>
      <c r="AS5" s="23">
        <f t="shared" ref="AS5:AS68" si="6">IF($G5=0,0,(60*AQ5)/$G5)</f>
        <v>1.3555317799584627</v>
      </c>
      <c r="AT5" s="23">
        <f t="shared" ref="AT5:AT68" si="7">IF($G5=0,0,(60*24*AQ5)/$G5)</f>
        <v>32.532762719003102</v>
      </c>
      <c r="AU5" s="23">
        <f t="shared" ref="AU5:AU68" si="8">IF($I5=0,0,(100*AQ5)/$I5)</f>
        <v>2.8237192416296892</v>
      </c>
      <c r="AV5" s="21">
        <v>3</v>
      </c>
      <c r="AW5" s="22">
        <v>5.633</v>
      </c>
      <c r="AX5" s="23">
        <f t="shared" ref="AX5:AX68" si="9">IF($G5=0,0,(60*AV5)/$G5)</f>
        <v>0.29047109570538487</v>
      </c>
      <c r="AY5" s="23">
        <f t="shared" ref="AY5:AY68" si="10">IF($G5=0,0,(60*24*AV5)/$G5)</f>
        <v>6.9713062969292361</v>
      </c>
      <c r="AZ5" s="23">
        <f t="shared" ref="AZ5:AZ68" si="11">IF($I5=0,0,(100*AV5)/$I5)</f>
        <v>0.60508269463493347</v>
      </c>
      <c r="BA5" s="21">
        <v>4</v>
      </c>
      <c r="BB5" s="51">
        <v>3.7170000000000001</v>
      </c>
      <c r="BC5" s="47">
        <f t="shared" ref="BC5:BC68" si="12">IF($G5=0,0,(60*BA5)/$G5)</f>
        <v>0.3872947942738465</v>
      </c>
      <c r="BD5" s="47">
        <f t="shared" ref="BD5:BD68" si="13">IF($G5=0,0,(60*24*BA5)/$G5)</f>
        <v>9.295075062572316</v>
      </c>
      <c r="BE5" s="47">
        <f t="shared" ref="BE5:BE68" si="14">IF($I5=0,0,(100*BA5)/$I5)</f>
        <v>0.80677692617991126</v>
      </c>
    </row>
    <row r="6" spans="1:57">
      <c r="A6" s="15" t="s">
        <v>217</v>
      </c>
      <c r="B6" s="9" t="str">
        <f>"002"</f>
        <v>002</v>
      </c>
      <c r="C6" s="9" t="str">
        <f>"8080 8080 86 1-1"</f>
        <v>8080 8080 86 1-1</v>
      </c>
      <c r="D6" s="9" t="str">
        <f>"1059 Z"</f>
        <v>1059 Z</v>
      </c>
      <c r="E6" s="10">
        <f t="shared" ref="E6:E69" si="15">IF($G6=0,0,(1000*$I6)/$G6)</f>
        <v>792.64759145237224</v>
      </c>
      <c r="F6" s="11">
        <f t="shared" ref="F6:F69" si="16">IF($G6=0,0,(100*$G6)/($G6+$H6))</f>
        <v>76.694444444444457</v>
      </c>
      <c r="G6" s="11">
        <v>552.20000000000005</v>
      </c>
      <c r="H6" s="11">
        <v>167.8</v>
      </c>
      <c r="I6" s="11">
        <v>437.7</v>
      </c>
      <c r="J6" s="11">
        <v>138.9</v>
      </c>
      <c r="K6" s="11">
        <v>1885542.12</v>
      </c>
      <c r="L6" s="11">
        <v>33132</v>
      </c>
      <c r="M6" s="11">
        <f t="shared" ref="M6:M69" si="17">IF(L6="","",IF(L6=0,0,K6/L6))</f>
        <v>56.910000000000004</v>
      </c>
      <c r="N6" s="13">
        <v>4</v>
      </c>
      <c r="O6" s="14">
        <v>1.25</v>
      </c>
      <c r="P6" s="13">
        <v>35</v>
      </c>
      <c r="Q6" s="14">
        <v>69.617000000000004</v>
      </c>
      <c r="R6" s="12">
        <f t="shared" ref="R6:R69" si="18">IF($G6=0,0,(60*P6)/$G6)</f>
        <v>3.8029699384281055</v>
      </c>
      <c r="S6" s="12">
        <f t="shared" ref="S6:S69" si="19">IF($G6=0,0,(60*24*P6)/$G6)</f>
        <v>91.271278522274528</v>
      </c>
      <c r="T6" s="12">
        <f t="shared" ref="T6:T69" si="20">IF($I6=0,0,(100*P6)/$I6)</f>
        <v>7.9963445282156727</v>
      </c>
      <c r="U6" s="13">
        <v>78</v>
      </c>
      <c r="V6" s="14">
        <v>95.266999999999996</v>
      </c>
      <c r="W6" s="12">
        <f t="shared" si="0"/>
        <v>8.475190148496921</v>
      </c>
      <c r="X6" s="12">
        <f t="shared" si="1"/>
        <v>203.4045635639261</v>
      </c>
      <c r="Y6" s="12">
        <f t="shared" si="2"/>
        <v>17.82042494859493</v>
      </c>
      <c r="Z6" s="13">
        <v>2</v>
      </c>
      <c r="AA6" s="14">
        <v>1.667</v>
      </c>
      <c r="AB6" s="10">
        <v>0</v>
      </c>
      <c r="AC6" s="12">
        <f t="shared" si="3"/>
        <v>0</v>
      </c>
      <c r="AD6" s="12">
        <f t="shared" si="4"/>
        <v>0</v>
      </c>
      <c r="AE6" s="12">
        <f t="shared" si="5"/>
        <v>0</v>
      </c>
      <c r="AF6" s="13">
        <v>119</v>
      </c>
      <c r="AG6" s="52">
        <v>167.80099999999999</v>
      </c>
      <c r="AH6" s="61">
        <v>113</v>
      </c>
      <c r="AI6" s="16">
        <f t="shared" ref="AI6:AI69" si="21">IF($G6=0,0,(60*AH6)/$G6)</f>
        <v>12.278160086925027</v>
      </c>
      <c r="AJ6" s="48">
        <f t="shared" ref="AJ6:AJ69" si="22">IF($G6=0,0,(60*24*AH6)/$G6)</f>
        <v>294.67584208620065</v>
      </c>
      <c r="AK6" s="48">
        <f t="shared" ref="AK6:AK69" si="23">IF($I6=0,0,(100*AH6)/$I6)</f>
        <v>25.816769476810602</v>
      </c>
      <c r="AL6" s="57">
        <v>11</v>
      </c>
      <c r="AM6" s="14">
        <v>6.8170000000000002</v>
      </c>
      <c r="AN6" s="12">
        <f t="shared" ref="AN6:AN69" si="24">IF($G6=0,0,(60*AL6)/$G6)</f>
        <v>1.1952191235059759</v>
      </c>
      <c r="AO6" s="12">
        <f t="shared" ref="AO6:AO69" si="25">IF($G6=0,0,(60*24*AL6)/$G6)</f>
        <v>28.685258964143426</v>
      </c>
      <c r="AP6" s="12">
        <f t="shared" ref="AP6:AP69" si="26">IF($I6=0,0,(100*AL6)/$I6)</f>
        <v>2.513136851724926</v>
      </c>
      <c r="AQ6" s="13">
        <v>14</v>
      </c>
      <c r="AR6" s="14">
        <v>12.85</v>
      </c>
      <c r="AS6" s="12">
        <f t="shared" si="6"/>
        <v>1.5211879753712423</v>
      </c>
      <c r="AT6" s="12">
        <f t="shared" si="7"/>
        <v>36.508511408909811</v>
      </c>
      <c r="AU6" s="12">
        <f t="shared" si="8"/>
        <v>3.1985378112862692</v>
      </c>
      <c r="AV6" s="13">
        <v>34</v>
      </c>
      <c r="AW6" s="14">
        <v>54.283000000000001</v>
      </c>
      <c r="AX6" s="12">
        <f t="shared" si="9"/>
        <v>3.6943136544730169</v>
      </c>
      <c r="AY6" s="12">
        <f t="shared" si="10"/>
        <v>88.663527707352401</v>
      </c>
      <c r="AZ6" s="12">
        <f t="shared" si="11"/>
        <v>7.767877541695225</v>
      </c>
      <c r="BA6" s="13">
        <v>19</v>
      </c>
      <c r="BB6" s="52">
        <v>21.317</v>
      </c>
      <c r="BC6" s="48">
        <f t="shared" si="12"/>
        <v>2.0644693951466859</v>
      </c>
      <c r="BD6" s="48">
        <f t="shared" si="13"/>
        <v>49.547265483520462</v>
      </c>
      <c r="BE6" s="48">
        <f t="shared" si="14"/>
        <v>4.3408727438885082</v>
      </c>
    </row>
    <row r="7" spans="1:57">
      <c r="A7" s="15" t="s">
        <v>217</v>
      </c>
      <c r="B7" s="9" t="str">
        <f>"003"</f>
        <v>003</v>
      </c>
      <c r="C7" s="9" t="str">
        <f>"8080 8080 86 1-1"</f>
        <v>8080 8080 86 1-1</v>
      </c>
      <c r="D7" s="9" t="str">
        <f>"105 Z"</f>
        <v>105 Z</v>
      </c>
      <c r="E7" s="10">
        <f t="shared" si="15"/>
        <v>798.77290440262004</v>
      </c>
      <c r="F7" s="11">
        <f t="shared" si="16"/>
        <v>83.756944444444429</v>
      </c>
      <c r="G7" s="11">
        <v>603.04999999999995</v>
      </c>
      <c r="H7" s="11">
        <v>116.95</v>
      </c>
      <c r="I7" s="11">
        <v>481.7</v>
      </c>
      <c r="J7" s="11">
        <v>152.9</v>
      </c>
      <c r="K7" s="11">
        <v>2189433.33</v>
      </c>
      <c r="L7" s="11">
        <v>36183</v>
      </c>
      <c r="M7" s="11">
        <f t="shared" si="17"/>
        <v>60.510000000000005</v>
      </c>
      <c r="N7" s="13">
        <v>6</v>
      </c>
      <c r="O7" s="14">
        <v>1.95</v>
      </c>
      <c r="P7" s="13">
        <v>40</v>
      </c>
      <c r="Q7" s="14">
        <v>62.433</v>
      </c>
      <c r="R7" s="12">
        <f t="shared" si="18"/>
        <v>3.9797695050161681</v>
      </c>
      <c r="S7" s="12">
        <f t="shared" si="19"/>
        <v>95.514468120388031</v>
      </c>
      <c r="T7" s="12">
        <f t="shared" si="20"/>
        <v>8.3039236039028435</v>
      </c>
      <c r="U7" s="13">
        <v>57</v>
      </c>
      <c r="V7" s="14">
        <v>45.283000000000001</v>
      </c>
      <c r="W7" s="12">
        <f t="shared" si="0"/>
        <v>5.6711715446480397</v>
      </c>
      <c r="X7" s="12">
        <f t="shared" si="1"/>
        <v>136.10811707155295</v>
      </c>
      <c r="Y7" s="12">
        <f t="shared" si="2"/>
        <v>11.833091135561553</v>
      </c>
      <c r="Z7" s="13">
        <v>2</v>
      </c>
      <c r="AA7" s="14">
        <v>7.2839999999999998</v>
      </c>
      <c r="AB7" s="10">
        <v>1</v>
      </c>
      <c r="AC7" s="12">
        <f t="shared" si="3"/>
        <v>9.94942376254042E-2</v>
      </c>
      <c r="AD7" s="12">
        <f t="shared" si="4"/>
        <v>2.3878617030097007</v>
      </c>
      <c r="AE7" s="12">
        <f t="shared" si="5"/>
        <v>0.2075980900975711</v>
      </c>
      <c r="AF7" s="13">
        <v>105</v>
      </c>
      <c r="AG7" s="52">
        <v>116.95</v>
      </c>
      <c r="AH7" s="61">
        <v>98</v>
      </c>
      <c r="AI7" s="16">
        <f t="shared" si="21"/>
        <v>9.7504352872896121</v>
      </c>
      <c r="AJ7" s="48">
        <f t="shared" si="22"/>
        <v>234.01044689495069</v>
      </c>
      <c r="AK7" s="48">
        <f t="shared" si="23"/>
        <v>20.344612829561967</v>
      </c>
      <c r="AL7" s="57">
        <v>15</v>
      </c>
      <c r="AM7" s="14">
        <v>8.4670000000000005</v>
      </c>
      <c r="AN7" s="12">
        <f t="shared" si="24"/>
        <v>1.492413564381063</v>
      </c>
      <c r="AO7" s="12">
        <f t="shared" si="25"/>
        <v>35.817925545145513</v>
      </c>
      <c r="AP7" s="12">
        <f t="shared" si="26"/>
        <v>3.1139713514635665</v>
      </c>
      <c r="AQ7" s="13">
        <v>34</v>
      </c>
      <c r="AR7" s="14">
        <v>29.466999999999999</v>
      </c>
      <c r="AS7" s="12">
        <f t="shared" si="6"/>
        <v>3.3828040792637428</v>
      </c>
      <c r="AT7" s="12">
        <f t="shared" si="7"/>
        <v>81.187297902329831</v>
      </c>
      <c r="AU7" s="12">
        <f t="shared" si="8"/>
        <v>7.0583350633174176</v>
      </c>
      <c r="AV7" s="13">
        <v>7</v>
      </c>
      <c r="AW7" s="14">
        <v>6.9829999999999997</v>
      </c>
      <c r="AX7" s="12">
        <f t="shared" si="9"/>
        <v>0.69645966337782939</v>
      </c>
      <c r="AY7" s="12">
        <f t="shared" si="10"/>
        <v>16.715031921067904</v>
      </c>
      <c r="AZ7" s="12">
        <f t="shared" si="11"/>
        <v>1.4531866306829977</v>
      </c>
      <c r="BA7" s="13">
        <v>1</v>
      </c>
      <c r="BB7" s="52">
        <v>0.36699999999999999</v>
      </c>
      <c r="BC7" s="48">
        <f t="shared" si="12"/>
        <v>9.94942376254042E-2</v>
      </c>
      <c r="BD7" s="48">
        <f t="shared" si="13"/>
        <v>2.3878617030097007</v>
      </c>
      <c r="BE7" s="48">
        <f t="shared" si="14"/>
        <v>0.2075980900975711</v>
      </c>
    </row>
    <row r="8" spans="1:57">
      <c r="A8" s="15" t="s">
        <v>217</v>
      </c>
      <c r="B8" s="9" t="str">
        <f>"004"</f>
        <v>004</v>
      </c>
      <c r="C8" s="9" t="str">
        <f>"8080 10288 46x2 1-1"</f>
        <v>8080 10288 46x2 1-1</v>
      </c>
      <c r="D8" s="9" t="str">
        <f>"17 Z"</f>
        <v>17 Z</v>
      </c>
      <c r="E8" s="10">
        <f t="shared" si="15"/>
        <v>800.77711703575835</v>
      </c>
      <c r="F8" s="11">
        <f t="shared" si="16"/>
        <v>83.356527777777785</v>
      </c>
      <c r="G8" s="11">
        <v>600.16700000000003</v>
      </c>
      <c r="H8" s="11">
        <v>119.833</v>
      </c>
      <c r="I8" s="11">
        <v>480.6</v>
      </c>
      <c r="J8" s="11">
        <v>138.69999999999999</v>
      </c>
      <c r="K8" s="11">
        <v>2216775.6</v>
      </c>
      <c r="L8" s="11">
        <v>36010</v>
      </c>
      <c r="M8" s="11">
        <f t="shared" si="17"/>
        <v>61.56</v>
      </c>
      <c r="N8" s="13">
        <v>4</v>
      </c>
      <c r="O8" s="14">
        <v>0.93300000000000005</v>
      </c>
      <c r="P8" s="13">
        <v>36</v>
      </c>
      <c r="Q8" s="14">
        <v>69.7</v>
      </c>
      <c r="R8" s="12">
        <f t="shared" si="18"/>
        <v>3.5989982788123971</v>
      </c>
      <c r="S8" s="12">
        <f t="shared" si="19"/>
        <v>86.37595869149753</v>
      </c>
      <c r="T8" s="12">
        <f t="shared" si="20"/>
        <v>7.4906367041198498</v>
      </c>
      <c r="U8" s="13">
        <v>48</v>
      </c>
      <c r="V8" s="14">
        <v>45.082999999999998</v>
      </c>
      <c r="W8" s="12">
        <f t="shared" si="0"/>
        <v>4.7986643717498625</v>
      </c>
      <c r="X8" s="12">
        <f t="shared" si="1"/>
        <v>115.16794492199671</v>
      </c>
      <c r="Y8" s="12">
        <f t="shared" si="2"/>
        <v>9.9875156054931331</v>
      </c>
      <c r="Z8" s="13">
        <v>3</v>
      </c>
      <c r="AA8" s="14">
        <v>4.117</v>
      </c>
      <c r="AB8" s="10">
        <v>0</v>
      </c>
      <c r="AC8" s="12">
        <f t="shared" si="3"/>
        <v>0</v>
      </c>
      <c r="AD8" s="12">
        <f t="shared" si="4"/>
        <v>0</v>
      </c>
      <c r="AE8" s="12">
        <f t="shared" si="5"/>
        <v>0</v>
      </c>
      <c r="AF8" s="13">
        <v>91</v>
      </c>
      <c r="AG8" s="52">
        <v>119.833</v>
      </c>
      <c r="AH8" s="61">
        <v>84</v>
      </c>
      <c r="AI8" s="16">
        <f t="shared" si="21"/>
        <v>8.3976626505622605</v>
      </c>
      <c r="AJ8" s="48">
        <f t="shared" si="22"/>
        <v>201.54390361349422</v>
      </c>
      <c r="AK8" s="48">
        <f t="shared" si="23"/>
        <v>17.478152309612984</v>
      </c>
      <c r="AL8" s="57">
        <v>9</v>
      </c>
      <c r="AM8" s="14">
        <v>9.8330000000000002</v>
      </c>
      <c r="AN8" s="12">
        <f t="shared" si="24"/>
        <v>0.89974956970309927</v>
      </c>
      <c r="AO8" s="12">
        <f t="shared" si="25"/>
        <v>21.593989672874383</v>
      </c>
      <c r="AP8" s="12">
        <f t="shared" si="26"/>
        <v>1.8726591760299625</v>
      </c>
      <c r="AQ8" s="13">
        <v>20</v>
      </c>
      <c r="AR8" s="14">
        <v>15.15</v>
      </c>
      <c r="AS8" s="12">
        <f t="shared" si="6"/>
        <v>1.9994434882291094</v>
      </c>
      <c r="AT8" s="12">
        <f t="shared" si="7"/>
        <v>47.98664371749863</v>
      </c>
      <c r="AU8" s="12">
        <f t="shared" si="8"/>
        <v>4.1614648356221391</v>
      </c>
      <c r="AV8" s="13">
        <v>9</v>
      </c>
      <c r="AW8" s="14">
        <v>8.25</v>
      </c>
      <c r="AX8" s="12">
        <f t="shared" si="9"/>
        <v>0.89974956970309927</v>
      </c>
      <c r="AY8" s="12">
        <f t="shared" si="10"/>
        <v>21.593989672874383</v>
      </c>
      <c r="AZ8" s="12">
        <f t="shared" si="11"/>
        <v>1.8726591760299625</v>
      </c>
      <c r="BA8" s="13">
        <v>10</v>
      </c>
      <c r="BB8" s="52">
        <v>11.85</v>
      </c>
      <c r="BC8" s="48">
        <f t="shared" si="12"/>
        <v>0.99972174411455472</v>
      </c>
      <c r="BD8" s="48">
        <f t="shared" si="13"/>
        <v>23.993321858749315</v>
      </c>
      <c r="BE8" s="48">
        <f t="shared" si="14"/>
        <v>2.0807324178110695</v>
      </c>
    </row>
    <row r="9" spans="1:57">
      <c r="A9" s="15" t="s">
        <v>217</v>
      </c>
      <c r="B9" s="9" t="str">
        <f>"005"</f>
        <v>005</v>
      </c>
      <c r="C9" s="9" t="str">
        <f>"6060 18590 118 strip"</f>
        <v>6060 18590 118 strip</v>
      </c>
      <c r="D9" s="9" t="str">
        <f>"1168 Z"</f>
        <v>1168 Z</v>
      </c>
      <c r="E9" s="10">
        <f t="shared" si="15"/>
        <v>674.60704871619646</v>
      </c>
      <c r="F9" s="11">
        <f t="shared" si="16"/>
        <v>71.344988507348347</v>
      </c>
      <c r="G9" s="11">
        <v>512.15</v>
      </c>
      <c r="H9" s="11">
        <v>205.7</v>
      </c>
      <c r="I9" s="11">
        <v>345.5</v>
      </c>
      <c r="J9" s="11">
        <v>108.5</v>
      </c>
      <c r="K9" s="11">
        <v>2462622.06</v>
      </c>
      <c r="L9" s="11">
        <v>30729</v>
      </c>
      <c r="M9" s="11">
        <f t="shared" si="17"/>
        <v>80.14</v>
      </c>
      <c r="N9" s="13">
        <v>2</v>
      </c>
      <c r="O9" s="14">
        <v>1.5669999999999999</v>
      </c>
      <c r="P9" s="13">
        <v>19</v>
      </c>
      <c r="Q9" s="14">
        <v>60.75</v>
      </c>
      <c r="R9" s="12">
        <f t="shared" si="18"/>
        <v>2.2259103778189986</v>
      </c>
      <c r="S9" s="12">
        <f t="shared" si="19"/>
        <v>53.421849067655963</v>
      </c>
      <c r="T9" s="12">
        <f t="shared" si="20"/>
        <v>5.4992764109985526</v>
      </c>
      <c r="U9" s="13">
        <v>36</v>
      </c>
      <c r="V9" s="14">
        <v>33.683</v>
      </c>
      <c r="W9" s="12">
        <f t="shared" si="0"/>
        <v>4.2175144000781026</v>
      </c>
      <c r="X9" s="12">
        <f t="shared" si="1"/>
        <v>101.22034560187446</v>
      </c>
      <c r="Y9" s="12">
        <f t="shared" si="2"/>
        <v>10.419681620839363</v>
      </c>
      <c r="Z9" s="13">
        <v>4</v>
      </c>
      <c r="AA9" s="14">
        <v>109.7</v>
      </c>
      <c r="AB9" s="10">
        <v>0</v>
      </c>
      <c r="AC9" s="12">
        <f t="shared" si="3"/>
        <v>0</v>
      </c>
      <c r="AD9" s="12">
        <f t="shared" si="4"/>
        <v>0</v>
      </c>
      <c r="AE9" s="12">
        <f t="shared" si="5"/>
        <v>0</v>
      </c>
      <c r="AF9" s="13">
        <v>61</v>
      </c>
      <c r="AG9" s="52">
        <v>205.7</v>
      </c>
      <c r="AH9" s="61">
        <v>55</v>
      </c>
      <c r="AI9" s="16">
        <f t="shared" si="21"/>
        <v>6.4434247778971008</v>
      </c>
      <c r="AJ9" s="48">
        <f t="shared" si="22"/>
        <v>154.64219466953043</v>
      </c>
      <c r="AK9" s="48">
        <f t="shared" si="23"/>
        <v>15.918958031837915</v>
      </c>
      <c r="AL9" s="57">
        <v>10</v>
      </c>
      <c r="AM9" s="14">
        <v>5.9829999999999997</v>
      </c>
      <c r="AN9" s="12">
        <f t="shared" si="24"/>
        <v>1.1715317777994729</v>
      </c>
      <c r="AO9" s="12">
        <f t="shared" si="25"/>
        <v>28.116762667187349</v>
      </c>
      <c r="AP9" s="12">
        <f t="shared" si="26"/>
        <v>2.8943560057887119</v>
      </c>
      <c r="AQ9" s="13">
        <v>15</v>
      </c>
      <c r="AR9" s="14">
        <v>11.717000000000001</v>
      </c>
      <c r="AS9" s="12">
        <f t="shared" si="6"/>
        <v>1.7572976666992093</v>
      </c>
      <c r="AT9" s="12">
        <f t="shared" si="7"/>
        <v>42.175144000781025</v>
      </c>
      <c r="AU9" s="12">
        <f t="shared" si="8"/>
        <v>4.3415340086830678</v>
      </c>
      <c r="AV9" s="13">
        <v>10</v>
      </c>
      <c r="AW9" s="14">
        <v>13.867000000000001</v>
      </c>
      <c r="AX9" s="12">
        <f t="shared" si="9"/>
        <v>1.1715317777994729</v>
      </c>
      <c r="AY9" s="12">
        <f t="shared" si="10"/>
        <v>28.116762667187349</v>
      </c>
      <c r="AZ9" s="12">
        <f t="shared" si="11"/>
        <v>2.8943560057887119</v>
      </c>
      <c r="BA9" s="13">
        <v>1</v>
      </c>
      <c r="BB9" s="52">
        <v>2.117</v>
      </c>
      <c r="BC9" s="48">
        <f t="shared" si="12"/>
        <v>0.11715317777994728</v>
      </c>
      <c r="BD9" s="48">
        <f t="shared" si="13"/>
        <v>2.8116762667187349</v>
      </c>
      <c r="BE9" s="48">
        <f t="shared" si="14"/>
        <v>0.28943560057887119</v>
      </c>
    </row>
    <row r="10" spans="1:57">
      <c r="A10" s="15" t="s">
        <v>217</v>
      </c>
      <c r="B10" s="9" t="str">
        <f>"006"</f>
        <v>006</v>
      </c>
      <c r="C10" s="9" t="str">
        <f>"4040 10080 124 1-1"</f>
        <v>4040 10080 124 1-1</v>
      </c>
      <c r="D10" s="9" t="str">
        <f>"1042 Z"</f>
        <v>1042 Z</v>
      </c>
      <c r="E10" s="10">
        <f t="shared" si="15"/>
        <v>672.76745599559536</v>
      </c>
      <c r="F10" s="11">
        <f t="shared" si="16"/>
        <v>89.755449531707441</v>
      </c>
      <c r="G10" s="11">
        <v>646.58299999999997</v>
      </c>
      <c r="H10" s="11">
        <v>73.8</v>
      </c>
      <c r="I10" s="11">
        <v>435</v>
      </c>
      <c r="J10" s="11">
        <v>129.19999999999999</v>
      </c>
      <c r="K10" s="11">
        <v>4305469.0999999996</v>
      </c>
      <c r="L10" s="11">
        <v>38795</v>
      </c>
      <c r="M10" s="11">
        <f t="shared" si="17"/>
        <v>110.97999999999999</v>
      </c>
      <c r="N10" s="13">
        <v>5</v>
      </c>
      <c r="O10" s="14">
        <v>2.2170000000000001</v>
      </c>
      <c r="P10" s="13">
        <v>16</v>
      </c>
      <c r="Q10" s="14">
        <v>30.667000000000002</v>
      </c>
      <c r="R10" s="12">
        <f t="shared" si="18"/>
        <v>1.4847281787489</v>
      </c>
      <c r="S10" s="12">
        <f t="shared" si="19"/>
        <v>35.633476289973601</v>
      </c>
      <c r="T10" s="12">
        <f t="shared" si="20"/>
        <v>3.6781609195402298</v>
      </c>
      <c r="U10" s="13">
        <v>34</v>
      </c>
      <c r="V10" s="14">
        <v>37.783000000000001</v>
      </c>
      <c r="W10" s="12">
        <f t="shared" si="0"/>
        <v>3.1550473798414127</v>
      </c>
      <c r="X10" s="12">
        <f t="shared" si="1"/>
        <v>75.721137116193901</v>
      </c>
      <c r="Y10" s="12">
        <f t="shared" si="2"/>
        <v>7.8160919540229887</v>
      </c>
      <c r="Z10" s="13">
        <v>5</v>
      </c>
      <c r="AA10" s="14">
        <v>3.1339999999999999</v>
      </c>
      <c r="AB10" s="10">
        <v>0</v>
      </c>
      <c r="AC10" s="12">
        <f t="shared" si="3"/>
        <v>0</v>
      </c>
      <c r="AD10" s="12">
        <f t="shared" si="4"/>
        <v>0</v>
      </c>
      <c r="AE10" s="12">
        <f t="shared" si="5"/>
        <v>0</v>
      </c>
      <c r="AF10" s="13">
        <v>60</v>
      </c>
      <c r="AG10" s="52">
        <v>73.801000000000002</v>
      </c>
      <c r="AH10" s="61">
        <v>50</v>
      </c>
      <c r="AI10" s="16">
        <f t="shared" si="21"/>
        <v>4.6397755585903129</v>
      </c>
      <c r="AJ10" s="48">
        <f t="shared" si="22"/>
        <v>111.3546134061675</v>
      </c>
      <c r="AK10" s="48">
        <f t="shared" si="23"/>
        <v>11.494252873563218</v>
      </c>
      <c r="AL10" s="57">
        <v>17</v>
      </c>
      <c r="AM10" s="14">
        <v>15.317</v>
      </c>
      <c r="AN10" s="12">
        <f t="shared" si="24"/>
        <v>1.5775236899207064</v>
      </c>
      <c r="AO10" s="12">
        <f t="shared" si="25"/>
        <v>37.860568558096951</v>
      </c>
      <c r="AP10" s="12">
        <f t="shared" si="26"/>
        <v>3.9080459770114944</v>
      </c>
      <c r="AQ10" s="13">
        <v>17</v>
      </c>
      <c r="AR10" s="14">
        <v>22.117000000000001</v>
      </c>
      <c r="AS10" s="12">
        <f t="shared" si="6"/>
        <v>1.5775236899207064</v>
      </c>
      <c r="AT10" s="12">
        <f t="shared" si="7"/>
        <v>37.860568558096951</v>
      </c>
      <c r="AU10" s="12">
        <f t="shared" si="8"/>
        <v>3.9080459770114944</v>
      </c>
      <c r="AV10" s="13">
        <v>0</v>
      </c>
      <c r="AW10" s="14">
        <v>0</v>
      </c>
      <c r="AX10" s="12">
        <f t="shared" si="9"/>
        <v>0</v>
      </c>
      <c r="AY10" s="12">
        <f t="shared" si="10"/>
        <v>0</v>
      </c>
      <c r="AZ10" s="12">
        <f t="shared" si="11"/>
        <v>0</v>
      </c>
      <c r="BA10" s="13">
        <v>0</v>
      </c>
      <c r="BB10" s="52">
        <v>0.35</v>
      </c>
      <c r="BC10" s="48">
        <f t="shared" si="12"/>
        <v>0</v>
      </c>
      <c r="BD10" s="48">
        <f t="shared" si="13"/>
        <v>0</v>
      </c>
      <c r="BE10" s="48">
        <f t="shared" si="14"/>
        <v>0</v>
      </c>
    </row>
    <row r="11" spans="1:57">
      <c r="A11" s="15" t="s">
        <v>217</v>
      </c>
      <c r="B11" s="9" t="str">
        <f>"007"</f>
        <v>007</v>
      </c>
      <c r="C11" s="9" t="str">
        <f>"6060 18587 126 4-1"</f>
        <v>6060 18587 126 4-1</v>
      </c>
      <c r="D11" s="9" t="str">
        <f>"1014 Z"</f>
        <v>1014 Z</v>
      </c>
      <c r="E11" s="10">
        <f t="shared" si="15"/>
        <v>563.38689671809527</v>
      </c>
      <c r="F11" s="11">
        <f t="shared" si="16"/>
        <v>65.057916666666657</v>
      </c>
      <c r="G11" s="11">
        <v>468.41699999999997</v>
      </c>
      <c r="H11" s="11">
        <v>251.583</v>
      </c>
      <c r="I11" s="11">
        <v>263.89999999999998</v>
      </c>
      <c r="J11" s="11">
        <v>77</v>
      </c>
      <c r="K11" s="11">
        <v>2489821.9500000002</v>
      </c>
      <c r="L11" s="11">
        <v>28105</v>
      </c>
      <c r="M11" s="11">
        <f t="shared" si="17"/>
        <v>88.59</v>
      </c>
      <c r="N11" s="13">
        <v>3</v>
      </c>
      <c r="O11" s="14">
        <v>1</v>
      </c>
      <c r="P11" s="13">
        <v>73</v>
      </c>
      <c r="Q11" s="14">
        <v>157.06700000000001</v>
      </c>
      <c r="R11" s="12">
        <f t="shared" si="18"/>
        <v>9.3506426965716454</v>
      </c>
      <c r="S11" s="12">
        <f t="shared" si="19"/>
        <v>224.41542471771947</v>
      </c>
      <c r="T11" s="12">
        <f t="shared" si="20"/>
        <v>27.66199317923456</v>
      </c>
      <c r="U11" s="13">
        <v>48</v>
      </c>
      <c r="V11" s="14">
        <v>48.65</v>
      </c>
      <c r="W11" s="12">
        <f t="shared" si="0"/>
        <v>6.1483678004854649</v>
      </c>
      <c r="X11" s="12">
        <f t="shared" si="1"/>
        <v>147.56082721165117</v>
      </c>
      <c r="Y11" s="12">
        <f t="shared" si="2"/>
        <v>18.188707843880259</v>
      </c>
      <c r="Z11" s="13">
        <v>3</v>
      </c>
      <c r="AA11" s="14">
        <v>44.866</v>
      </c>
      <c r="AB11" s="10">
        <v>0</v>
      </c>
      <c r="AC11" s="12">
        <f t="shared" si="3"/>
        <v>0</v>
      </c>
      <c r="AD11" s="12">
        <f t="shared" si="4"/>
        <v>0</v>
      </c>
      <c r="AE11" s="12">
        <f t="shared" si="5"/>
        <v>0</v>
      </c>
      <c r="AF11" s="13">
        <v>127</v>
      </c>
      <c r="AG11" s="52">
        <v>251.583</v>
      </c>
      <c r="AH11" s="61">
        <v>121</v>
      </c>
      <c r="AI11" s="16">
        <f t="shared" si="21"/>
        <v>15.49901049705711</v>
      </c>
      <c r="AJ11" s="48">
        <f t="shared" si="22"/>
        <v>371.97625192937062</v>
      </c>
      <c r="AK11" s="48">
        <f t="shared" si="23"/>
        <v>45.850701023114823</v>
      </c>
      <c r="AL11" s="57">
        <v>32</v>
      </c>
      <c r="AM11" s="14">
        <v>26.132999999999999</v>
      </c>
      <c r="AN11" s="12">
        <f t="shared" si="24"/>
        <v>4.09891186699031</v>
      </c>
      <c r="AO11" s="12">
        <f t="shared" si="25"/>
        <v>98.373884807767439</v>
      </c>
      <c r="AP11" s="12">
        <f t="shared" si="26"/>
        <v>12.125805229253507</v>
      </c>
      <c r="AQ11" s="13">
        <v>12</v>
      </c>
      <c r="AR11" s="14">
        <v>16.632999999999999</v>
      </c>
      <c r="AS11" s="12">
        <f t="shared" si="6"/>
        <v>1.5370919501213662</v>
      </c>
      <c r="AT11" s="12">
        <f t="shared" si="7"/>
        <v>36.890206802912793</v>
      </c>
      <c r="AU11" s="12">
        <f t="shared" si="8"/>
        <v>4.5471769609700647</v>
      </c>
      <c r="AV11" s="13">
        <v>2</v>
      </c>
      <c r="AW11" s="14">
        <v>4.6829999999999998</v>
      </c>
      <c r="AX11" s="12">
        <f t="shared" si="9"/>
        <v>0.25618199168689437</v>
      </c>
      <c r="AY11" s="12">
        <f t="shared" si="10"/>
        <v>6.1483678004854649</v>
      </c>
      <c r="AZ11" s="12">
        <f t="shared" si="11"/>
        <v>0.75786282682834416</v>
      </c>
      <c r="BA11" s="13">
        <v>2</v>
      </c>
      <c r="BB11" s="52">
        <v>1.2</v>
      </c>
      <c r="BC11" s="48">
        <f t="shared" si="12"/>
        <v>0.25618199168689437</v>
      </c>
      <c r="BD11" s="48">
        <f t="shared" si="13"/>
        <v>6.1483678004854649</v>
      </c>
      <c r="BE11" s="48">
        <f t="shared" si="14"/>
        <v>0.75786282682834416</v>
      </c>
    </row>
    <row r="12" spans="1:57">
      <c r="A12" s="15" t="s">
        <v>217</v>
      </c>
      <c r="B12" s="9" t="str">
        <f>"008"</f>
        <v>008</v>
      </c>
      <c r="C12" s="9" t="str">
        <f>"6060 18587 123 4-1"</f>
        <v>6060 18587 123 4-1</v>
      </c>
      <c r="D12" s="9" t="str">
        <f>"317 Z"</f>
        <v>317 Z</v>
      </c>
      <c r="E12" s="10">
        <f t="shared" si="15"/>
        <v>650.54769102972534</v>
      </c>
      <c r="F12" s="11">
        <f t="shared" si="16"/>
        <v>92.294027777777799</v>
      </c>
      <c r="G12" s="11">
        <v>664.51700000000005</v>
      </c>
      <c r="H12" s="11">
        <v>55.482999999999997</v>
      </c>
      <c r="I12" s="11">
        <v>432.3</v>
      </c>
      <c r="J12" s="11">
        <v>126.2</v>
      </c>
      <c r="K12" s="11">
        <v>3522204.14</v>
      </c>
      <c r="L12" s="11">
        <v>39871</v>
      </c>
      <c r="M12" s="11">
        <f t="shared" si="17"/>
        <v>88.34</v>
      </c>
      <c r="N12" s="13">
        <v>5</v>
      </c>
      <c r="O12" s="14">
        <v>2.0499999999999998</v>
      </c>
      <c r="P12" s="13">
        <v>11</v>
      </c>
      <c r="Q12" s="14">
        <v>21.466999999999999</v>
      </c>
      <c r="R12" s="12">
        <f t="shared" si="18"/>
        <v>0.99320258172477149</v>
      </c>
      <c r="S12" s="12">
        <f t="shared" si="19"/>
        <v>23.836861961394515</v>
      </c>
      <c r="T12" s="12">
        <f t="shared" si="20"/>
        <v>2.5445292620865141</v>
      </c>
      <c r="U12" s="13">
        <v>31</v>
      </c>
      <c r="V12" s="14">
        <v>28.832999999999998</v>
      </c>
      <c r="W12" s="12">
        <f t="shared" si="0"/>
        <v>2.7990254575879923</v>
      </c>
      <c r="X12" s="12">
        <f t="shared" si="1"/>
        <v>67.176610982111811</v>
      </c>
      <c r="Y12" s="12">
        <f t="shared" si="2"/>
        <v>7.1709461022438123</v>
      </c>
      <c r="Z12" s="13">
        <v>5</v>
      </c>
      <c r="AA12" s="14">
        <v>3.1339999999999999</v>
      </c>
      <c r="AB12" s="10">
        <v>0</v>
      </c>
      <c r="AC12" s="12">
        <f t="shared" si="3"/>
        <v>0</v>
      </c>
      <c r="AD12" s="12">
        <f t="shared" si="4"/>
        <v>0</v>
      </c>
      <c r="AE12" s="12">
        <f t="shared" si="5"/>
        <v>0</v>
      </c>
      <c r="AF12" s="13">
        <v>52</v>
      </c>
      <c r="AG12" s="52">
        <v>55.484000000000002</v>
      </c>
      <c r="AH12" s="61">
        <v>42</v>
      </c>
      <c r="AI12" s="16">
        <f t="shared" si="21"/>
        <v>3.7922280393127639</v>
      </c>
      <c r="AJ12" s="48">
        <f t="shared" si="22"/>
        <v>91.013472943506329</v>
      </c>
      <c r="AK12" s="48">
        <f t="shared" si="23"/>
        <v>9.7154753643303255</v>
      </c>
      <c r="AL12" s="57">
        <v>20</v>
      </c>
      <c r="AM12" s="14">
        <v>18.899999999999999</v>
      </c>
      <c r="AN12" s="12">
        <f t="shared" si="24"/>
        <v>1.8058228758632209</v>
      </c>
      <c r="AO12" s="12">
        <f t="shared" si="25"/>
        <v>43.339749020717299</v>
      </c>
      <c r="AP12" s="12">
        <f t="shared" si="26"/>
        <v>4.6264168401572983</v>
      </c>
      <c r="AQ12" s="13">
        <v>11</v>
      </c>
      <c r="AR12" s="14">
        <v>9.5830000000000002</v>
      </c>
      <c r="AS12" s="12">
        <f t="shared" si="6"/>
        <v>0.99320258172477149</v>
      </c>
      <c r="AT12" s="12">
        <f t="shared" si="7"/>
        <v>23.836861961394515</v>
      </c>
      <c r="AU12" s="12">
        <f t="shared" si="8"/>
        <v>2.5445292620865141</v>
      </c>
      <c r="AV12" s="13">
        <v>0</v>
      </c>
      <c r="AW12" s="14">
        <v>0</v>
      </c>
      <c r="AX12" s="12">
        <f t="shared" si="9"/>
        <v>0</v>
      </c>
      <c r="AY12" s="12">
        <f t="shared" si="10"/>
        <v>0</v>
      </c>
      <c r="AZ12" s="12">
        <f t="shared" si="11"/>
        <v>0</v>
      </c>
      <c r="BA12" s="13">
        <v>0</v>
      </c>
      <c r="BB12" s="52">
        <v>0.35</v>
      </c>
      <c r="BC12" s="48">
        <f t="shared" si="12"/>
        <v>0</v>
      </c>
      <c r="BD12" s="48">
        <f t="shared" si="13"/>
        <v>0</v>
      </c>
      <c r="BE12" s="48">
        <f t="shared" si="14"/>
        <v>0</v>
      </c>
    </row>
    <row r="13" spans="1:57">
      <c r="A13" s="15" t="s">
        <v>217</v>
      </c>
      <c r="B13" s="9" t="str">
        <f>"009"</f>
        <v>009</v>
      </c>
      <c r="C13" s="9" t="str">
        <f>"6060 18587 126 4-1"</f>
        <v>6060 18587 126 4-1</v>
      </c>
      <c r="D13" s="9" t="str">
        <f>"1151 Z"</f>
        <v>1151 Z</v>
      </c>
      <c r="E13" s="10">
        <f t="shared" si="15"/>
        <v>645.6341049244794</v>
      </c>
      <c r="F13" s="11">
        <f t="shared" si="16"/>
        <v>77.7013888888889</v>
      </c>
      <c r="G13" s="11">
        <v>559.45000000000005</v>
      </c>
      <c r="H13" s="11">
        <v>160.55000000000001</v>
      </c>
      <c r="I13" s="11">
        <v>361.2</v>
      </c>
      <c r="J13" s="11">
        <v>105.5</v>
      </c>
      <c r="K13" s="11">
        <v>3329510.73</v>
      </c>
      <c r="L13" s="11">
        <v>33567</v>
      </c>
      <c r="M13" s="11">
        <f t="shared" si="17"/>
        <v>99.19</v>
      </c>
      <c r="N13" s="13">
        <v>4</v>
      </c>
      <c r="O13" s="14">
        <v>1.6830000000000001</v>
      </c>
      <c r="P13" s="13">
        <v>32</v>
      </c>
      <c r="Q13" s="14">
        <v>93.45</v>
      </c>
      <c r="R13" s="12">
        <f t="shared" si="18"/>
        <v>3.4319420859772989</v>
      </c>
      <c r="S13" s="12">
        <f t="shared" si="19"/>
        <v>82.36661006345517</v>
      </c>
      <c r="T13" s="12">
        <f t="shared" si="20"/>
        <v>8.8593576965669989</v>
      </c>
      <c r="U13" s="13">
        <v>56</v>
      </c>
      <c r="V13" s="14">
        <v>64.016999999999996</v>
      </c>
      <c r="W13" s="12">
        <f t="shared" si="0"/>
        <v>6.0058986504602734</v>
      </c>
      <c r="X13" s="12">
        <f t="shared" si="1"/>
        <v>144.14156761104655</v>
      </c>
      <c r="Y13" s="12">
        <f t="shared" si="2"/>
        <v>15.503875968992249</v>
      </c>
      <c r="Z13" s="13">
        <v>1</v>
      </c>
      <c r="AA13" s="14">
        <v>1.4</v>
      </c>
      <c r="AB13" s="10">
        <v>0</v>
      </c>
      <c r="AC13" s="12">
        <f t="shared" si="3"/>
        <v>0</v>
      </c>
      <c r="AD13" s="12">
        <f t="shared" si="4"/>
        <v>0</v>
      </c>
      <c r="AE13" s="12">
        <f t="shared" si="5"/>
        <v>0</v>
      </c>
      <c r="AF13" s="13">
        <v>93</v>
      </c>
      <c r="AG13" s="52">
        <v>160.55000000000001</v>
      </c>
      <c r="AH13" s="61">
        <v>88</v>
      </c>
      <c r="AI13" s="16">
        <f t="shared" si="21"/>
        <v>9.4378407364375718</v>
      </c>
      <c r="AJ13" s="48">
        <f t="shared" si="22"/>
        <v>226.50817767450172</v>
      </c>
      <c r="AK13" s="48">
        <f t="shared" si="23"/>
        <v>24.363233665559246</v>
      </c>
      <c r="AL13" s="57">
        <v>20</v>
      </c>
      <c r="AM13" s="14">
        <v>17.899999999999999</v>
      </c>
      <c r="AN13" s="12">
        <f t="shared" si="24"/>
        <v>2.1449638037358119</v>
      </c>
      <c r="AO13" s="12">
        <f t="shared" si="25"/>
        <v>51.479131289659485</v>
      </c>
      <c r="AP13" s="12">
        <f t="shared" si="26"/>
        <v>5.5370985603543748</v>
      </c>
      <c r="AQ13" s="13">
        <v>29</v>
      </c>
      <c r="AR13" s="14">
        <v>36.116999999999997</v>
      </c>
      <c r="AS13" s="12">
        <f t="shared" si="6"/>
        <v>3.1101975154169272</v>
      </c>
      <c r="AT13" s="12">
        <f t="shared" si="7"/>
        <v>74.644740370006247</v>
      </c>
      <c r="AU13" s="12">
        <f t="shared" si="8"/>
        <v>8.0287929125138433</v>
      </c>
      <c r="AV13" s="13">
        <v>2</v>
      </c>
      <c r="AW13" s="14">
        <v>4.25</v>
      </c>
      <c r="AX13" s="12">
        <f t="shared" si="9"/>
        <v>0.21449638037358118</v>
      </c>
      <c r="AY13" s="12">
        <f t="shared" si="10"/>
        <v>5.1479131289659481</v>
      </c>
      <c r="AZ13" s="12">
        <f t="shared" si="11"/>
        <v>0.55370985603543743</v>
      </c>
      <c r="BA13" s="13">
        <v>5</v>
      </c>
      <c r="BB13" s="52">
        <v>5.75</v>
      </c>
      <c r="BC13" s="48">
        <f t="shared" si="12"/>
        <v>0.53624095093395296</v>
      </c>
      <c r="BD13" s="48">
        <f t="shared" si="13"/>
        <v>12.869782822414871</v>
      </c>
      <c r="BE13" s="48">
        <f t="shared" si="14"/>
        <v>1.3842746400885937</v>
      </c>
    </row>
    <row r="14" spans="1:57">
      <c r="A14" s="15" t="s">
        <v>217</v>
      </c>
      <c r="B14" s="9" t="str">
        <f>"010"</f>
        <v>010</v>
      </c>
      <c r="C14" s="9" t="str">
        <f>"4040 13079 67x59 4-1"</f>
        <v>4040 13079 67x59 4-1</v>
      </c>
      <c r="D14" s="9" t="str">
        <f>"1174 Z"</f>
        <v>1174 Z</v>
      </c>
      <c r="E14" s="10">
        <f t="shared" si="15"/>
        <v>662.11443371791859</v>
      </c>
      <c r="F14" s="11">
        <f t="shared" si="16"/>
        <v>88.479166666666657</v>
      </c>
      <c r="G14" s="11">
        <v>637.04999999999995</v>
      </c>
      <c r="H14" s="11">
        <v>82.95</v>
      </c>
      <c r="I14" s="11">
        <v>421.8</v>
      </c>
      <c r="J14" s="11">
        <v>135.6</v>
      </c>
      <c r="K14" s="11">
        <v>3688519.5</v>
      </c>
      <c r="L14" s="11">
        <v>38223</v>
      </c>
      <c r="M14" s="11">
        <f t="shared" si="17"/>
        <v>96.5</v>
      </c>
      <c r="N14" s="13">
        <v>5</v>
      </c>
      <c r="O14" s="14">
        <v>2.5670000000000002</v>
      </c>
      <c r="P14" s="13">
        <v>15</v>
      </c>
      <c r="Q14" s="14">
        <v>37.049999999999997</v>
      </c>
      <c r="R14" s="12">
        <f t="shared" si="18"/>
        <v>1.4127619496114905</v>
      </c>
      <c r="S14" s="12">
        <f t="shared" si="19"/>
        <v>33.906286790675772</v>
      </c>
      <c r="T14" s="12">
        <f t="shared" si="20"/>
        <v>3.5561877667140824</v>
      </c>
      <c r="U14" s="13">
        <v>31</v>
      </c>
      <c r="V14" s="14">
        <v>37.15</v>
      </c>
      <c r="W14" s="12">
        <f t="shared" si="0"/>
        <v>2.9197080291970803</v>
      </c>
      <c r="X14" s="12">
        <f t="shared" si="1"/>
        <v>70.072992700729927</v>
      </c>
      <c r="Y14" s="12">
        <f t="shared" si="2"/>
        <v>7.3494547178757701</v>
      </c>
      <c r="Z14" s="13">
        <v>3</v>
      </c>
      <c r="AA14" s="14">
        <v>6.1829999999999998</v>
      </c>
      <c r="AB14" s="10">
        <v>0</v>
      </c>
      <c r="AC14" s="12">
        <f t="shared" si="3"/>
        <v>0</v>
      </c>
      <c r="AD14" s="12">
        <f t="shared" si="4"/>
        <v>0</v>
      </c>
      <c r="AE14" s="12">
        <f t="shared" si="5"/>
        <v>0</v>
      </c>
      <c r="AF14" s="13">
        <v>54</v>
      </c>
      <c r="AG14" s="52">
        <v>82.95</v>
      </c>
      <c r="AH14" s="61">
        <v>46</v>
      </c>
      <c r="AI14" s="16">
        <f t="shared" si="21"/>
        <v>4.3324699788085708</v>
      </c>
      <c r="AJ14" s="48">
        <f t="shared" si="22"/>
        <v>103.97927949140571</v>
      </c>
      <c r="AK14" s="48">
        <f t="shared" si="23"/>
        <v>10.905642484589853</v>
      </c>
      <c r="AL14" s="57">
        <v>12</v>
      </c>
      <c r="AM14" s="14">
        <v>11.717000000000001</v>
      </c>
      <c r="AN14" s="12">
        <f t="shared" si="24"/>
        <v>1.1302095596891923</v>
      </c>
      <c r="AO14" s="12">
        <f t="shared" si="25"/>
        <v>27.125029432540618</v>
      </c>
      <c r="AP14" s="12">
        <f t="shared" si="26"/>
        <v>2.8449502133712659</v>
      </c>
      <c r="AQ14" s="13">
        <v>9</v>
      </c>
      <c r="AR14" s="14">
        <v>15.117000000000001</v>
      </c>
      <c r="AS14" s="12">
        <f t="shared" si="6"/>
        <v>0.84765716976689431</v>
      </c>
      <c r="AT14" s="12">
        <f t="shared" si="7"/>
        <v>20.343772074405464</v>
      </c>
      <c r="AU14" s="12">
        <f t="shared" si="8"/>
        <v>2.1337126600284493</v>
      </c>
      <c r="AV14" s="13">
        <v>7</v>
      </c>
      <c r="AW14" s="14">
        <v>6.3170000000000002</v>
      </c>
      <c r="AX14" s="12">
        <f t="shared" si="9"/>
        <v>0.65928890981869559</v>
      </c>
      <c r="AY14" s="12">
        <f t="shared" si="10"/>
        <v>15.822933835648694</v>
      </c>
      <c r="AZ14" s="12">
        <f t="shared" si="11"/>
        <v>1.6595542911332384</v>
      </c>
      <c r="BA14" s="13">
        <v>3</v>
      </c>
      <c r="BB14" s="52">
        <v>4</v>
      </c>
      <c r="BC14" s="48">
        <f t="shared" si="12"/>
        <v>0.28255238992229809</v>
      </c>
      <c r="BD14" s="48">
        <f t="shared" si="13"/>
        <v>6.7812573581351545</v>
      </c>
      <c r="BE14" s="48">
        <f t="shared" si="14"/>
        <v>0.71123755334281646</v>
      </c>
    </row>
    <row r="15" spans="1:57">
      <c r="A15" s="15" t="s">
        <v>217</v>
      </c>
      <c r="B15" s="9" t="str">
        <f>"011"</f>
        <v>011</v>
      </c>
      <c r="C15" s="9" t="str">
        <f>"4040 11083 123 1-1"</f>
        <v>4040 11083 123 1-1</v>
      </c>
      <c r="D15" s="9" t="str">
        <f>"1036 Z"</f>
        <v>1036 Z</v>
      </c>
      <c r="E15" s="10">
        <f t="shared" si="15"/>
        <v>671.96185231119807</v>
      </c>
      <c r="F15" s="11">
        <f t="shared" si="16"/>
        <v>90.02697037451091</v>
      </c>
      <c r="G15" s="11">
        <v>644.23299999999995</v>
      </c>
      <c r="H15" s="11">
        <v>71.367000000000004</v>
      </c>
      <c r="I15" s="11">
        <v>432.9</v>
      </c>
      <c r="J15" s="11">
        <v>127.7</v>
      </c>
      <c r="K15" s="11">
        <v>4494687.12</v>
      </c>
      <c r="L15" s="11">
        <v>38654</v>
      </c>
      <c r="M15" s="11">
        <f t="shared" si="17"/>
        <v>116.28</v>
      </c>
      <c r="N15" s="13">
        <v>5</v>
      </c>
      <c r="O15" s="14">
        <v>1.75</v>
      </c>
      <c r="P15" s="13">
        <v>15</v>
      </c>
      <c r="Q15" s="14">
        <v>25.667000000000002</v>
      </c>
      <c r="R15" s="12">
        <f t="shared" si="18"/>
        <v>1.3970100879650686</v>
      </c>
      <c r="S15" s="12">
        <f t="shared" si="19"/>
        <v>33.528242111161646</v>
      </c>
      <c r="T15" s="12">
        <f t="shared" si="20"/>
        <v>3.4650034650034653</v>
      </c>
      <c r="U15" s="13">
        <v>37</v>
      </c>
      <c r="V15" s="14">
        <v>40.167000000000002</v>
      </c>
      <c r="W15" s="12">
        <f t="shared" si="0"/>
        <v>3.4459582169805025</v>
      </c>
      <c r="X15" s="12">
        <f t="shared" si="1"/>
        <v>82.702997207532064</v>
      </c>
      <c r="Y15" s="12">
        <f t="shared" si="2"/>
        <v>8.5470085470085468</v>
      </c>
      <c r="Z15" s="13">
        <v>6</v>
      </c>
      <c r="AA15" s="14">
        <v>3.7839999999999998</v>
      </c>
      <c r="AB15" s="10">
        <v>0</v>
      </c>
      <c r="AC15" s="12">
        <f t="shared" si="3"/>
        <v>0</v>
      </c>
      <c r="AD15" s="12">
        <f t="shared" si="4"/>
        <v>0</v>
      </c>
      <c r="AE15" s="12">
        <f t="shared" si="5"/>
        <v>0</v>
      </c>
      <c r="AF15" s="13">
        <v>63</v>
      </c>
      <c r="AG15" s="52">
        <v>71.367999999999995</v>
      </c>
      <c r="AH15" s="61">
        <v>52</v>
      </c>
      <c r="AI15" s="16">
        <f t="shared" si="21"/>
        <v>4.842968304945571</v>
      </c>
      <c r="AJ15" s="48">
        <f t="shared" si="22"/>
        <v>116.23123931869371</v>
      </c>
      <c r="AK15" s="48">
        <f t="shared" si="23"/>
        <v>12.012012012012013</v>
      </c>
      <c r="AL15" s="57">
        <v>23</v>
      </c>
      <c r="AM15" s="14">
        <v>26.567</v>
      </c>
      <c r="AN15" s="12">
        <f t="shared" si="24"/>
        <v>2.1420821348797721</v>
      </c>
      <c r="AO15" s="12">
        <f t="shared" si="25"/>
        <v>51.409971237114526</v>
      </c>
      <c r="AP15" s="12">
        <f t="shared" si="26"/>
        <v>5.3130053130053136</v>
      </c>
      <c r="AQ15" s="13">
        <v>13</v>
      </c>
      <c r="AR15" s="14">
        <v>11.317</v>
      </c>
      <c r="AS15" s="12">
        <f t="shared" si="6"/>
        <v>1.2107420762363927</v>
      </c>
      <c r="AT15" s="12">
        <f t="shared" si="7"/>
        <v>29.057809829673428</v>
      </c>
      <c r="AU15" s="12">
        <f t="shared" si="8"/>
        <v>3.0030030030030033</v>
      </c>
      <c r="AV15" s="13">
        <v>0</v>
      </c>
      <c r="AW15" s="14">
        <v>0</v>
      </c>
      <c r="AX15" s="12">
        <f t="shared" si="9"/>
        <v>0</v>
      </c>
      <c r="AY15" s="12">
        <f t="shared" si="10"/>
        <v>0</v>
      </c>
      <c r="AZ15" s="12">
        <f t="shared" si="11"/>
        <v>0</v>
      </c>
      <c r="BA15" s="13">
        <v>1</v>
      </c>
      <c r="BB15" s="52">
        <v>2.2829999999999999</v>
      </c>
      <c r="BC15" s="48">
        <f t="shared" si="12"/>
        <v>9.3134005864337913E-2</v>
      </c>
      <c r="BD15" s="48">
        <f t="shared" si="13"/>
        <v>2.23521614074411</v>
      </c>
      <c r="BE15" s="48">
        <f t="shared" si="14"/>
        <v>0.23100023100023101</v>
      </c>
    </row>
    <row r="16" spans="1:57">
      <c r="A16" s="15" t="s">
        <v>217</v>
      </c>
      <c r="B16" s="9" t="str">
        <f>"012"</f>
        <v>012</v>
      </c>
      <c r="C16" s="9" t="str">
        <f>"6060 164113 124 33mm"</f>
        <v>6060 164113 124 33mm</v>
      </c>
      <c r="D16" s="9" t="str">
        <f>"1001 Z"</f>
        <v>1001 Z</v>
      </c>
      <c r="E16" s="10">
        <f t="shared" si="15"/>
        <v>634.73877527888533</v>
      </c>
      <c r="F16" s="11">
        <f t="shared" si="16"/>
        <v>91.303685056989025</v>
      </c>
      <c r="G16" s="11">
        <v>652.86699999999996</v>
      </c>
      <c r="H16" s="11">
        <v>62.183</v>
      </c>
      <c r="I16" s="11">
        <v>414.4</v>
      </c>
      <c r="J16" s="11">
        <v>117.1</v>
      </c>
      <c r="K16" s="11">
        <v>3325702.8</v>
      </c>
      <c r="L16" s="11">
        <v>39172</v>
      </c>
      <c r="M16" s="11">
        <f t="shared" si="17"/>
        <v>84.899999999999991</v>
      </c>
      <c r="N16" s="13">
        <v>6</v>
      </c>
      <c r="O16" s="14">
        <v>2.1669999999999998</v>
      </c>
      <c r="P16" s="13">
        <v>12</v>
      </c>
      <c r="Q16" s="14">
        <v>23.4</v>
      </c>
      <c r="R16" s="12">
        <f t="shared" si="18"/>
        <v>1.1028279879362872</v>
      </c>
      <c r="S16" s="12">
        <f t="shared" si="19"/>
        <v>26.467871710470895</v>
      </c>
      <c r="T16" s="12">
        <f t="shared" si="20"/>
        <v>2.8957528957528957</v>
      </c>
      <c r="U16" s="13">
        <v>34</v>
      </c>
      <c r="V16" s="14">
        <v>33.482999999999997</v>
      </c>
      <c r="W16" s="12">
        <f t="shared" si="0"/>
        <v>3.1246792991528141</v>
      </c>
      <c r="X16" s="12">
        <f t="shared" si="1"/>
        <v>74.99230317966753</v>
      </c>
      <c r="Y16" s="12">
        <f t="shared" si="2"/>
        <v>8.2046332046332058</v>
      </c>
      <c r="Z16" s="13">
        <v>5</v>
      </c>
      <c r="AA16" s="14">
        <v>3.1339999999999999</v>
      </c>
      <c r="AB16" s="10">
        <v>0</v>
      </c>
      <c r="AC16" s="12">
        <f t="shared" si="3"/>
        <v>0</v>
      </c>
      <c r="AD16" s="12">
        <f t="shared" si="4"/>
        <v>0</v>
      </c>
      <c r="AE16" s="12">
        <f t="shared" si="5"/>
        <v>0</v>
      </c>
      <c r="AF16" s="13">
        <v>57</v>
      </c>
      <c r="AG16" s="52">
        <v>62.183999999999997</v>
      </c>
      <c r="AH16" s="61">
        <v>46</v>
      </c>
      <c r="AI16" s="16">
        <f t="shared" si="21"/>
        <v>4.2275072870891011</v>
      </c>
      <c r="AJ16" s="48">
        <f t="shared" si="22"/>
        <v>101.46017489013843</v>
      </c>
      <c r="AK16" s="48">
        <f t="shared" si="23"/>
        <v>11.100386100386102</v>
      </c>
      <c r="AL16" s="57">
        <v>20</v>
      </c>
      <c r="AM16" s="14">
        <v>20.216999999999999</v>
      </c>
      <c r="AN16" s="12">
        <f t="shared" si="24"/>
        <v>1.8380466465604788</v>
      </c>
      <c r="AO16" s="12">
        <f t="shared" si="25"/>
        <v>44.113119517451487</v>
      </c>
      <c r="AP16" s="12">
        <f t="shared" si="26"/>
        <v>4.8262548262548268</v>
      </c>
      <c r="AQ16" s="13">
        <v>14</v>
      </c>
      <c r="AR16" s="14">
        <v>12.917</v>
      </c>
      <c r="AS16" s="12">
        <f t="shared" si="6"/>
        <v>1.2866326525923351</v>
      </c>
      <c r="AT16" s="12">
        <f t="shared" si="7"/>
        <v>30.879183662216043</v>
      </c>
      <c r="AU16" s="12">
        <f t="shared" si="8"/>
        <v>3.3783783783783785</v>
      </c>
      <c r="AV16" s="13">
        <v>0</v>
      </c>
      <c r="AW16" s="14">
        <v>0</v>
      </c>
      <c r="AX16" s="12">
        <f t="shared" si="9"/>
        <v>0</v>
      </c>
      <c r="AY16" s="12">
        <f t="shared" si="10"/>
        <v>0</v>
      </c>
      <c r="AZ16" s="12">
        <f t="shared" si="11"/>
        <v>0</v>
      </c>
      <c r="BA16" s="13">
        <v>0</v>
      </c>
      <c r="BB16" s="52">
        <v>0.35</v>
      </c>
      <c r="BC16" s="48">
        <f t="shared" si="12"/>
        <v>0</v>
      </c>
      <c r="BD16" s="48">
        <f t="shared" si="13"/>
        <v>0</v>
      </c>
      <c r="BE16" s="48">
        <f t="shared" si="14"/>
        <v>0</v>
      </c>
    </row>
    <row r="17" spans="1:57">
      <c r="A17" s="15" t="s">
        <v>217</v>
      </c>
      <c r="B17" s="9" t="str">
        <f>"013"</f>
        <v>013</v>
      </c>
      <c r="C17" s="9" t="str">
        <f>"8080 9088 46x2 1-1"</f>
        <v>8080 9088 46x2 1-1</v>
      </c>
      <c r="D17" s="9" t="str">
        <f>"1079Z"</f>
        <v>1079Z</v>
      </c>
      <c r="E17" s="10">
        <f t="shared" si="15"/>
        <v>721.56338733923496</v>
      </c>
      <c r="F17" s="11">
        <f t="shared" si="16"/>
        <v>83.152777777777786</v>
      </c>
      <c r="G17" s="11">
        <v>598.70000000000005</v>
      </c>
      <c r="H17" s="11">
        <v>121.3</v>
      </c>
      <c r="I17" s="11">
        <v>432</v>
      </c>
      <c r="J17" s="11">
        <v>124.7</v>
      </c>
      <c r="K17" s="11">
        <v>2216387.4</v>
      </c>
      <c r="L17" s="11">
        <v>35922</v>
      </c>
      <c r="M17" s="11">
        <f t="shared" si="17"/>
        <v>61.699999999999996</v>
      </c>
      <c r="N17" s="13">
        <v>1</v>
      </c>
      <c r="O17" s="14">
        <v>1.2170000000000001</v>
      </c>
      <c r="P17" s="13">
        <v>22</v>
      </c>
      <c r="Q17" s="14">
        <v>56.482999999999997</v>
      </c>
      <c r="R17" s="12">
        <f t="shared" si="18"/>
        <v>2.2047770168698846</v>
      </c>
      <c r="S17" s="12">
        <f t="shared" si="19"/>
        <v>52.914648404877227</v>
      </c>
      <c r="T17" s="12">
        <f t="shared" si="20"/>
        <v>5.0925925925925926</v>
      </c>
      <c r="U17" s="13">
        <v>61</v>
      </c>
      <c r="V17" s="14">
        <v>53.366999999999997</v>
      </c>
      <c r="W17" s="12">
        <f t="shared" si="0"/>
        <v>6.1132453649574074</v>
      </c>
      <c r="X17" s="12">
        <f t="shared" si="1"/>
        <v>146.71788875897778</v>
      </c>
      <c r="Y17" s="12">
        <f t="shared" si="2"/>
        <v>14.12037037037037</v>
      </c>
      <c r="Z17" s="13">
        <v>3</v>
      </c>
      <c r="AA17" s="14">
        <v>10.234</v>
      </c>
      <c r="AB17" s="10">
        <v>3</v>
      </c>
      <c r="AC17" s="12">
        <f t="shared" si="3"/>
        <v>0.30065141139134788</v>
      </c>
      <c r="AD17" s="12">
        <f t="shared" si="4"/>
        <v>7.21563387339235</v>
      </c>
      <c r="AE17" s="12">
        <f t="shared" si="5"/>
        <v>0.69444444444444442</v>
      </c>
      <c r="AF17" s="13">
        <v>87</v>
      </c>
      <c r="AG17" s="52">
        <v>121.301</v>
      </c>
      <c r="AH17" s="61">
        <v>86</v>
      </c>
      <c r="AI17" s="16">
        <f t="shared" si="21"/>
        <v>8.6186737932186404</v>
      </c>
      <c r="AJ17" s="48">
        <f t="shared" si="22"/>
        <v>206.84817103724734</v>
      </c>
      <c r="AK17" s="48">
        <f t="shared" si="23"/>
        <v>19.907407407407408</v>
      </c>
      <c r="AL17" s="57">
        <v>25</v>
      </c>
      <c r="AM17" s="14">
        <v>21.266999999999999</v>
      </c>
      <c r="AN17" s="12">
        <f t="shared" si="24"/>
        <v>2.5054284282612325</v>
      </c>
      <c r="AO17" s="12">
        <f t="shared" si="25"/>
        <v>60.130282278269583</v>
      </c>
      <c r="AP17" s="12">
        <f t="shared" si="26"/>
        <v>5.7870370370370372</v>
      </c>
      <c r="AQ17" s="13">
        <v>18</v>
      </c>
      <c r="AR17" s="14">
        <v>19.766999999999999</v>
      </c>
      <c r="AS17" s="12">
        <f t="shared" si="6"/>
        <v>1.8039084683480875</v>
      </c>
      <c r="AT17" s="12">
        <f t="shared" si="7"/>
        <v>43.293803240354094</v>
      </c>
      <c r="AU17" s="12">
        <f t="shared" si="8"/>
        <v>4.166666666666667</v>
      </c>
      <c r="AV17" s="13">
        <v>13</v>
      </c>
      <c r="AW17" s="14">
        <v>9.0169999999999995</v>
      </c>
      <c r="AX17" s="12">
        <f t="shared" si="9"/>
        <v>1.302822782695841</v>
      </c>
      <c r="AY17" s="12">
        <f t="shared" si="10"/>
        <v>31.267746784700183</v>
      </c>
      <c r="AZ17" s="12">
        <f t="shared" si="11"/>
        <v>3.0092592592592591</v>
      </c>
      <c r="BA17" s="13">
        <v>5</v>
      </c>
      <c r="BB17" s="52">
        <v>3.3170000000000002</v>
      </c>
      <c r="BC17" s="48">
        <f t="shared" si="12"/>
        <v>0.50108568565224654</v>
      </c>
      <c r="BD17" s="48">
        <f t="shared" si="13"/>
        <v>12.026056455653915</v>
      </c>
      <c r="BE17" s="48">
        <f t="shared" si="14"/>
        <v>1.1574074074074074</v>
      </c>
    </row>
    <row r="18" spans="1:57">
      <c r="A18" s="15" t="s">
        <v>217</v>
      </c>
      <c r="B18" s="9" t="str">
        <f>"014"</f>
        <v>014</v>
      </c>
      <c r="C18" s="9" t="str">
        <f>"8080 10288 46x2 1-1"</f>
        <v>8080 10288 46x2 1-1</v>
      </c>
      <c r="D18" s="9" t="str">
        <f>"1054 Z"</f>
        <v>1054 Z</v>
      </c>
      <c r="E18" s="10">
        <f t="shared" si="15"/>
        <v>799.63764237970918</v>
      </c>
      <c r="F18" s="11">
        <f t="shared" si="16"/>
        <v>89.537083333333342</v>
      </c>
      <c r="G18" s="11">
        <v>644.66700000000003</v>
      </c>
      <c r="H18" s="11">
        <v>75.332999999999998</v>
      </c>
      <c r="I18" s="11">
        <v>515.5</v>
      </c>
      <c r="J18" s="11">
        <v>148.80000000000001</v>
      </c>
      <c r="K18" s="11">
        <v>2468944.4</v>
      </c>
      <c r="L18" s="11">
        <v>38680</v>
      </c>
      <c r="M18" s="11">
        <f t="shared" si="17"/>
        <v>63.83</v>
      </c>
      <c r="N18" s="13">
        <v>4</v>
      </c>
      <c r="O18" s="14">
        <v>1.2</v>
      </c>
      <c r="P18" s="13">
        <v>13</v>
      </c>
      <c r="Q18" s="14">
        <v>25.65</v>
      </c>
      <c r="R18" s="12">
        <f t="shared" si="18"/>
        <v>1.2099269855599868</v>
      </c>
      <c r="S18" s="12">
        <f t="shared" si="19"/>
        <v>29.038247653439683</v>
      </c>
      <c r="T18" s="12">
        <f t="shared" si="20"/>
        <v>2.5218234723569348</v>
      </c>
      <c r="U18" s="13">
        <v>43</v>
      </c>
      <c r="V18" s="14">
        <v>39.15</v>
      </c>
      <c r="W18" s="12">
        <f t="shared" si="0"/>
        <v>4.0020661830061099</v>
      </c>
      <c r="X18" s="12">
        <f t="shared" si="1"/>
        <v>96.049588392146632</v>
      </c>
      <c r="Y18" s="12">
        <f t="shared" si="2"/>
        <v>8.3414161008729391</v>
      </c>
      <c r="Z18" s="13">
        <v>8</v>
      </c>
      <c r="AA18" s="14">
        <v>9.3330000000000002</v>
      </c>
      <c r="AB18" s="10">
        <v>0</v>
      </c>
      <c r="AC18" s="12">
        <f t="shared" si="3"/>
        <v>0</v>
      </c>
      <c r="AD18" s="12">
        <f t="shared" si="4"/>
        <v>0</v>
      </c>
      <c r="AE18" s="12">
        <f t="shared" si="5"/>
        <v>0</v>
      </c>
      <c r="AF18" s="13">
        <v>68</v>
      </c>
      <c r="AG18" s="52">
        <v>75.332999999999998</v>
      </c>
      <c r="AH18" s="61">
        <v>56</v>
      </c>
      <c r="AI18" s="16">
        <f t="shared" si="21"/>
        <v>5.2119931685660967</v>
      </c>
      <c r="AJ18" s="48">
        <f t="shared" si="22"/>
        <v>125.08783604558631</v>
      </c>
      <c r="AK18" s="48">
        <f t="shared" si="23"/>
        <v>10.863239573229874</v>
      </c>
      <c r="AL18" s="57">
        <v>20</v>
      </c>
      <c r="AM18" s="14">
        <v>19.783000000000001</v>
      </c>
      <c r="AN18" s="12">
        <f t="shared" si="24"/>
        <v>1.8614261316307488</v>
      </c>
      <c r="AO18" s="12">
        <f t="shared" si="25"/>
        <v>44.67422715913797</v>
      </c>
      <c r="AP18" s="12">
        <f t="shared" si="26"/>
        <v>3.8797284190106693</v>
      </c>
      <c r="AQ18" s="13">
        <v>10</v>
      </c>
      <c r="AR18" s="14">
        <v>7.2</v>
      </c>
      <c r="AS18" s="12">
        <f t="shared" si="6"/>
        <v>0.93071306581537439</v>
      </c>
      <c r="AT18" s="12">
        <f t="shared" si="7"/>
        <v>22.337113579568985</v>
      </c>
      <c r="AU18" s="12">
        <f t="shared" si="8"/>
        <v>1.9398642095053347</v>
      </c>
      <c r="AV18" s="13">
        <v>6</v>
      </c>
      <c r="AW18" s="14">
        <v>5.867</v>
      </c>
      <c r="AX18" s="12">
        <f t="shared" si="9"/>
        <v>0.5584278394892247</v>
      </c>
      <c r="AY18" s="12">
        <f t="shared" si="10"/>
        <v>13.402268147741392</v>
      </c>
      <c r="AZ18" s="12">
        <f t="shared" si="11"/>
        <v>1.1639185257032008</v>
      </c>
      <c r="BA18" s="13">
        <v>7</v>
      </c>
      <c r="BB18" s="52">
        <v>6.3</v>
      </c>
      <c r="BC18" s="48">
        <f t="shared" si="12"/>
        <v>0.65149914607076209</v>
      </c>
      <c r="BD18" s="48">
        <f t="shared" si="13"/>
        <v>15.635979505698289</v>
      </c>
      <c r="BE18" s="48">
        <f t="shared" si="14"/>
        <v>1.3579049466537343</v>
      </c>
    </row>
    <row r="19" spans="1:57">
      <c r="A19" s="15" t="s">
        <v>217</v>
      </c>
      <c r="B19" s="9" t="str">
        <f>"015"</f>
        <v>015</v>
      </c>
      <c r="C19" s="9" t="str">
        <f>"4040 127121 106 2-1"</f>
        <v>4040 127121 106 2-1</v>
      </c>
      <c r="D19" s="9" t="str">
        <f>"1053"</f>
        <v>1053</v>
      </c>
      <c r="E19" s="10">
        <f t="shared" si="15"/>
        <v>615.04839711997602</v>
      </c>
      <c r="F19" s="11">
        <f t="shared" si="16"/>
        <v>86.937808412856924</v>
      </c>
      <c r="G19" s="11">
        <v>625.96699999999998</v>
      </c>
      <c r="H19" s="11">
        <v>94.05</v>
      </c>
      <c r="I19" s="11">
        <v>385</v>
      </c>
      <c r="J19" s="11">
        <v>81.900000000000006</v>
      </c>
      <c r="K19" s="11">
        <v>2445776.96</v>
      </c>
      <c r="L19" s="11">
        <v>37558</v>
      </c>
      <c r="M19" s="11">
        <f t="shared" si="17"/>
        <v>65.12</v>
      </c>
      <c r="N19" s="13">
        <v>9</v>
      </c>
      <c r="O19" s="14">
        <v>6.1</v>
      </c>
      <c r="P19" s="13">
        <v>8</v>
      </c>
      <c r="Q19" s="14">
        <v>10.9</v>
      </c>
      <c r="R19" s="12">
        <f t="shared" si="18"/>
        <v>0.76681358601971028</v>
      </c>
      <c r="S19" s="12">
        <f t="shared" si="19"/>
        <v>18.403526064473049</v>
      </c>
      <c r="T19" s="12">
        <f t="shared" si="20"/>
        <v>2.0779220779220777</v>
      </c>
      <c r="U19" s="13">
        <v>26</v>
      </c>
      <c r="V19" s="14">
        <v>22.05</v>
      </c>
      <c r="W19" s="12">
        <f t="shared" si="0"/>
        <v>2.4921441545640586</v>
      </c>
      <c r="X19" s="12">
        <f t="shared" si="1"/>
        <v>59.811459709537402</v>
      </c>
      <c r="Y19" s="12">
        <f t="shared" si="2"/>
        <v>6.7532467532467528</v>
      </c>
      <c r="Z19" s="13">
        <v>4</v>
      </c>
      <c r="AA19" s="14">
        <v>55.000999999999998</v>
      </c>
      <c r="AB19" s="10">
        <v>1</v>
      </c>
      <c r="AC19" s="12">
        <f t="shared" si="3"/>
        <v>9.5851698252463785E-2</v>
      </c>
      <c r="AD19" s="12">
        <f t="shared" si="4"/>
        <v>2.3004407580591311</v>
      </c>
      <c r="AE19" s="12">
        <f t="shared" si="5"/>
        <v>0.25974025974025972</v>
      </c>
      <c r="AF19" s="13">
        <v>47</v>
      </c>
      <c r="AG19" s="52">
        <v>94.051000000000002</v>
      </c>
      <c r="AH19" s="61">
        <v>35</v>
      </c>
      <c r="AI19" s="16">
        <f t="shared" si="21"/>
        <v>3.3548094388362326</v>
      </c>
      <c r="AJ19" s="48">
        <f t="shared" si="22"/>
        <v>80.515426532069583</v>
      </c>
      <c r="AK19" s="48">
        <f t="shared" si="23"/>
        <v>9.0909090909090917</v>
      </c>
      <c r="AL19" s="57">
        <v>12</v>
      </c>
      <c r="AM19" s="14">
        <v>8.2330000000000005</v>
      </c>
      <c r="AN19" s="12">
        <f t="shared" si="24"/>
        <v>1.1502203790295655</v>
      </c>
      <c r="AO19" s="12">
        <f t="shared" si="25"/>
        <v>27.605289096709573</v>
      </c>
      <c r="AP19" s="12">
        <f t="shared" si="26"/>
        <v>3.116883116883117</v>
      </c>
      <c r="AQ19" s="13">
        <v>6</v>
      </c>
      <c r="AR19" s="14">
        <v>5.2670000000000003</v>
      </c>
      <c r="AS19" s="12">
        <f t="shared" si="6"/>
        <v>0.57511018951478277</v>
      </c>
      <c r="AT19" s="12">
        <f t="shared" si="7"/>
        <v>13.802644548354786</v>
      </c>
      <c r="AU19" s="12">
        <f t="shared" si="8"/>
        <v>1.5584415584415585</v>
      </c>
      <c r="AV19" s="13">
        <v>4</v>
      </c>
      <c r="AW19" s="14">
        <v>5.85</v>
      </c>
      <c r="AX19" s="12">
        <f t="shared" si="9"/>
        <v>0.38340679300985514</v>
      </c>
      <c r="AY19" s="12">
        <f t="shared" si="10"/>
        <v>9.2017630322365243</v>
      </c>
      <c r="AZ19" s="12">
        <f t="shared" si="11"/>
        <v>1.0389610389610389</v>
      </c>
      <c r="BA19" s="13">
        <v>4</v>
      </c>
      <c r="BB19" s="52">
        <v>2.7</v>
      </c>
      <c r="BC19" s="48">
        <f t="shared" si="12"/>
        <v>0.38340679300985514</v>
      </c>
      <c r="BD19" s="48">
        <f t="shared" si="13"/>
        <v>9.2017630322365243</v>
      </c>
      <c r="BE19" s="48">
        <f t="shared" si="14"/>
        <v>1.0389610389610389</v>
      </c>
    </row>
    <row r="20" spans="1:57">
      <c r="A20" s="15" t="s">
        <v>217</v>
      </c>
      <c r="B20" s="9" t="str">
        <f>"016"</f>
        <v>016</v>
      </c>
      <c r="C20" s="9" t="str">
        <f>"8080 9088 46x2 1-1"</f>
        <v>8080 9088 46x2 1-1</v>
      </c>
      <c r="D20" s="9" t="str">
        <f>"1084 Z"</f>
        <v>1084 Z</v>
      </c>
      <c r="E20" s="10">
        <f t="shared" si="15"/>
        <v>797.85091073282786</v>
      </c>
      <c r="F20" s="11">
        <f t="shared" si="16"/>
        <v>91.356527777777799</v>
      </c>
      <c r="G20" s="11">
        <v>657.76700000000005</v>
      </c>
      <c r="H20" s="11">
        <v>62.232999999999997</v>
      </c>
      <c r="I20" s="11">
        <v>524.79999999999995</v>
      </c>
      <c r="J20" s="11">
        <v>151.5</v>
      </c>
      <c r="K20" s="11">
        <v>2477280.8199999998</v>
      </c>
      <c r="L20" s="11">
        <v>39466</v>
      </c>
      <c r="M20" s="11">
        <f t="shared" si="17"/>
        <v>62.769999999999996</v>
      </c>
      <c r="N20" s="13">
        <v>4</v>
      </c>
      <c r="O20" s="14">
        <v>1.2</v>
      </c>
      <c r="P20" s="13">
        <v>16</v>
      </c>
      <c r="Q20" s="14">
        <v>26.95</v>
      </c>
      <c r="R20" s="12">
        <f t="shared" si="18"/>
        <v>1.4594833732917583</v>
      </c>
      <c r="S20" s="12">
        <f t="shared" si="19"/>
        <v>35.0276009590022</v>
      </c>
      <c r="T20" s="12">
        <f t="shared" si="20"/>
        <v>3.0487804878048781</v>
      </c>
      <c r="U20" s="13">
        <v>33</v>
      </c>
      <c r="V20" s="14">
        <v>20.3</v>
      </c>
      <c r="W20" s="12">
        <f t="shared" si="0"/>
        <v>3.0101844574142511</v>
      </c>
      <c r="X20" s="12">
        <f t="shared" si="1"/>
        <v>72.244426977942027</v>
      </c>
      <c r="Y20" s="12">
        <f t="shared" si="2"/>
        <v>6.2881097560975618</v>
      </c>
      <c r="Z20" s="13">
        <v>7</v>
      </c>
      <c r="AA20" s="14">
        <v>13.784000000000001</v>
      </c>
      <c r="AB20" s="10">
        <v>1</v>
      </c>
      <c r="AC20" s="12">
        <f t="shared" si="3"/>
        <v>9.1217710830734891E-2</v>
      </c>
      <c r="AD20" s="12">
        <f t="shared" si="4"/>
        <v>2.1892250599376375</v>
      </c>
      <c r="AE20" s="12">
        <f t="shared" si="5"/>
        <v>0.19054878048780488</v>
      </c>
      <c r="AF20" s="13">
        <v>60</v>
      </c>
      <c r="AG20" s="52">
        <v>62.234000000000002</v>
      </c>
      <c r="AH20" s="61">
        <v>50</v>
      </c>
      <c r="AI20" s="16">
        <f t="shared" si="21"/>
        <v>4.5608855415367442</v>
      </c>
      <c r="AJ20" s="48">
        <f t="shared" si="22"/>
        <v>109.46125299688187</v>
      </c>
      <c r="AK20" s="48">
        <f t="shared" si="23"/>
        <v>9.5274390243902456</v>
      </c>
      <c r="AL20" s="57">
        <v>10</v>
      </c>
      <c r="AM20" s="14">
        <v>5.4169999999999998</v>
      </c>
      <c r="AN20" s="12">
        <f t="shared" si="24"/>
        <v>0.91217710830734888</v>
      </c>
      <c r="AO20" s="12">
        <f t="shared" si="25"/>
        <v>21.892250599376371</v>
      </c>
      <c r="AP20" s="12">
        <f t="shared" si="26"/>
        <v>1.905487804878049</v>
      </c>
      <c r="AQ20" s="13">
        <v>19</v>
      </c>
      <c r="AR20" s="14">
        <v>9.6999999999999993</v>
      </c>
      <c r="AS20" s="12">
        <f t="shared" si="6"/>
        <v>1.7331365057839629</v>
      </c>
      <c r="AT20" s="12">
        <f t="shared" si="7"/>
        <v>41.595276138815109</v>
      </c>
      <c r="AU20" s="12">
        <f t="shared" si="8"/>
        <v>3.6204268292682928</v>
      </c>
      <c r="AV20" s="13">
        <v>2</v>
      </c>
      <c r="AW20" s="14">
        <v>0.81699999999999995</v>
      </c>
      <c r="AX20" s="12">
        <f t="shared" si="9"/>
        <v>0.18243542166146978</v>
      </c>
      <c r="AY20" s="12">
        <f t="shared" si="10"/>
        <v>4.378450119875275</v>
      </c>
      <c r="AZ20" s="12">
        <f t="shared" si="11"/>
        <v>0.38109756097560976</v>
      </c>
      <c r="BA20" s="13">
        <v>2</v>
      </c>
      <c r="BB20" s="52">
        <v>4.367</v>
      </c>
      <c r="BC20" s="48">
        <f t="shared" si="12"/>
        <v>0.18243542166146978</v>
      </c>
      <c r="BD20" s="48">
        <f t="shared" si="13"/>
        <v>4.378450119875275</v>
      </c>
      <c r="BE20" s="48">
        <f t="shared" si="14"/>
        <v>0.38109756097560976</v>
      </c>
    </row>
    <row r="21" spans="1:57">
      <c r="A21" s="15" t="s">
        <v>217</v>
      </c>
      <c r="B21" s="9" t="str">
        <f>"017"</f>
        <v>017</v>
      </c>
      <c r="C21" s="9" t="str">
        <f>"4040 10080 124 1-1"</f>
        <v>4040 10080 124 1-1</v>
      </c>
      <c r="D21" s="9" t="str">
        <f>"1192 Z"</f>
        <v>1192 Z</v>
      </c>
      <c r="E21" s="10">
        <f t="shared" si="15"/>
        <v>703.19712029936989</v>
      </c>
      <c r="F21" s="11">
        <f t="shared" si="16"/>
        <v>67.252361111111114</v>
      </c>
      <c r="G21" s="11">
        <v>484.21699999999998</v>
      </c>
      <c r="H21" s="11">
        <v>235.78299999999999</v>
      </c>
      <c r="I21" s="11">
        <v>340.5</v>
      </c>
      <c r="J21" s="11">
        <v>109.1</v>
      </c>
      <c r="K21" s="11">
        <v>3138305.06</v>
      </c>
      <c r="L21" s="11">
        <v>29053</v>
      </c>
      <c r="M21" s="11">
        <f t="shared" si="17"/>
        <v>108.02</v>
      </c>
      <c r="N21" s="13">
        <v>2</v>
      </c>
      <c r="O21" s="14">
        <v>3.4329999999999998</v>
      </c>
      <c r="P21" s="13">
        <v>26</v>
      </c>
      <c r="Q21" s="14">
        <v>82.966999999999999</v>
      </c>
      <c r="R21" s="12">
        <f t="shared" si="18"/>
        <v>3.2216960577592277</v>
      </c>
      <c r="S21" s="12">
        <f t="shared" si="19"/>
        <v>77.320705386221476</v>
      </c>
      <c r="T21" s="12">
        <f t="shared" si="20"/>
        <v>7.6358296622613802</v>
      </c>
      <c r="U21" s="13">
        <v>34</v>
      </c>
      <c r="V21" s="14">
        <v>38.9</v>
      </c>
      <c r="W21" s="12">
        <f t="shared" si="0"/>
        <v>4.2129871524543745</v>
      </c>
      <c r="X21" s="12">
        <f t="shared" si="1"/>
        <v>101.111691658905</v>
      </c>
      <c r="Y21" s="12">
        <f t="shared" si="2"/>
        <v>9.9853157121879583</v>
      </c>
      <c r="Z21" s="13">
        <v>3</v>
      </c>
      <c r="AA21" s="14">
        <v>110.483</v>
      </c>
      <c r="AB21" s="10">
        <v>0</v>
      </c>
      <c r="AC21" s="12">
        <f t="shared" si="3"/>
        <v>0</v>
      </c>
      <c r="AD21" s="12">
        <f t="shared" si="4"/>
        <v>0</v>
      </c>
      <c r="AE21" s="12">
        <f t="shared" si="5"/>
        <v>0</v>
      </c>
      <c r="AF21" s="13">
        <v>65</v>
      </c>
      <c r="AG21" s="52">
        <v>235.78299999999999</v>
      </c>
      <c r="AH21" s="61">
        <v>60</v>
      </c>
      <c r="AI21" s="16">
        <f t="shared" si="21"/>
        <v>7.4346832102136027</v>
      </c>
      <c r="AJ21" s="48">
        <f t="shared" si="22"/>
        <v>178.43239704512646</v>
      </c>
      <c r="AK21" s="48">
        <f t="shared" si="23"/>
        <v>17.621145374449338</v>
      </c>
      <c r="AL21" s="57">
        <v>6</v>
      </c>
      <c r="AM21" s="14">
        <v>7.05</v>
      </c>
      <c r="AN21" s="12">
        <f t="shared" si="24"/>
        <v>0.74346832102136029</v>
      </c>
      <c r="AO21" s="12">
        <f t="shared" si="25"/>
        <v>17.843239704512648</v>
      </c>
      <c r="AP21" s="12">
        <f t="shared" si="26"/>
        <v>1.7621145374449338</v>
      </c>
      <c r="AQ21" s="13">
        <v>14</v>
      </c>
      <c r="AR21" s="14">
        <v>13.217000000000001</v>
      </c>
      <c r="AS21" s="12">
        <f t="shared" si="6"/>
        <v>1.7347594157165074</v>
      </c>
      <c r="AT21" s="12">
        <f t="shared" si="7"/>
        <v>41.634225977196174</v>
      </c>
      <c r="AU21" s="12">
        <f t="shared" si="8"/>
        <v>4.1116005873715125</v>
      </c>
      <c r="AV21" s="13">
        <v>12</v>
      </c>
      <c r="AW21" s="14">
        <v>15.7</v>
      </c>
      <c r="AX21" s="12">
        <f t="shared" si="9"/>
        <v>1.4869366420427206</v>
      </c>
      <c r="AY21" s="12">
        <f t="shared" si="10"/>
        <v>35.686479409025296</v>
      </c>
      <c r="AZ21" s="12">
        <f t="shared" si="11"/>
        <v>3.5242290748898677</v>
      </c>
      <c r="BA21" s="13">
        <v>2</v>
      </c>
      <c r="BB21" s="52">
        <v>2.9329999999999998</v>
      </c>
      <c r="BC21" s="48">
        <f t="shared" si="12"/>
        <v>0.24782277367378677</v>
      </c>
      <c r="BD21" s="48">
        <f t="shared" si="13"/>
        <v>5.9477465681708823</v>
      </c>
      <c r="BE21" s="48">
        <f t="shared" si="14"/>
        <v>0.58737151248164465</v>
      </c>
    </row>
    <row r="22" spans="1:57">
      <c r="A22" s="15" t="s">
        <v>217</v>
      </c>
      <c r="B22" s="9" t="str">
        <f>"018"</f>
        <v>018</v>
      </c>
      <c r="C22" s="9" t="str">
        <f>"4040 13079 67x59 4-1"</f>
        <v>4040 13079 67x59 4-1</v>
      </c>
      <c r="D22" s="9" t="str">
        <f>"1019 Z"</f>
        <v>1019 Z</v>
      </c>
      <c r="E22" s="10">
        <f t="shared" si="15"/>
        <v>651.0432886951105</v>
      </c>
      <c r="F22" s="11">
        <f t="shared" si="16"/>
        <v>90.565505570441417</v>
      </c>
      <c r="G22" s="11">
        <v>642.20000000000005</v>
      </c>
      <c r="H22" s="11">
        <v>66.900000000000006</v>
      </c>
      <c r="I22" s="11">
        <v>418.1</v>
      </c>
      <c r="J22" s="11">
        <v>123.9</v>
      </c>
      <c r="K22" s="11">
        <v>3500246.88</v>
      </c>
      <c r="L22" s="11">
        <v>38532</v>
      </c>
      <c r="M22" s="11">
        <f t="shared" si="17"/>
        <v>90.84</v>
      </c>
      <c r="N22" s="13">
        <v>5</v>
      </c>
      <c r="O22" s="14">
        <v>2.383</v>
      </c>
      <c r="P22" s="13">
        <v>13</v>
      </c>
      <c r="Q22" s="14">
        <v>26.733000000000001</v>
      </c>
      <c r="R22" s="12">
        <f t="shared" si="18"/>
        <v>1.214574898785425</v>
      </c>
      <c r="S22" s="12">
        <f t="shared" si="19"/>
        <v>29.1497975708502</v>
      </c>
      <c r="T22" s="12">
        <f t="shared" si="20"/>
        <v>3.1093039942597462</v>
      </c>
      <c r="U22" s="13">
        <v>35</v>
      </c>
      <c r="V22" s="14">
        <v>32.082999999999998</v>
      </c>
      <c r="W22" s="12">
        <f t="shared" si="0"/>
        <v>3.2700093428838364</v>
      </c>
      <c r="X22" s="12">
        <f t="shared" si="1"/>
        <v>78.480224229212084</v>
      </c>
      <c r="Y22" s="12">
        <f t="shared" si="2"/>
        <v>8.3712030614685471</v>
      </c>
      <c r="Z22" s="13">
        <v>6</v>
      </c>
      <c r="AA22" s="14">
        <v>5.7</v>
      </c>
      <c r="AB22" s="10">
        <v>0</v>
      </c>
      <c r="AC22" s="12">
        <f t="shared" si="3"/>
        <v>0</v>
      </c>
      <c r="AD22" s="12">
        <f t="shared" si="4"/>
        <v>0</v>
      </c>
      <c r="AE22" s="12">
        <f t="shared" si="5"/>
        <v>0</v>
      </c>
      <c r="AF22" s="13">
        <v>59</v>
      </c>
      <c r="AG22" s="52">
        <v>66.899000000000001</v>
      </c>
      <c r="AH22" s="61">
        <v>48</v>
      </c>
      <c r="AI22" s="16">
        <f t="shared" si="21"/>
        <v>4.4845842416692614</v>
      </c>
      <c r="AJ22" s="48">
        <f t="shared" si="22"/>
        <v>107.63002180006228</v>
      </c>
      <c r="AK22" s="48">
        <f t="shared" si="23"/>
        <v>11.480507055728294</v>
      </c>
      <c r="AL22" s="57">
        <v>19</v>
      </c>
      <c r="AM22" s="14">
        <v>16.233000000000001</v>
      </c>
      <c r="AN22" s="12">
        <f t="shared" si="24"/>
        <v>1.7751479289940828</v>
      </c>
      <c r="AO22" s="12">
        <f t="shared" si="25"/>
        <v>42.603550295857985</v>
      </c>
      <c r="AP22" s="12">
        <f t="shared" si="26"/>
        <v>4.5443673762257832</v>
      </c>
      <c r="AQ22" s="13">
        <v>16</v>
      </c>
      <c r="AR22" s="14">
        <v>15.5</v>
      </c>
      <c r="AS22" s="12">
        <f t="shared" si="6"/>
        <v>1.4948614138897538</v>
      </c>
      <c r="AT22" s="12">
        <f t="shared" si="7"/>
        <v>35.876673933354091</v>
      </c>
      <c r="AU22" s="12">
        <f t="shared" si="8"/>
        <v>3.8268356852427647</v>
      </c>
      <c r="AV22" s="13">
        <v>0</v>
      </c>
      <c r="AW22" s="14">
        <v>0</v>
      </c>
      <c r="AX22" s="12">
        <f t="shared" si="9"/>
        <v>0</v>
      </c>
      <c r="AY22" s="12">
        <f t="shared" si="10"/>
        <v>0</v>
      </c>
      <c r="AZ22" s="12">
        <f t="shared" si="11"/>
        <v>0</v>
      </c>
      <c r="BA22" s="13">
        <v>0</v>
      </c>
      <c r="BB22" s="52">
        <v>0.35</v>
      </c>
      <c r="BC22" s="48">
        <f t="shared" si="12"/>
        <v>0</v>
      </c>
      <c r="BD22" s="48">
        <f t="shared" si="13"/>
        <v>0</v>
      </c>
      <c r="BE22" s="48">
        <f t="shared" si="14"/>
        <v>0</v>
      </c>
    </row>
    <row r="23" spans="1:57">
      <c r="A23" s="15" t="s">
        <v>217</v>
      </c>
      <c r="B23" s="9" t="str">
        <f>"019"</f>
        <v>019</v>
      </c>
      <c r="C23" s="9" t="str">
        <f>"4040 13079 67x59 4-1"</f>
        <v>4040 13079 67x59 4-1</v>
      </c>
      <c r="D23" s="9" t="str">
        <f>"1157 Z"</f>
        <v>1157 Z</v>
      </c>
      <c r="E23" s="10">
        <f t="shared" si="15"/>
        <v>678.00963290598088</v>
      </c>
      <c r="F23" s="11">
        <f t="shared" si="16"/>
        <v>85.442083333333343</v>
      </c>
      <c r="G23" s="11">
        <v>615.18299999999999</v>
      </c>
      <c r="H23" s="11">
        <v>104.81699999999999</v>
      </c>
      <c r="I23" s="11">
        <v>417.1</v>
      </c>
      <c r="J23" s="11">
        <v>134.1</v>
      </c>
      <c r="K23" s="11">
        <v>3756801.58</v>
      </c>
      <c r="L23" s="11">
        <v>36911</v>
      </c>
      <c r="M23" s="11">
        <f t="shared" si="17"/>
        <v>101.78</v>
      </c>
      <c r="N23" s="13">
        <v>6</v>
      </c>
      <c r="O23" s="14">
        <v>6.5</v>
      </c>
      <c r="P23" s="13">
        <v>15</v>
      </c>
      <c r="Q23" s="14">
        <v>50.517000000000003</v>
      </c>
      <c r="R23" s="12">
        <f t="shared" si="18"/>
        <v>1.4629793085959788</v>
      </c>
      <c r="S23" s="12">
        <f t="shared" si="19"/>
        <v>35.111503406303491</v>
      </c>
      <c r="T23" s="12">
        <f t="shared" si="20"/>
        <v>3.5962598897146965</v>
      </c>
      <c r="U23" s="13">
        <v>39</v>
      </c>
      <c r="V23" s="14">
        <v>33.6</v>
      </c>
      <c r="W23" s="12">
        <f t="shared" si="0"/>
        <v>3.803746202349545</v>
      </c>
      <c r="X23" s="12">
        <f t="shared" si="1"/>
        <v>91.289908856389076</v>
      </c>
      <c r="Y23" s="12">
        <f t="shared" si="2"/>
        <v>9.3502757132582115</v>
      </c>
      <c r="Z23" s="13">
        <v>8</v>
      </c>
      <c r="AA23" s="14">
        <v>14.2</v>
      </c>
      <c r="AB23" s="10">
        <v>0</v>
      </c>
      <c r="AC23" s="12">
        <f t="shared" si="3"/>
        <v>0</v>
      </c>
      <c r="AD23" s="12">
        <f t="shared" si="4"/>
        <v>0</v>
      </c>
      <c r="AE23" s="12">
        <f t="shared" si="5"/>
        <v>0</v>
      </c>
      <c r="AF23" s="13">
        <v>68</v>
      </c>
      <c r="AG23" s="52">
        <v>104.81699999999999</v>
      </c>
      <c r="AH23" s="61">
        <v>54</v>
      </c>
      <c r="AI23" s="16">
        <f t="shared" si="21"/>
        <v>5.2667255109455233</v>
      </c>
      <c r="AJ23" s="48">
        <f t="shared" si="22"/>
        <v>126.40141226269256</v>
      </c>
      <c r="AK23" s="48">
        <f t="shared" si="23"/>
        <v>12.946535602972908</v>
      </c>
      <c r="AL23" s="57">
        <v>20</v>
      </c>
      <c r="AM23" s="14">
        <v>17.617000000000001</v>
      </c>
      <c r="AN23" s="12">
        <f t="shared" si="24"/>
        <v>1.9506390781279717</v>
      </c>
      <c r="AO23" s="12">
        <f t="shared" si="25"/>
        <v>46.815337875071322</v>
      </c>
      <c r="AP23" s="12">
        <f t="shared" si="26"/>
        <v>4.7950131862862619</v>
      </c>
      <c r="AQ23" s="13">
        <v>16</v>
      </c>
      <c r="AR23" s="14">
        <v>13.05</v>
      </c>
      <c r="AS23" s="12">
        <f t="shared" si="6"/>
        <v>1.5605112625023774</v>
      </c>
      <c r="AT23" s="12">
        <f t="shared" si="7"/>
        <v>37.452270300057059</v>
      </c>
      <c r="AU23" s="12">
        <f t="shared" si="8"/>
        <v>3.8360105490290097</v>
      </c>
      <c r="AV23" s="13">
        <v>1</v>
      </c>
      <c r="AW23" s="14">
        <v>0.53300000000000003</v>
      </c>
      <c r="AX23" s="12">
        <f t="shared" si="9"/>
        <v>9.7531953906398586E-2</v>
      </c>
      <c r="AY23" s="12">
        <f t="shared" si="10"/>
        <v>2.3407668937535662</v>
      </c>
      <c r="AZ23" s="12">
        <f t="shared" si="11"/>
        <v>0.23975065931431311</v>
      </c>
      <c r="BA23" s="13">
        <v>2</v>
      </c>
      <c r="BB23" s="52">
        <v>2.4</v>
      </c>
      <c r="BC23" s="48">
        <f t="shared" si="12"/>
        <v>0.19506390781279717</v>
      </c>
      <c r="BD23" s="48">
        <f t="shared" si="13"/>
        <v>4.6815337875071323</v>
      </c>
      <c r="BE23" s="48">
        <f t="shared" si="14"/>
        <v>0.47950131862862622</v>
      </c>
    </row>
    <row r="24" spans="1:57">
      <c r="A24" s="15" t="s">
        <v>217</v>
      </c>
      <c r="B24" s="9" t="str">
        <f>"020"</f>
        <v>020</v>
      </c>
      <c r="C24" s="9" t="str">
        <f>"6060 18587 126 4-1"</f>
        <v>6060 18587 126 4-1</v>
      </c>
      <c r="D24" s="9" t="str">
        <f>"1002 Z"</f>
        <v>1002 Z</v>
      </c>
      <c r="E24" s="10">
        <f t="shared" si="15"/>
        <v>596.89690136533795</v>
      </c>
      <c r="F24" s="11">
        <f t="shared" si="16"/>
        <v>65.337916666666672</v>
      </c>
      <c r="G24" s="11">
        <v>470.43299999999999</v>
      </c>
      <c r="H24" s="11">
        <v>249.56700000000001</v>
      </c>
      <c r="I24" s="11">
        <v>280.8</v>
      </c>
      <c r="J24" s="11">
        <v>82</v>
      </c>
      <c r="K24" s="11">
        <v>2427153.7400000002</v>
      </c>
      <c r="L24" s="11">
        <v>28226</v>
      </c>
      <c r="M24" s="11">
        <f t="shared" si="17"/>
        <v>85.990000000000009</v>
      </c>
      <c r="N24" s="13">
        <v>4</v>
      </c>
      <c r="O24" s="14">
        <v>10.782999999999999</v>
      </c>
      <c r="P24" s="13">
        <v>59</v>
      </c>
      <c r="Q24" s="14">
        <v>167.03299999999999</v>
      </c>
      <c r="R24" s="12">
        <f t="shared" si="18"/>
        <v>7.5249823035373797</v>
      </c>
      <c r="S24" s="12">
        <f t="shared" si="19"/>
        <v>180.5995752848971</v>
      </c>
      <c r="T24" s="12">
        <f t="shared" si="20"/>
        <v>21.011396011396009</v>
      </c>
      <c r="U24" s="13">
        <v>72</v>
      </c>
      <c r="V24" s="14">
        <v>65.683000000000007</v>
      </c>
      <c r="W24" s="12">
        <f t="shared" si="0"/>
        <v>9.1830292517744301</v>
      </c>
      <c r="X24" s="12">
        <f t="shared" si="1"/>
        <v>220.39270204258631</v>
      </c>
      <c r="Y24" s="12">
        <f t="shared" si="2"/>
        <v>25.641025641025639</v>
      </c>
      <c r="Z24" s="13">
        <v>8</v>
      </c>
      <c r="AA24" s="14">
        <v>6.0670000000000002</v>
      </c>
      <c r="AB24" s="10">
        <v>0</v>
      </c>
      <c r="AC24" s="12">
        <f t="shared" si="3"/>
        <v>0</v>
      </c>
      <c r="AD24" s="12">
        <f t="shared" si="4"/>
        <v>0</v>
      </c>
      <c r="AE24" s="12">
        <f t="shared" si="5"/>
        <v>0</v>
      </c>
      <c r="AF24" s="13">
        <v>143</v>
      </c>
      <c r="AG24" s="52">
        <v>249.566</v>
      </c>
      <c r="AH24" s="61">
        <v>131</v>
      </c>
      <c r="AI24" s="16">
        <f t="shared" si="21"/>
        <v>16.70801155531181</v>
      </c>
      <c r="AJ24" s="48">
        <f t="shared" si="22"/>
        <v>400.99227732748341</v>
      </c>
      <c r="AK24" s="48">
        <f t="shared" si="23"/>
        <v>46.652421652421651</v>
      </c>
      <c r="AL24" s="57">
        <v>29</v>
      </c>
      <c r="AM24" s="14">
        <v>23.05</v>
      </c>
      <c r="AN24" s="12">
        <f t="shared" si="24"/>
        <v>3.698720115298034</v>
      </c>
      <c r="AO24" s="12">
        <f t="shared" si="25"/>
        <v>88.769282767152816</v>
      </c>
      <c r="AP24" s="12">
        <f t="shared" si="26"/>
        <v>10.327635327635328</v>
      </c>
      <c r="AQ24" s="13">
        <v>31</v>
      </c>
      <c r="AR24" s="14">
        <v>30.15</v>
      </c>
      <c r="AS24" s="12">
        <f t="shared" si="6"/>
        <v>3.953804261180657</v>
      </c>
      <c r="AT24" s="12">
        <f t="shared" si="7"/>
        <v>94.891302268335764</v>
      </c>
      <c r="AU24" s="12">
        <f t="shared" si="8"/>
        <v>11.039886039886039</v>
      </c>
      <c r="AV24" s="13">
        <v>10</v>
      </c>
      <c r="AW24" s="14">
        <v>9.4329999999999998</v>
      </c>
      <c r="AX24" s="12">
        <f t="shared" si="9"/>
        <v>1.2754207294131152</v>
      </c>
      <c r="AY24" s="12">
        <f t="shared" si="10"/>
        <v>30.610097505914766</v>
      </c>
      <c r="AZ24" s="12">
        <f t="shared" si="11"/>
        <v>3.5612535612535612</v>
      </c>
      <c r="BA24" s="13">
        <v>2</v>
      </c>
      <c r="BB24" s="52">
        <v>3.05</v>
      </c>
      <c r="BC24" s="48">
        <f t="shared" si="12"/>
        <v>0.25508414588262301</v>
      </c>
      <c r="BD24" s="48">
        <f t="shared" si="13"/>
        <v>6.1220195011829528</v>
      </c>
      <c r="BE24" s="48">
        <f t="shared" si="14"/>
        <v>0.71225071225071224</v>
      </c>
    </row>
    <row r="25" spans="1:57">
      <c r="A25" s="15" t="s">
        <v>217</v>
      </c>
      <c r="B25" s="9" t="str">
        <f>"021"</f>
        <v>021</v>
      </c>
      <c r="C25" s="9" t="str">
        <f>"6060 18587 123 4-1"</f>
        <v>6060 18587 123 4-1</v>
      </c>
      <c r="D25" s="9" t="str">
        <f>"1161 R"</f>
        <v>1161 R</v>
      </c>
      <c r="E25" s="10">
        <f t="shared" si="15"/>
        <v>645.44766441358991</v>
      </c>
      <c r="F25" s="11">
        <f t="shared" si="16"/>
        <v>83.856527777777785</v>
      </c>
      <c r="G25" s="11">
        <v>603.76700000000005</v>
      </c>
      <c r="H25" s="11">
        <v>116.233</v>
      </c>
      <c r="I25" s="11">
        <v>389.7</v>
      </c>
      <c r="J25" s="11">
        <v>113.8</v>
      </c>
      <c r="K25" s="11">
        <v>3358874.72</v>
      </c>
      <c r="L25" s="11">
        <v>36226</v>
      </c>
      <c r="M25" s="11">
        <f t="shared" si="17"/>
        <v>92.72</v>
      </c>
      <c r="N25" s="13">
        <v>6</v>
      </c>
      <c r="O25" s="14">
        <v>6.4829999999999997</v>
      </c>
      <c r="P25" s="13">
        <v>29</v>
      </c>
      <c r="Q25" s="14">
        <v>62.9</v>
      </c>
      <c r="R25" s="12">
        <f t="shared" si="18"/>
        <v>2.8819064307920104</v>
      </c>
      <c r="S25" s="12">
        <f t="shared" si="19"/>
        <v>69.165754339008259</v>
      </c>
      <c r="T25" s="12">
        <f t="shared" si="20"/>
        <v>7.4416217603284576</v>
      </c>
      <c r="U25" s="13">
        <v>68</v>
      </c>
      <c r="V25" s="14">
        <v>39</v>
      </c>
      <c r="W25" s="12">
        <f t="shared" si="0"/>
        <v>6.7575736997881624</v>
      </c>
      <c r="X25" s="12">
        <f t="shared" si="1"/>
        <v>162.18176879491591</v>
      </c>
      <c r="Y25" s="12">
        <f t="shared" si="2"/>
        <v>17.449319989735695</v>
      </c>
      <c r="Z25" s="13">
        <v>10</v>
      </c>
      <c r="AA25" s="14">
        <v>7.85</v>
      </c>
      <c r="AB25" s="10">
        <v>0</v>
      </c>
      <c r="AC25" s="12">
        <f t="shared" si="3"/>
        <v>0</v>
      </c>
      <c r="AD25" s="12">
        <f t="shared" si="4"/>
        <v>0</v>
      </c>
      <c r="AE25" s="12">
        <f t="shared" si="5"/>
        <v>0</v>
      </c>
      <c r="AF25" s="13">
        <v>113</v>
      </c>
      <c r="AG25" s="52">
        <v>116.233</v>
      </c>
      <c r="AH25" s="61">
        <v>97</v>
      </c>
      <c r="AI25" s="16">
        <f t="shared" si="21"/>
        <v>9.6394801305801732</v>
      </c>
      <c r="AJ25" s="48">
        <f t="shared" si="22"/>
        <v>231.34752313392417</v>
      </c>
      <c r="AK25" s="48">
        <f t="shared" si="23"/>
        <v>24.890941750064151</v>
      </c>
      <c r="AL25" s="57">
        <v>22</v>
      </c>
      <c r="AM25" s="14">
        <v>10.85</v>
      </c>
      <c r="AN25" s="12">
        <f t="shared" si="24"/>
        <v>2.1862738440491114</v>
      </c>
      <c r="AO25" s="12">
        <f t="shared" si="25"/>
        <v>52.470572257178674</v>
      </c>
      <c r="AP25" s="12">
        <f t="shared" si="26"/>
        <v>5.6453682319733129</v>
      </c>
      <c r="AQ25" s="13">
        <v>44</v>
      </c>
      <c r="AR25" s="14">
        <v>27.183</v>
      </c>
      <c r="AS25" s="12">
        <f t="shared" si="6"/>
        <v>4.3725476880982228</v>
      </c>
      <c r="AT25" s="12">
        <f t="shared" si="7"/>
        <v>104.94114451435735</v>
      </c>
      <c r="AU25" s="12">
        <f t="shared" si="8"/>
        <v>11.290736463946626</v>
      </c>
      <c r="AV25" s="13">
        <v>1</v>
      </c>
      <c r="AW25" s="14">
        <v>0.76700000000000002</v>
      </c>
      <c r="AX25" s="12">
        <f t="shared" si="9"/>
        <v>9.9376083820414157E-2</v>
      </c>
      <c r="AY25" s="12">
        <f t="shared" si="10"/>
        <v>2.38502601168994</v>
      </c>
      <c r="AZ25" s="12">
        <f t="shared" si="11"/>
        <v>0.25660764690787785</v>
      </c>
      <c r="BA25" s="13">
        <v>1</v>
      </c>
      <c r="BB25" s="52">
        <v>0.2</v>
      </c>
      <c r="BC25" s="48">
        <f t="shared" si="12"/>
        <v>9.9376083820414157E-2</v>
      </c>
      <c r="BD25" s="48">
        <f t="shared" si="13"/>
        <v>2.38502601168994</v>
      </c>
      <c r="BE25" s="48">
        <f t="shared" si="14"/>
        <v>0.25660764690787785</v>
      </c>
    </row>
    <row r="26" spans="1:57">
      <c r="A26" s="15" t="s">
        <v>217</v>
      </c>
      <c r="B26" s="9" t="str">
        <f>"022"</f>
        <v>022</v>
      </c>
      <c r="C26" s="9" t="str">
        <f>"6060 18587 126 4-1"</f>
        <v>6060 18587 126 4-1</v>
      </c>
      <c r="D26" s="9" t="str">
        <f>"1154 Z"</f>
        <v>1154 Z</v>
      </c>
      <c r="E26" s="10">
        <f t="shared" si="15"/>
        <v>645.32738350639318</v>
      </c>
      <c r="F26" s="11">
        <f t="shared" si="16"/>
        <v>80.923611111111114</v>
      </c>
      <c r="G26" s="11">
        <v>582.65</v>
      </c>
      <c r="H26" s="11">
        <v>137.35</v>
      </c>
      <c r="I26" s="11">
        <v>376</v>
      </c>
      <c r="J26" s="11">
        <v>109.8</v>
      </c>
      <c r="K26" s="11">
        <v>3188959.98</v>
      </c>
      <c r="L26" s="11">
        <v>34959</v>
      </c>
      <c r="M26" s="11">
        <f t="shared" si="17"/>
        <v>91.22</v>
      </c>
      <c r="N26" s="13">
        <v>4</v>
      </c>
      <c r="O26" s="14">
        <v>12.217000000000001</v>
      </c>
      <c r="P26" s="13">
        <v>33</v>
      </c>
      <c r="Q26" s="14">
        <v>75.082999999999998</v>
      </c>
      <c r="R26" s="12">
        <f t="shared" si="18"/>
        <v>3.3982665408049431</v>
      </c>
      <c r="S26" s="12">
        <f t="shared" si="19"/>
        <v>81.55839697931863</v>
      </c>
      <c r="T26" s="12">
        <f t="shared" si="20"/>
        <v>8.7765957446808507</v>
      </c>
      <c r="U26" s="13">
        <v>65</v>
      </c>
      <c r="V26" s="14">
        <v>46.917000000000002</v>
      </c>
      <c r="W26" s="12">
        <f t="shared" si="0"/>
        <v>6.6935553076460996</v>
      </c>
      <c r="X26" s="12">
        <f t="shared" si="1"/>
        <v>160.64532738350641</v>
      </c>
      <c r="Y26" s="12">
        <f t="shared" si="2"/>
        <v>17.287234042553191</v>
      </c>
      <c r="Z26" s="13">
        <v>1</v>
      </c>
      <c r="AA26" s="14">
        <v>3.133</v>
      </c>
      <c r="AB26" s="10">
        <v>0</v>
      </c>
      <c r="AC26" s="12">
        <f t="shared" si="3"/>
        <v>0</v>
      </c>
      <c r="AD26" s="12">
        <f t="shared" si="4"/>
        <v>0</v>
      </c>
      <c r="AE26" s="12">
        <f t="shared" si="5"/>
        <v>0</v>
      </c>
      <c r="AF26" s="13">
        <v>103</v>
      </c>
      <c r="AG26" s="52">
        <v>137.35</v>
      </c>
      <c r="AH26" s="61">
        <v>98</v>
      </c>
      <c r="AI26" s="16">
        <f t="shared" si="21"/>
        <v>10.091821848451042</v>
      </c>
      <c r="AJ26" s="48">
        <f t="shared" si="22"/>
        <v>242.20372436282503</v>
      </c>
      <c r="AK26" s="48">
        <f t="shared" si="23"/>
        <v>26.063829787234042</v>
      </c>
      <c r="AL26" s="57">
        <v>24</v>
      </c>
      <c r="AM26" s="14">
        <v>15.25</v>
      </c>
      <c r="AN26" s="12">
        <f t="shared" si="24"/>
        <v>2.4714665751308678</v>
      </c>
      <c r="AO26" s="12">
        <f t="shared" si="25"/>
        <v>59.315197803140826</v>
      </c>
      <c r="AP26" s="12">
        <f t="shared" si="26"/>
        <v>6.3829787234042552</v>
      </c>
      <c r="AQ26" s="13">
        <v>26</v>
      </c>
      <c r="AR26" s="14">
        <v>18.850000000000001</v>
      </c>
      <c r="AS26" s="12">
        <f t="shared" si="6"/>
        <v>2.6774221230584399</v>
      </c>
      <c r="AT26" s="12">
        <f t="shared" si="7"/>
        <v>64.258130953402556</v>
      </c>
      <c r="AU26" s="12">
        <f t="shared" si="8"/>
        <v>6.9148936170212769</v>
      </c>
      <c r="AV26" s="13">
        <v>3</v>
      </c>
      <c r="AW26" s="14">
        <v>2.133</v>
      </c>
      <c r="AX26" s="12">
        <f t="shared" si="9"/>
        <v>0.30893332189135847</v>
      </c>
      <c r="AY26" s="12">
        <f t="shared" si="10"/>
        <v>7.4143997253926033</v>
      </c>
      <c r="AZ26" s="12">
        <f t="shared" si="11"/>
        <v>0.7978723404255319</v>
      </c>
      <c r="BA26" s="13">
        <v>12</v>
      </c>
      <c r="BB26" s="52">
        <v>10.683</v>
      </c>
      <c r="BC26" s="48">
        <f t="shared" si="12"/>
        <v>1.2357332875654339</v>
      </c>
      <c r="BD26" s="48">
        <f t="shared" si="13"/>
        <v>29.657598901570413</v>
      </c>
      <c r="BE26" s="48">
        <f t="shared" si="14"/>
        <v>3.1914893617021276</v>
      </c>
    </row>
    <row r="27" spans="1:57">
      <c r="A27" s="15" t="s">
        <v>217</v>
      </c>
      <c r="B27" s="9" t="str">
        <f>"023"</f>
        <v>023</v>
      </c>
      <c r="C27" s="9" t="str">
        <f>"6060 18587 126 4-1"</f>
        <v>6060 18587 126 4-1</v>
      </c>
      <c r="D27" s="9" t="str">
        <f>"1028 Z"</f>
        <v>1028 Z</v>
      </c>
      <c r="E27" s="10">
        <f t="shared" si="15"/>
        <v>598.91693878621993</v>
      </c>
      <c r="F27" s="11">
        <f t="shared" si="16"/>
        <v>82.046250000000001</v>
      </c>
      <c r="G27" s="11">
        <v>590.73299999999995</v>
      </c>
      <c r="H27" s="11">
        <v>129.267</v>
      </c>
      <c r="I27" s="11">
        <v>353.8</v>
      </c>
      <c r="J27" s="11">
        <v>103.3</v>
      </c>
      <c r="K27" s="11">
        <v>3352647.96</v>
      </c>
      <c r="L27" s="11">
        <v>35444</v>
      </c>
      <c r="M27" s="11">
        <f t="shared" si="17"/>
        <v>94.59</v>
      </c>
      <c r="N27" s="13">
        <v>3</v>
      </c>
      <c r="O27" s="14">
        <v>1.2</v>
      </c>
      <c r="P27" s="13">
        <v>48</v>
      </c>
      <c r="Q27" s="14">
        <v>94.016999999999996</v>
      </c>
      <c r="R27" s="12">
        <f t="shared" si="18"/>
        <v>4.8752989929460524</v>
      </c>
      <c r="S27" s="12">
        <f t="shared" si="19"/>
        <v>117.00717583070525</v>
      </c>
      <c r="T27" s="12">
        <f t="shared" si="20"/>
        <v>13.566986998304126</v>
      </c>
      <c r="U27" s="13">
        <v>53</v>
      </c>
      <c r="V27" s="14">
        <v>34.049999999999997</v>
      </c>
      <c r="W27" s="12">
        <f t="shared" si="0"/>
        <v>5.3831426380445997</v>
      </c>
      <c r="X27" s="12">
        <f t="shared" si="1"/>
        <v>129.19542331307039</v>
      </c>
      <c r="Y27" s="12">
        <f t="shared" si="2"/>
        <v>14.980214810627473</v>
      </c>
      <c r="Z27" s="13">
        <v>0</v>
      </c>
      <c r="AA27" s="14">
        <v>0</v>
      </c>
      <c r="AB27" s="10">
        <v>0</v>
      </c>
      <c r="AC27" s="12">
        <f t="shared" si="3"/>
        <v>0</v>
      </c>
      <c r="AD27" s="12">
        <f t="shared" si="4"/>
        <v>0</v>
      </c>
      <c r="AE27" s="12">
        <f t="shared" si="5"/>
        <v>0</v>
      </c>
      <c r="AF27" s="13">
        <v>104</v>
      </c>
      <c r="AG27" s="52">
        <v>129.267</v>
      </c>
      <c r="AH27" s="61">
        <v>101</v>
      </c>
      <c r="AI27" s="16">
        <f t="shared" si="21"/>
        <v>10.258441630990651</v>
      </c>
      <c r="AJ27" s="48">
        <f t="shared" si="22"/>
        <v>246.20259914377564</v>
      </c>
      <c r="AK27" s="48">
        <f t="shared" si="23"/>
        <v>28.5472018089316</v>
      </c>
      <c r="AL27" s="57">
        <v>20</v>
      </c>
      <c r="AM27" s="14">
        <v>16.399999999999999</v>
      </c>
      <c r="AN27" s="12">
        <f t="shared" si="24"/>
        <v>2.0313745803941883</v>
      </c>
      <c r="AO27" s="12">
        <f t="shared" si="25"/>
        <v>48.752989929460519</v>
      </c>
      <c r="AP27" s="12">
        <f t="shared" si="26"/>
        <v>5.6529112492933855</v>
      </c>
      <c r="AQ27" s="13">
        <v>33</v>
      </c>
      <c r="AR27" s="14">
        <v>17.567</v>
      </c>
      <c r="AS27" s="12">
        <f t="shared" si="6"/>
        <v>3.351768057650411</v>
      </c>
      <c r="AT27" s="12">
        <f t="shared" si="7"/>
        <v>80.442433383609867</v>
      </c>
      <c r="AU27" s="12">
        <f t="shared" si="8"/>
        <v>9.3273035613340873</v>
      </c>
      <c r="AV27" s="13">
        <v>0</v>
      </c>
      <c r="AW27" s="14">
        <v>0</v>
      </c>
      <c r="AX27" s="12">
        <f t="shared" si="9"/>
        <v>0</v>
      </c>
      <c r="AY27" s="12">
        <f t="shared" si="10"/>
        <v>0</v>
      </c>
      <c r="AZ27" s="12">
        <f t="shared" si="11"/>
        <v>0</v>
      </c>
      <c r="BA27" s="13">
        <v>0</v>
      </c>
      <c r="BB27" s="52">
        <v>8.3000000000000004E-2</v>
      </c>
      <c r="BC27" s="48">
        <f t="shared" si="12"/>
        <v>0</v>
      </c>
      <c r="BD27" s="48">
        <f t="shared" si="13"/>
        <v>0</v>
      </c>
      <c r="BE27" s="48">
        <f t="shared" si="14"/>
        <v>0</v>
      </c>
    </row>
    <row r="28" spans="1:57">
      <c r="A28" s="15" t="s">
        <v>217</v>
      </c>
      <c r="B28" s="9" t="str">
        <f>"024"</f>
        <v>024</v>
      </c>
      <c r="C28" s="9" t="str">
        <f>"6060 18587 123 4-1"</f>
        <v>6060 18587 123 4-1</v>
      </c>
      <c r="D28" s="9" t="str">
        <f>"1044 R"</f>
        <v>1044 R</v>
      </c>
      <c r="E28" s="10">
        <f t="shared" si="15"/>
        <v>640.6467481457471</v>
      </c>
      <c r="F28" s="11">
        <f t="shared" si="16"/>
        <v>80.127361111111114</v>
      </c>
      <c r="G28" s="11">
        <v>576.91700000000003</v>
      </c>
      <c r="H28" s="11">
        <v>143.083</v>
      </c>
      <c r="I28" s="11">
        <v>369.6</v>
      </c>
      <c r="J28" s="11">
        <v>107.9</v>
      </c>
      <c r="K28" s="11">
        <v>3165887.9</v>
      </c>
      <c r="L28" s="11">
        <v>34615</v>
      </c>
      <c r="M28" s="11">
        <f t="shared" si="17"/>
        <v>91.46</v>
      </c>
      <c r="N28" s="13">
        <v>3</v>
      </c>
      <c r="O28" s="14">
        <v>1.2669999999999999</v>
      </c>
      <c r="P28" s="13">
        <v>38</v>
      </c>
      <c r="Q28" s="14">
        <v>73.099999999999994</v>
      </c>
      <c r="R28" s="12">
        <f t="shared" si="18"/>
        <v>3.9520416281718167</v>
      </c>
      <c r="S28" s="12">
        <f t="shared" si="19"/>
        <v>94.84899907612359</v>
      </c>
      <c r="T28" s="12">
        <f t="shared" si="20"/>
        <v>10.281385281385282</v>
      </c>
      <c r="U28" s="13">
        <v>67</v>
      </c>
      <c r="V28" s="14">
        <v>66.617000000000004</v>
      </c>
      <c r="W28" s="12">
        <f t="shared" si="0"/>
        <v>6.9680733970397819</v>
      </c>
      <c r="X28" s="12">
        <f t="shared" si="1"/>
        <v>167.23376152895477</v>
      </c>
      <c r="Y28" s="12">
        <f t="shared" si="2"/>
        <v>18.127705627705627</v>
      </c>
      <c r="Z28" s="13">
        <v>1</v>
      </c>
      <c r="AA28" s="14">
        <v>2.1</v>
      </c>
      <c r="AB28" s="10">
        <v>0</v>
      </c>
      <c r="AC28" s="12">
        <f t="shared" si="3"/>
        <v>0</v>
      </c>
      <c r="AD28" s="12">
        <f t="shared" si="4"/>
        <v>0</v>
      </c>
      <c r="AE28" s="12">
        <f t="shared" si="5"/>
        <v>0</v>
      </c>
      <c r="AF28" s="13">
        <v>109</v>
      </c>
      <c r="AG28" s="52">
        <v>143.084</v>
      </c>
      <c r="AH28" s="61">
        <v>105</v>
      </c>
      <c r="AI28" s="16">
        <f t="shared" si="21"/>
        <v>10.920115025211599</v>
      </c>
      <c r="AJ28" s="48">
        <f t="shared" si="22"/>
        <v>262.08276060507836</v>
      </c>
      <c r="AK28" s="48">
        <f t="shared" si="23"/>
        <v>28.409090909090907</v>
      </c>
      <c r="AL28" s="57">
        <v>28</v>
      </c>
      <c r="AM28" s="14">
        <v>20</v>
      </c>
      <c r="AN28" s="12">
        <f t="shared" si="24"/>
        <v>2.9120306733897596</v>
      </c>
      <c r="AO28" s="12">
        <f t="shared" si="25"/>
        <v>69.888736161354231</v>
      </c>
      <c r="AP28" s="12">
        <f t="shared" si="26"/>
        <v>7.5757575757575752</v>
      </c>
      <c r="AQ28" s="13">
        <v>10</v>
      </c>
      <c r="AR28" s="14">
        <v>4.5330000000000004</v>
      </c>
      <c r="AS28" s="12">
        <f t="shared" si="6"/>
        <v>1.0400109547820571</v>
      </c>
      <c r="AT28" s="12">
        <f t="shared" si="7"/>
        <v>24.960262914769366</v>
      </c>
      <c r="AU28" s="12">
        <f t="shared" si="8"/>
        <v>2.7056277056277054</v>
      </c>
      <c r="AV28" s="13">
        <v>28</v>
      </c>
      <c r="AW28" s="14">
        <v>41.7</v>
      </c>
      <c r="AX28" s="12">
        <f t="shared" si="9"/>
        <v>2.9120306733897596</v>
      </c>
      <c r="AY28" s="12">
        <f t="shared" si="10"/>
        <v>69.888736161354231</v>
      </c>
      <c r="AZ28" s="12">
        <f t="shared" si="11"/>
        <v>7.5757575757575752</v>
      </c>
      <c r="BA28" s="13">
        <v>1</v>
      </c>
      <c r="BB28" s="52">
        <v>0.38300000000000001</v>
      </c>
      <c r="BC28" s="48">
        <f t="shared" si="12"/>
        <v>0.1040010954782057</v>
      </c>
      <c r="BD28" s="48">
        <f t="shared" si="13"/>
        <v>2.4960262914769369</v>
      </c>
      <c r="BE28" s="48">
        <f t="shared" si="14"/>
        <v>0.27056277056277056</v>
      </c>
    </row>
    <row r="29" spans="1:57">
      <c r="A29" s="15" t="s">
        <v>217</v>
      </c>
      <c r="B29" s="9" t="str">
        <f>"25"</f>
        <v>25</v>
      </c>
      <c r="C29" s="9" t="str">
        <f>"4040 10080 124 1-1"</f>
        <v>4040 10080 124 1-1</v>
      </c>
      <c r="D29" s="9" t="str">
        <f>"1169 Z"</f>
        <v>1169 Z</v>
      </c>
      <c r="E29" s="10">
        <f t="shared" si="15"/>
        <v>798.03137274883966</v>
      </c>
      <c r="F29" s="11">
        <f t="shared" si="16"/>
        <v>92.675972222222242</v>
      </c>
      <c r="G29" s="11">
        <v>667.26700000000005</v>
      </c>
      <c r="H29" s="11">
        <v>52.732999999999997</v>
      </c>
      <c r="I29" s="11">
        <v>532.5</v>
      </c>
      <c r="J29" s="11">
        <v>170.1</v>
      </c>
      <c r="K29" s="11">
        <v>4628561.96</v>
      </c>
      <c r="L29" s="11">
        <v>40036</v>
      </c>
      <c r="M29" s="11">
        <f t="shared" si="17"/>
        <v>115.61</v>
      </c>
      <c r="N29" s="13">
        <v>6</v>
      </c>
      <c r="O29" s="14">
        <v>3.0830000000000002</v>
      </c>
      <c r="P29" s="13">
        <v>19</v>
      </c>
      <c r="Q29" s="14">
        <v>26.817</v>
      </c>
      <c r="R29" s="12">
        <f t="shared" si="18"/>
        <v>1.708461530391882</v>
      </c>
      <c r="S29" s="12">
        <f t="shared" si="19"/>
        <v>41.003076729405166</v>
      </c>
      <c r="T29" s="12">
        <f t="shared" si="20"/>
        <v>3.568075117370892</v>
      </c>
      <c r="U29" s="13">
        <v>28</v>
      </c>
      <c r="V29" s="14">
        <v>20.582999999999998</v>
      </c>
      <c r="W29" s="12">
        <f t="shared" si="0"/>
        <v>2.517732781630142</v>
      </c>
      <c r="X29" s="12">
        <f t="shared" si="1"/>
        <v>60.425586759123405</v>
      </c>
      <c r="Y29" s="12">
        <f t="shared" si="2"/>
        <v>5.258215962441315</v>
      </c>
      <c r="Z29" s="13">
        <v>2</v>
      </c>
      <c r="AA29" s="14">
        <v>2.25</v>
      </c>
      <c r="AB29" s="10">
        <v>0</v>
      </c>
      <c r="AC29" s="12">
        <f t="shared" si="3"/>
        <v>0</v>
      </c>
      <c r="AD29" s="12">
        <f t="shared" si="4"/>
        <v>0</v>
      </c>
      <c r="AE29" s="12">
        <f t="shared" si="5"/>
        <v>0</v>
      </c>
      <c r="AF29" s="13">
        <v>55</v>
      </c>
      <c r="AG29" s="52">
        <v>52.732999999999997</v>
      </c>
      <c r="AH29" s="61">
        <v>47</v>
      </c>
      <c r="AI29" s="16">
        <f t="shared" si="21"/>
        <v>4.2261943120220238</v>
      </c>
      <c r="AJ29" s="48">
        <f t="shared" si="22"/>
        <v>101.42866348852857</v>
      </c>
      <c r="AK29" s="48">
        <f t="shared" si="23"/>
        <v>8.8262910798122061</v>
      </c>
      <c r="AL29" s="57">
        <v>20</v>
      </c>
      <c r="AM29" s="14">
        <v>15.2</v>
      </c>
      <c r="AN29" s="12">
        <f t="shared" si="24"/>
        <v>1.7983805583072441</v>
      </c>
      <c r="AO29" s="12">
        <f t="shared" si="25"/>
        <v>43.16113339937386</v>
      </c>
      <c r="AP29" s="12">
        <f t="shared" si="26"/>
        <v>3.755868544600939</v>
      </c>
      <c r="AQ29" s="13">
        <v>4</v>
      </c>
      <c r="AR29" s="14">
        <v>2.383</v>
      </c>
      <c r="AS29" s="12">
        <f t="shared" si="6"/>
        <v>0.35967611166144886</v>
      </c>
      <c r="AT29" s="12">
        <f t="shared" si="7"/>
        <v>8.6322266798747727</v>
      </c>
      <c r="AU29" s="12">
        <f t="shared" si="8"/>
        <v>0.75117370892018775</v>
      </c>
      <c r="AV29" s="13">
        <v>2</v>
      </c>
      <c r="AW29" s="14">
        <v>1.633</v>
      </c>
      <c r="AX29" s="12">
        <f t="shared" si="9"/>
        <v>0.17983805583072443</v>
      </c>
      <c r="AY29" s="12">
        <f t="shared" si="10"/>
        <v>4.3161133399373863</v>
      </c>
      <c r="AZ29" s="12">
        <f t="shared" si="11"/>
        <v>0.37558685446009388</v>
      </c>
      <c r="BA29" s="13">
        <v>2</v>
      </c>
      <c r="BB29" s="52">
        <v>1.367</v>
      </c>
      <c r="BC29" s="48">
        <f t="shared" si="12"/>
        <v>0.17983805583072443</v>
      </c>
      <c r="BD29" s="48">
        <f t="shared" si="13"/>
        <v>4.3161133399373863</v>
      </c>
      <c r="BE29" s="48">
        <f t="shared" si="14"/>
        <v>0.37558685446009388</v>
      </c>
    </row>
    <row r="30" spans="1:57">
      <c r="A30" s="15" t="s">
        <v>217</v>
      </c>
      <c r="B30" s="9" t="str">
        <f>"26"</f>
        <v>26</v>
      </c>
      <c r="C30" s="9" t="str">
        <f>"6060 173120 108"</f>
        <v>6060 173120 108</v>
      </c>
      <c r="D30" s="9" t="str">
        <f>"1170Z"</f>
        <v>1170Z</v>
      </c>
      <c r="E30" s="10">
        <f t="shared" si="15"/>
        <v>499.41780576234333</v>
      </c>
      <c r="F30" s="11">
        <f t="shared" si="16"/>
        <v>75.504583333333343</v>
      </c>
      <c r="G30" s="11">
        <v>543.63300000000004</v>
      </c>
      <c r="H30" s="11">
        <v>176.36699999999999</v>
      </c>
      <c r="I30" s="11">
        <v>271.5</v>
      </c>
      <c r="J30" s="11">
        <v>57.7</v>
      </c>
      <c r="K30" s="11">
        <v>1880427.7</v>
      </c>
      <c r="L30" s="11">
        <v>32618</v>
      </c>
      <c r="M30" s="11">
        <f t="shared" si="17"/>
        <v>57.65</v>
      </c>
      <c r="N30" s="13">
        <v>8</v>
      </c>
      <c r="O30" s="14">
        <v>3.1</v>
      </c>
      <c r="P30" s="13">
        <v>59</v>
      </c>
      <c r="Q30" s="14">
        <v>119.35</v>
      </c>
      <c r="R30" s="12">
        <f t="shared" si="18"/>
        <v>6.5117459756858027</v>
      </c>
      <c r="S30" s="12">
        <f t="shared" si="19"/>
        <v>156.28190341645924</v>
      </c>
      <c r="T30" s="12">
        <f t="shared" si="20"/>
        <v>21.731123388581953</v>
      </c>
      <c r="U30" s="13">
        <v>68</v>
      </c>
      <c r="V30" s="14">
        <v>53.917000000000002</v>
      </c>
      <c r="W30" s="12">
        <f t="shared" si="0"/>
        <v>7.5050631584175349</v>
      </c>
      <c r="X30" s="12">
        <f t="shared" si="1"/>
        <v>180.12151580202084</v>
      </c>
      <c r="Y30" s="12">
        <f t="shared" si="2"/>
        <v>25.046040515653775</v>
      </c>
      <c r="Z30" s="13">
        <v>0</v>
      </c>
      <c r="AA30" s="14">
        <v>0</v>
      </c>
      <c r="AB30" s="10">
        <v>0</v>
      </c>
      <c r="AC30" s="12">
        <f t="shared" si="3"/>
        <v>0</v>
      </c>
      <c r="AD30" s="12">
        <f t="shared" si="4"/>
        <v>0</v>
      </c>
      <c r="AE30" s="12">
        <f t="shared" si="5"/>
        <v>0</v>
      </c>
      <c r="AF30" s="13">
        <v>135</v>
      </c>
      <c r="AG30" s="52">
        <v>176.36699999999999</v>
      </c>
      <c r="AH30" s="61">
        <v>127</v>
      </c>
      <c r="AI30" s="16">
        <f t="shared" si="21"/>
        <v>14.016809134103337</v>
      </c>
      <c r="AJ30" s="48">
        <f t="shared" si="22"/>
        <v>336.40341921848011</v>
      </c>
      <c r="AK30" s="48">
        <f t="shared" si="23"/>
        <v>46.777163904235728</v>
      </c>
      <c r="AL30" s="57">
        <v>32</v>
      </c>
      <c r="AM30" s="14">
        <v>21.966999999999999</v>
      </c>
      <c r="AN30" s="12">
        <f t="shared" si="24"/>
        <v>3.5317944274906048</v>
      </c>
      <c r="AO30" s="12">
        <f t="shared" si="25"/>
        <v>84.763066259774504</v>
      </c>
      <c r="AP30" s="12">
        <f t="shared" si="26"/>
        <v>11.786372007366483</v>
      </c>
      <c r="AQ30" s="13">
        <v>32</v>
      </c>
      <c r="AR30" s="14">
        <v>26.283000000000001</v>
      </c>
      <c r="AS30" s="12">
        <f t="shared" si="6"/>
        <v>3.5317944274906048</v>
      </c>
      <c r="AT30" s="12">
        <f t="shared" si="7"/>
        <v>84.763066259774504</v>
      </c>
      <c r="AU30" s="12">
        <f t="shared" si="8"/>
        <v>11.786372007366483</v>
      </c>
      <c r="AV30" s="13">
        <v>1</v>
      </c>
      <c r="AW30" s="14">
        <v>1.6830000000000001</v>
      </c>
      <c r="AX30" s="12">
        <f t="shared" si="9"/>
        <v>0.1103685758590814</v>
      </c>
      <c r="AY30" s="12">
        <f t="shared" si="10"/>
        <v>2.6488458206179533</v>
      </c>
      <c r="AZ30" s="12">
        <f t="shared" si="11"/>
        <v>0.36832412523020258</v>
      </c>
      <c r="BA30" s="13">
        <v>3</v>
      </c>
      <c r="BB30" s="52">
        <v>3.9830000000000001</v>
      </c>
      <c r="BC30" s="48">
        <f t="shared" si="12"/>
        <v>0.33110572757724416</v>
      </c>
      <c r="BD30" s="48">
        <f t="shared" si="13"/>
        <v>7.9465374618538602</v>
      </c>
      <c r="BE30" s="48">
        <f t="shared" si="14"/>
        <v>1.1049723756906078</v>
      </c>
    </row>
    <row r="31" spans="1:57">
      <c r="A31" s="15" t="s">
        <v>217</v>
      </c>
      <c r="B31" s="9" t="str">
        <f>"27"</f>
        <v>27</v>
      </c>
      <c r="C31" s="9" t="str">
        <f>"4040 10080 124 1-1"</f>
        <v>4040 10080 124 1-1</v>
      </c>
      <c r="D31" s="9" t="str">
        <f>"1016 Z"</f>
        <v>1016 Z</v>
      </c>
      <c r="E31" s="10">
        <f t="shared" si="15"/>
        <v>768.80644865530269</v>
      </c>
      <c r="F31" s="11">
        <f t="shared" si="16"/>
        <v>92.405138888888885</v>
      </c>
      <c r="G31" s="11">
        <v>665.31700000000001</v>
      </c>
      <c r="H31" s="11">
        <v>54.683</v>
      </c>
      <c r="I31" s="11">
        <v>511.5</v>
      </c>
      <c r="J31" s="11">
        <v>163.5</v>
      </c>
      <c r="K31" s="11">
        <v>4178321.73</v>
      </c>
      <c r="L31" s="11">
        <v>39919</v>
      </c>
      <c r="M31" s="11">
        <f t="shared" si="17"/>
        <v>104.67</v>
      </c>
      <c r="N31" s="13">
        <v>5</v>
      </c>
      <c r="O31" s="14">
        <v>1.633</v>
      </c>
      <c r="P31" s="13">
        <v>23</v>
      </c>
      <c r="Q31" s="14">
        <v>31.266999999999999</v>
      </c>
      <c r="R31" s="12">
        <f t="shared" si="18"/>
        <v>2.0741992163134264</v>
      </c>
      <c r="S31" s="12">
        <f t="shared" si="19"/>
        <v>49.780781191522237</v>
      </c>
      <c r="T31" s="12">
        <f t="shared" si="20"/>
        <v>4.4965786901270768</v>
      </c>
      <c r="U31" s="13">
        <v>33</v>
      </c>
      <c r="V31" s="14">
        <v>21.783000000000001</v>
      </c>
      <c r="W31" s="12">
        <f t="shared" si="0"/>
        <v>2.9760249625366555</v>
      </c>
      <c r="X31" s="12">
        <f t="shared" si="1"/>
        <v>71.424599100879732</v>
      </c>
      <c r="Y31" s="12">
        <f t="shared" si="2"/>
        <v>6.4516129032258061</v>
      </c>
      <c r="Z31" s="13">
        <v>0</v>
      </c>
      <c r="AA31" s="14">
        <v>0</v>
      </c>
      <c r="AB31" s="10">
        <v>0</v>
      </c>
      <c r="AC31" s="12">
        <f t="shared" si="3"/>
        <v>0</v>
      </c>
      <c r="AD31" s="12">
        <f t="shared" si="4"/>
        <v>0</v>
      </c>
      <c r="AE31" s="12">
        <f t="shared" si="5"/>
        <v>0</v>
      </c>
      <c r="AF31" s="13">
        <v>61</v>
      </c>
      <c r="AG31" s="52">
        <v>54.683</v>
      </c>
      <c r="AH31" s="61">
        <v>56</v>
      </c>
      <c r="AI31" s="16">
        <f t="shared" si="21"/>
        <v>5.0502241788500823</v>
      </c>
      <c r="AJ31" s="48">
        <f t="shared" si="22"/>
        <v>121.20538029240197</v>
      </c>
      <c r="AK31" s="48">
        <f t="shared" si="23"/>
        <v>10.948191593352883</v>
      </c>
      <c r="AL31" s="57">
        <v>19</v>
      </c>
      <c r="AM31" s="14">
        <v>13.317</v>
      </c>
      <c r="AN31" s="12">
        <f t="shared" si="24"/>
        <v>1.7134689178241349</v>
      </c>
      <c r="AO31" s="12">
        <f t="shared" si="25"/>
        <v>41.12325402777924</v>
      </c>
      <c r="AP31" s="12">
        <f t="shared" si="26"/>
        <v>3.7145650048875853</v>
      </c>
      <c r="AQ31" s="13">
        <v>12</v>
      </c>
      <c r="AR31" s="14">
        <v>6.5670000000000002</v>
      </c>
      <c r="AS31" s="12">
        <f t="shared" si="6"/>
        <v>1.0821908954678747</v>
      </c>
      <c r="AT31" s="12">
        <f t="shared" si="7"/>
        <v>25.972581491228993</v>
      </c>
      <c r="AU31" s="12">
        <f t="shared" si="8"/>
        <v>2.3460410557184752</v>
      </c>
      <c r="AV31" s="13">
        <v>1</v>
      </c>
      <c r="AW31" s="14">
        <v>0.7</v>
      </c>
      <c r="AX31" s="12">
        <f t="shared" si="9"/>
        <v>9.0182574622322889E-2</v>
      </c>
      <c r="AY31" s="12">
        <f t="shared" si="10"/>
        <v>2.1643817909357495</v>
      </c>
      <c r="AZ31" s="12">
        <f t="shared" si="11"/>
        <v>0.19550342130987292</v>
      </c>
      <c r="BA31" s="13">
        <v>1</v>
      </c>
      <c r="BB31" s="52">
        <v>1.2</v>
      </c>
      <c r="BC31" s="48">
        <f t="shared" si="12"/>
        <v>9.0182574622322889E-2</v>
      </c>
      <c r="BD31" s="48">
        <f t="shared" si="13"/>
        <v>2.1643817909357495</v>
      </c>
      <c r="BE31" s="48">
        <f t="shared" si="14"/>
        <v>0.19550342130987292</v>
      </c>
    </row>
    <row r="32" spans="1:57">
      <c r="A32" s="15" t="s">
        <v>217</v>
      </c>
      <c r="B32" s="9" t="str">
        <f>"28"</f>
        <v>28</v>
      </c>
      <c r="C32" s="9" t="str">
        <f>"4040 11082 124 1-1"</f>
        <v>4040 11082 124 1-1</v>
      </c>
      <c r="D32" s="9" t="str">
        <f>"1040"</f>
        <v>1040</v>
      </c>
      <c r="E32" s="10">
        <f t="shared" si="15"/>
        <v>722.39677778517637</v>
      </c>
      <c r="F32" s="11">
        <f t="shared" si="16"/>
        <v>89.689861111111114</v>
      </c>
      <c r="G32" s="11">
        <v>645.76700000000005</v>
      </c>
      <c r="H32" s="11">
        <v>74.233000000000004</v>
      </c>
      <c r="I32" s="11">
        <v>466.5</v>
      </c>
      <c r="J32" s="11">
        <v>146.30000000000001</v>
      </c>
      <c r="K32" s="11">
        <v>4066392.7</v>
      </c>
      <c r="L32" s="11">
        <v>38746</v>
      </c>
      <c r="M32" s="11">
        <f t="shared" si="17"/>
        <v>104.95</v>
      </c>
      <c r="N32" s="13">
        <v>8</v>
      </c>
      <c r="O32" s="14">
        <v>6.3</v>
      </c>
      <c r="P32" s="13">
        <v>22</v>
      </c>
      <c r="Q32" s="14">
        <v>27.067</v>
      </c>
      <c r="R32" s="12">
        <f t="shared" si="18"/>
        <v>2.0440809146332963</v>
      </c>
      <c r="S32" s="12">
        <f t="shared" si="19"/>
        <v>49.057941951199112</v>
      </c>
      <c r="T32" s="12">
        <f t="shared" si="20"/>
        <v>4.715969989281886</v>
      </c>
      <c r="U32" s="13">
        <v>47</v>
      </c>
      <c r="V32" s="14">
        <v>29.15</v>
      </c>
      <c r="W32" s="12">
        <f t="shared" si="0"/>
        <v>4.366900135807497</v>
      </c>
      <c r="X32" s="12">
        <f t="shared" si="1"/>
        <v>104.80560325937992</v>
      </c>
      <c r="Y32" s="12">
        <f t="shared" si="2"/>
        <v>10.07502679528403</v>
      </c>
      <c r="Z32" s="13">
        <v>12</v>
      </c>
      <c r="AA32" s="14">
        <v>11.715999999999999</v>
      </c>
      <c r="AB32" s="10">
        <v>0</v>
      </c>
      <c r="AC32" s="12">
        <f t="shared" si="3"/>
        <v>0</v>
      </c>
      <c r="AD32" s="12">
        <f t="shared" si="4"/>
        <v>0</v>
      </c>
      <c r="AE32" s="12">
        <f t="shared" si="5"/>
        <v>0</v>
      </c>
      <c r="AF32" s="13">
        <v>89</v>
      </c>
      <c r="AG32" s="52">
        <v>74.233000000000004</v>
      </c>
      <c r="AH32" s="61">
        <v>69</v>
      </c>
      <c r="AI32" s="16">
        <f t="shared" si="21"/>
        <v>6.4109810504407934</v>
      </c>
      <c r="AJ32" s="48">
        <f t="shared" si="22"/>
        <v>153.86354521057905</v>
      </c>
      <c r="AK32" s="48">
        <f t="shared" si="23"/>
        <v>14.790996784565916</v>
      </c>
      <c r="AL32" s="57">
        <v>18</v>
      </c>
      <c r="AM32" s="14">
        <v>10.617000000000001</v>
      </c>
      <c r="AN32" s="12">
        <f t="shared" si="24"/>
        <v>1.6724298392454242</v>
      </c>
      <c r="AO32" s="12">
        <f t="shared" si="25"/>
        <v>40.138316141890186</v>
      </c>
      <c r="AP32" s="12">
        <f t="shared" si="26"/>
        <v>3.8585209003215435</v>
      </c>
      <c r="AQ32" s="13">
        <v>25</v>
      </c>
      <c r="AR32" s="14">
        <v>14.85</v>
      </c>
      <c r="AS32" s="12">
        <f t="shared" si="6"/>
        <v>2.3228192211742003</v>
      </c>
      <c r="AT32" s="12">
        <f t="shared" si="7"/>
        <v>55.74766130818081</v>
      </c>
      <c r="AU32" s="12">
        <f t="shared" si="8"/>
        <v>5.359056806002144</v>
      </c>
      <c r="AV32" s="13">
        <v>0</v>
      </c>
      <c r="AW32" s="14">
        <v>0.15</v>
      </c>
      <c r="AX32" s="12">
        <f t="shared" si="9"/>
        <v>0</v>
      </c>
      <c r="AY32" s="12">
        <f t="shared" si="10"/>
        <v>0</v>
      </c>
      <c r="AZ32" s="12">
        <f t="shared" si="11"/>
        <v>0</v>
      </c>
      <c r="BA32" s="13">
        <v>4</v>
      </c>
      <c r="BB32" s="52">
        <v>3.5329999999999999</v>
      </c>
      <c r="BC32" s="48">
        <f t="shared" si="12"/>
        <v>0.37165107538787207</v>
      </c>
      <c r="BD32" s="48">
        <f t="shared" si="13"/>
        <v>8.9196258093089291</v>
      </c>
      <c r="BE32" s="48">
        <f t="shared" si="14"/>
        <v>0.857449088960343</v>
      </c>
    </row>
    <row r="33" spans="1:57">
      <c r="A33" s="15" t="s">
        <v>217</v>
      </c>
      <c r="B33" s="9" t="str">
        <f>"29"</f>
        <v>29</v>
      </c>
      <c r="C33" s="9" t="str">
        <f>"4040 10080 124 1-1"</f>
        <v>4040 10080 124 1-1</v>
      </c>
      <c r="D33" s="9" t="str">
        <f>"1196 Z"</f>
        <v>1196 Z</v>
      </c>
      <c r="E33" s="10">
        <f t="shared" si="15"/>
        <v>688.65880086684319</v>
      </c>
      <c r="F33" s="11">
        <f t="shared" si="16"/>
        <v>86.520833333333343</v>
      </c>
      <c r="G33" s="11">
        <v>622.95000000000005</v>
      </c>
      <c r="H33" s="11">
        <v>97.05</v>
      </c>
      <c r="I33" s="11">
        <v>429</v>
      </c>
      <c r="J33" s="11">
        <v>138</v>
      </c>
      <c r="K33" s="11">
        <v>3633418.17</v>
      </c>
      <c r="L33" s="11">
        <v>37377</v>
      </c>
      <c r="M33" s="11">
        <f t="shared" si="17"/>
        <v>97.21</v>
      </c>
      <c r="N33" s="13">
        <v>9</v>
      </c>
      <c r="O33" s="14">
        <v>5.35</v>
      </c>
      <c r="P33" s="13">
        <v>35</v>
      </c>
      <c r="Q33" s="14">
        <v>46.3</v>
      </c>
      <c r="R33" s="12">
        <f t="shared" si="18"/>
        <v>3.3710570671803515</v>
      </c>
      <c r="S33" s="12">
        <f t="shared" si="19"/>
        <v>80.905369612328428</v>
      </c>
      <c r="T33" s="12">
        <f t="shared" si="20"/>
        <v>8.1585081585081589</v>
      </c>
      <c r="U33" s="13">
        <v>42</v>
      </c>
      <c r="V33" s="14">
        <v>45.4</v>
      </c>
      <c r="W33" s="12">
        <f t="shared" si="0"/>
        <v>4.0452684806164214</v>
      </c>
      <c r="X33" s="12">
        <f t="shared" si="1"/>
        <v>97.086443534794114</v>
      </c>
      <c r="Y33" s="12">
        <f t="shared" si="2"/>
        <v>9.79020979020979</v>
      </c>
      <c r="Z33" s="13">
        <v>0</v>
      </c>
      <c r="AA33" s="14">
        <v>0</v>
      </c>
      <c r="AB33" s="10">
        <v>0</v>
      </c>
      <c r="AC33" s="12">
        <f t="shared" si="3"/>
        <v>0</v>
      </c>
      <c r="AD33" s="12">
        <f t="shared" si="4"/>
        <v>0</v>
      </c>
      <c r="AE33" s="12">
        <f t="shared" si="5"/>
        <v>0</v>
      </c>
      <c r="AF33" s="13">
        <v>86</v>
      </c>
      <c r="AG33" s="52">
        <v>97.05</v>
      </c>
      <c r="AH33" s="61">
        <v>77</v>
      </c>
      <c r="AI33" s="16">
        <f t="shared" si="21"/>
        <v>7.4163255477967729</v>
      </c>
      <c r="AJ33" s="48">
        <f t="shared" si="22"/>
        <v>177.99181314712254</v>
      </c>
      <c r="AK33" s="48">
        <f t="shared" si="23"/>
        <v>17.948717948717949</v>
      </c>
      <c r="AL33" s="57">
        <v>11</v>
      </c>
      <c r="AM33" s="14">
        <v>9.75</v>
      </c>
      <c r="AN33" s="12">
        <f t="shared" si="24"/>
        <v>1.0594750782566817</v>
      </c>
      <c r="AO33" s="12">
        <f t="shared" si="25"/>
        <v>25.427401878160364</v>
      </c>
      <c r="AP33" s="12">
        <f t="shared" si="26"/>
        <v>2.5641025641025643</v>
      </c>
      <c r="AQ33" s="13">
        <v>4</v>
      </c>
      <c r="AR33" s="14">
        <v>10.967000000000001</v>
      </c>
      <c r="AS33" s="12">
        <f t="shared" si="6"/>
        <v>0.38526366482061158</v>
      </c>
      <c r="AT33" s="12">
        <f t="shared" si="7"/>
        <v>9.246327955694678</v>
      </c>
      <c r="AU33" s="12">
        <f t="shared" si="8"/>
        <v>0.93240093240093236</v>
      </c>
      <c r="AV33" s="13">
        <v>14</v>
      </c>
      <c r="AW33" s="14">
        <v>10.4</v>
      </c>
      <c r="AX33" s="12">
        <f t="shared" si="9"/>
        <v>1.3484228268721405</v>
      </c>
      <c r="AY33" s="12">
        <f t="shared" si="10"/>
        <v>32.362147844931371</v>
      </c>
      <c r="AZ33" s="12">
        <f t="shared" si="11"/>
        <v>3.2634032634032635</v>
      </c>
      <c r="BA33" s="13">
        <v>13</v>
      </c>
      <c r="BB33" s="52">
        <v>14.282999999999999</v>
      </c>
      <c r="BC33" s="48">
        <f t="shared" si="12"/>
        <v>1.2521069106669875</v>
      </c>
      <c r="BD33" s="48">
        <f t="shared" si="13"/>
        <v>30.050565856007704</v>
      </c>
      <c r="BE33" s="48">
        <f t="shared" si="14"/>
        <v>3.0303030303030303</v>
      </c>
    </row>
    <row r="34" spans="1:57">
      <c r="A34" s="15" t="s">
        <v>217</v>
      </c>
      <c r="B34" s="9" t="str">
        <f>"30"</f>
        <v>30</v>
      </c>
      <c r="C34" s="9" t="str">
        <f>"6060 18587 126 4-1"</f>
        <v>6060 18587 126 4-1</v>
      </c>
      <c r="D34" s="9" t="str">
        <f>"1009 Z"</f>
        <v>1009 Z</v>
      </c>
      <c r="E34" s="10">
        <f t="shared" si="15"/>
        <v>597.88617630568172</v>
      </c>
      <c r="F34" s="11">
        <f t="shared" si="16"/>
        <v>79.516249999999999</v>
      </c>
      <c r="G34" s="11">
        <v>572.51700000000005</v>
      </c>
      <c r="H34" s="11">
        <v>147.483</v>
      </c>
      <c r="I34" s="11">
        <v>342.3</v>
      </c>
      <c r="J34" s="11">
        <v>99.9</v>
      </c>
      <c r="K34" s="11">
        <v>3285329.64</v>
      </c>
      <c r="L34" s="11">
        <v>34351</v>
      </c>
      <c r="M34" s="11">
        <f t="shared" si="17"/>
        <v>95.64</v>
      </c>
      <c r="N34" s="13">
        <v>5</v>
      </c>
      <c r="O34" s="14">
        <v>3.5329999999999999</v>
      </c>
      <c r="P34" s="13">
        <v>57</v>
      </c>
      <c r="Q34" s="14">
        <v>74.132999999999996</v>
      </c>
      <c r="R34" s="12">
        <f t="shared" si="18"/>
        <v>5.9736217439831476</v>
      </c>
      <c r="S34" s="12">
        <f t="shared" si="19"/>
        <v>143.36692185559554</v>
      </c>
      <c r="T34" s="12">
        <f t="shared" si="20"/>
        <v>16.652059596844872</v>
      </c>
      <c r="U34" s="13">
        <v>113</v>
      </c>
      <c r="V34" s="14">
        <v>59.883000000000003</v>
      </c>
      <c r="W34" s="12">
        <f t="shared" si="0"/>
        <v>11.842443106492906</v>
      </c>
      <c r="X34" s="12">
        <f t="shared" si="1"/>
        <v>284.21863455582974</v>
      </c>
      <c r="Y34" s="12">
        <f t="shared" si="2"/>
        <v>33.01197779725387</v>
      </c>
      <c r="Z34" s="13">
        <v>8</v>
      </c>
      <c r="AA34" s="14">
        <v>9.9329999999999998</v>
      </c>
      <c r="AB34" s="10">
        <v>0</v>
      </c>
      <c r="AC34" s="12">
        <f t="shared" si="3"/>
        <v>0</v>
      </c>
      <c r="AD34" s="12">
        <f t="shared" si="4"/>
        <v>0</v>
      </c>
      <c r="AE34" s="12">
        <f t="shared" si="5"/>
        <v>0</v>
      </c>
      <c r="AF34" s="13">
        <v>183</v>
      </c>
      <c r="AG34" s="52">
        <v>147.482</v>
      </c>
      <c r="AH34" s="61">
        <v>170</v>
      </c>
      <c r="AI34" s="16">
        <f t="shared" si="21"/>
        <v>17.816064850476053</v>
      </c>
      <c r="AJ34" s="48">
        <f t="shared" si="22"/>
        <v>427.58555641142527</v>
      </c>
      <c r="AK34" s="48">
        <f t="shared" si="23"/>
        <v>49.664037394098742</v>
      </c>
      <c r="AL34" s="57">
        <v>45</v>
      </c>
      <c r="AM34" s="14">
        <v>25.1</v>
      </c>
      <c r="AN34" s="12">
        <f t="shared" si="24"/>
        <v>4.7160171663024846</v>
      </c>
      <c r="AO34" s="12">
        <f t="shared" si="25"/>
        <v>113.18441199125964</v>
      </c>
      <c r="AP34" s="12">
        <f t="shared" si="26"/>
        <v>13.146362839614373</v>
      </c>
      <c r="AQ34" s="13">
        <v>66</v>
      </c>
      <c r="AR34" s="14">
        <v>34.183</v>
      </c>
      <c r="AS34" s="12">
        <f t="shared" si="6"/>
        <v>6.9168251772436449</v>
      </c>
      <c r="AT34" s="12">
        <f t="shared" si="7"/>
        <v>166.00380425384748</v>
      </c>
      <c r="AU34" s="12">
        <f t="shared" si="8"/>
        <v>19.281332164767747</v>
      </c>
      <c r="AV34" s="13">
        <v>2</v>
      </c>
      <c r="AW34" s="14">
        <v>0.6</v>
      </c>
      <c r="AX34" s="12">
        <f t="shared" si="9"/>
        <v>0.2096007629467771</v>
      </c>
      <c r="AY34" s="12">
        <f t="shared" si="10"/>
        <v>5.0304183107226503</v>
      </c>
      <c r="AZ34" s="12">
        <f t="shared" si="11"/>
        <v>0.58428279287174989</v>
      </c>
      <c r="BA34" s="13">
        <v>0</v>
      </c>
      <c r="BB34" s="52">
        <v>0</v>
      </c>
      <c r="BC34" s="48">
        <f t="shared" si="12"/>
        <v>0</v>
      </c>
      <c r="BD34" s="48">
        <f t="shared" si="13"/>
        <v>0</v>
      </c>
      <c r="BE34" s="48">
        <f t="shared" si="14"/>
        <v>0</v>
      </c>
    </row>
    <row r="35" spans="1:57">
      <c r="A35" s="15" t="s">
        <v>217</v>
      </c>
      <c r="B35" s="9" t="str">
        <f>"31"</f>
        <v>31</v>
      </c>
      <c r="C35" s="9" t="str">
        <f>"6060 135115 102 1-1"</f>
        <v>6060 135115 102 1-1</v>
      </c>
      <c r="D35" s="9" t="str">
        <f>"1060 Z"</f>
        <v>1060 Z</v>
      </c>
      <c r="E35" s="10">
        <f t="shared" si="15"/>
        <v>631.24445758202774</v>
      </c>
      <c r="F35" s="11">
        <f t="shared" si="16"/>
        <v>93.972222222222229</v>
      </c>
      <c r="G35" s="11">
        <v>676.6</v>
      </c>
      <c r="H35" s="11">
        <v>43.4</v>
      </c>
      <c r="I35" s="11">
        <v>427.1</v>
      </c>
      <c r="J35" s="11">
        <v>95.6</v>
      </c>
      <c r="K35" s="11">
        <v>2494218.2400000002</v>
      </c>
      <c r="L35" s="11">
        <v>40596</v>
      </c>
      <c r="M35" s="11">
        <f t="shared" si="17"/>
        <v>61.440000000000005</v>
      </c>
      <c r="N35" s="13">
        <v>5</v>
      </c>
      <c r="O35" s="14">
        <v>3.9169999999999998</v>
      </c>
      <c r="P35" s="13">
        <v>6</v>
      </c>
      <c r="Q35" s="14">
        <v>7.0670000000000002</v>
      </c>
      <c r="R35" s="12">
        <f t="shared" si="18"/>
        <v>0.53207212533254511</v>
      </c>
      <c r="S35" s="12">
        <f t="shared" si="19"/>
        <v>12.769731007981081</v>
      </c>
      <c r="T35" s="12">
        <f t="shared" si="20"/>
        <v>1.4048232264106766</v>
      </c>
      <c r="U35" s="13">
        <v>50</v>
      </c>
      <c r="V35" s="14">
        <v>27.5</v>
      </c>
      <c r="W35" s="12">
        <f t="shared" si="0"/>
        <v>4.4339343777712088</v>
      </c>
      <c r="X35" s="12">
        <f t="shared" si="1"/>
        <v>106.41442506650901</v>
      </c>
      <c r="Y35" s="12">
        <f t="shared" si="2"/>
        <v>11.706860220088972</v>
      </c>
      <c r="Z35" s="13">
        <v>5</v>
      </c>
      <c r="AA35" s="14">
        <v>4.9160000000000004</v>
      </c>
      <c r="AB35" s="10">
        <v>0</v>
      </c>
      <c r="AC35" s="12">
        <f t="shared" si="3"/>
        <v>0</v>
      </c>
      <c r="AD35" s="12">
        <f t="shared" si="4"/>
        <v>0</v>
      </c>
      <c r="AE35" s="12">
        <f t="shared" si="5"/>
        <v>0</v>
      </c>
      <c r="AF35" s="13">
        <v>66</v>
      </c>
      <c r="AG35" s="52">
        <v>43.4</v>
      </c>
      <c r="AH35" s="61">
        <v>56</v>
      </c>
      <c r="AI35" s="16">
        <f t="shared" si="21"/>
        <v>4.9660065031037535</v>
      </c>
      <c r="AJ35" s="48">
        <f t="shared" si="22"/>
        <v>119.18415607449009</v>
      </c>
      <c r="AK35" s="48">
        <f t="shared" si="23"/>
        <v>13.111683446499647</v>
      </c>
      <c r="AL35" s="57">
        <v>10</v>
      </c>
      <c r="AM35" s="14">
        <v>6.2169999999999996</v>
      </c>
      <c r="AN35" s="12">
        <f t="shared" si="24"/>
        <v>0.88678687555424174</v>
      </c>
      <c r="AO35" s="12">
        <f t="shared" si="25"/>
        <v>21.282885013301801</v>
      </c>
      <c r="AP35" s="12">
        <f t="shared" si="26"/>
        <v>2.3413720440177941</v>
      </c>
      <c r="AQ35" s="13">
        <v>29</v>
      </c>
      <c r="AR35" s="14">
        <v>13.083</v>
      </c>
      <c r="AS35" s="12">
        <f t="shared" si="6"/>
        <v>2.5716819391073011</v>
      </c>
      <c r="AT35" s="12">
        <f t="shared" si="7"/>
        <v>61.720366538575227</v>
      </c>
      <c r="AU35" s="12">
        <f t="shared" si="8"/>
        <v>6.7899789276516032</v>
      </c>
      <c r="AV35" s="13">
        <v>11</v>
      </c>
      <c r="AW35" s="14">
        <v>5.55</v>
      </c>
      <c r="AX35" s="12">
        <f t="shared" si="9"/>
        <v>0.97546556310966592</v>
      </c>
      <c r="AY35" s="12">
        <f t="shared" si="10"/>
        <v>23.411173514631983</v>
      </c>
      <c r="AZ35" s="12">
        <f t="shared" si="11"/>
        <v>2.5755092484195736</v>
      </c>
      <c r="BA35" s="13">
        <v>0</v>
      </c>
      <c r="BB35" s="52">
        <v>2.65</v>
      </c>
      <c r="BC35" s="48">
        <f t="shared" si="12"/>
        <v>0</v>
      </c>
      <c r="BD35" s="48">
        <f t="shared" si="13"/>
        <v>0</v>
      </c>
      <c r="BE35" s="48">
        <f t="shared" si="14"/>
        <v>0</v>
      </c>
    </row>
    <row r="36" spans="1:57">
      <c r="A36" s="15" t="s">
        <v>217</v>
      </c>
      <c r="B36" s="9" t="str">
        <f>"32"</f>
        <v>32</v>
      </c>
      <c r="C36" s="9" t="str">
        <f>"4040 14085 104 4-1"</f>
        <v>4040 14085 104 4-1</v>
      </c>
      <c r="D36" s="9" t="str">
        <f>"1080 Z"</f>
        <v>1080 Z</v>
      </c>
      <c r="E36" s="10">
        <f t="shared" si="15"/>
        <v>646.52751423149903</v>
      </c>
      <c r="F36" s="11">
        <f t="shared" si="16"/>
        <v>91.493055555555557</v>
      </c>
      <c r="G36" s="11">
        <v>658.75</v>
      </c>
      <c r="H36" s="11">
        <v>61.25</v>
      </c>
      <c r="I36" s="11">
        <v>425.9</v>
      </c>
      <c r="J36" s="11">
        <v>128</v>
      </c>
      <c r="K36" s="11">
        <v>2782560</v>
      </c>
      <c r="L36" s="11">
        <v>39525</v>
      </c>
      <c r="M36" s="11">
        <f t="shared" si="17"/>
        <v>70.400000000000006</v>
      </c>
      <c r="N36" s="13">
        <v>5</v>
      </c>
      <c r="O36" s="14">
        <v>5.0170000000000003</v>
      </c>
      <c r="P36" s="13">
        <v>7</v>
      </c>
      <c r="Q36" s="14">
        <v>11.45</v>
      </c>
      <c r="R36" s="12">
        <f t="shared" si="18"/>
        <v>0.63757115749525617</v>
      </c>
      <c r="S36" s="12">
        <f t="shared" si="19"/>
        <v>15.301707779886147</v>
      </c>
      <c r="T36" s="12">
        <f t="shared" si="20"/>
        <v>1.6435783047663772</v>
      </c>
      <c r="U36" s="13">
        <v>57</v>
      </c>
      <c r="V36" s="14">
        <v>39.183</v>
      </c>
      <c r="W36" s="12">
        <f t="shared" si="0"/>
        <v>5.1916508538899429</v>
      </c>
      <c r="X36" s="12">
        <f t="shared" si="1"/>
        <v>124.59962049335863</v>
      </c>
      <c r="Y36" s="12">
        <f t="shared" si="2"/>
        <v>13.383423338811928</v>
      </c>
      <c r="Z36" s="13">
        <v>4</v>
      </c>
      <c r="AA36" s="14">
        <v>5.6</v>
      </c>
      <c r="AB36" s="10">
        <v>1</v>
      </c>
      <c r="AC36" s="12">
        <f t="shared" si="3"/>
        <v>9.1081593927893736E-2</v>
      </c>
      <c r="AD36" s="12">
        <f t="shared" si="4"/>
        <v>2.1859582542694498</v>
      </c>
      <c r="AE36" s="12">
        <f t="shared" si="5"/>
        <v>0.23479690068091102</v>
      </c>
      <c r="AF36" s="13">
        <v>73</v>
      </c>
      <c r="AG36" s="52">
        <v>61.25</v>
      </c>
      <c r="AH36" s="61">
        <v>65</v>
      </c>
      <c r="AI36" s="16">
        <f t="shared" si="21"/>
        <v>5.9203036053130926</v>
      </c>
      <c r="AJ36" s="48">
        <f t="shared" si="22"/>
        <v>142.08728652751424</v>
      </c>
      <c r="AK36" s="48">
        <f t="shared" si="23"/>
        <v>15.261798544259216</v>
      </c>
      <c r="AL36" s="57">
        <v>19</v>
      </c>
      <c r="AM36" s="14">
        <v>14.882999999999999</v>
      </c>
      <c r="AN36" s="12">
        <f t="shared" si="24"/>
        <v>1.730550284629981</v>
      </c>
      <c r="AO36" s="12">
        <f t="shared" si="25"/>
        <v>41.533206831119543</v>
      </c>
      <c r="AP36" s="12">
        <f t="shared" si="26"/>
        <v>4.4611411129373097</v>
      </c>
      <c r="AQ36" s="13">
        <v>36</v>
      </c>
      <c r="AR36" s="14">
        <v>23.582999999999998</v>
      </c>
      <c r="AS36" s="12">
        <f t="shared" si="6"/>
        <v>3.2789373814041745</v>
      </c>
      <c r="AT36" s="12">
        <f t="shared" si="7"/>
        <v>78.694497153700183</v>
      </c>
      <c r="AU36" s="12">
        <f t="shared" si="8"/>
        <v>8.4526884245127967</v>
      </c>
      <c r="AV36" s="13">
        <v>2</v>
      </c>
      <c r="AW36" s="14">
        <v>0.71699999999999997</v>
      </c>
      <c r="AX36" s="12">
        <f t="shared" si="9"/>
        <v>0.18216318785578747</v>
      </c>
      <c r="AY36" s="12">
        <f t="shared" si="10"/>
        <v>4.3719165085388996</v>
      </c>
      <c r="AZ36" s="12">
        <f t="shared" si="11"/>
        <v>0.46959380136182205</v>
      </c>
      <c r="BA36" s="13">
        <v>0</v>
      </c>
      <c r="BB36" s="52">
        <v>0</v>
      </c>
      <c r="BC36" s="48">
        <f t="shared" si="12"/>
        <v>0</v>
      </c>
      <c r="BD36" s="48">
        <f t="shared" si="13"/>
        <v>0</v>
      </c>
      <c r="BE36" s="48">
        <f t="shared" si="14"/>
        <v>0</v>
      </c>
    </row>
    <row r="37" spans="1:57">
      <c r="A37" s="15" t="s">
        <v>217</v>
      </c>
      <c r="B37" s="9" t="str">
        <f>"33"</f>
        <v>33</v>
      </c>
      <c r="C37" s="9" t="str">
        <f>"4040 127121 106 2-1"</f>
        <v>4040 127121 106 2-1</v>
      </c>
      <c r="D37" s="9" t="str">
        <f>"1087 Z"</f>
        <v>1087 Z</v>
      </c>
      <c r="E37" s="10">
        <f t="shared" si="15"/>
        <v>613.24454310025897</v>
      </c>
      <c r="F37" s="11">
        <f t="shared" si="16"/>
        <v>93.854166666666671</v>
      </c>
      <c r="G37" s="11">
        <v>675.75</v>
      </c>
      <c r="H37" s="11">
        <v>44.25</v>
      </c>
      <c r="I37" s="11">
        <v>414.4</v>
      </c>
      <c r="J37" s="11">
        <v>87.7</v>
      </c>
      <c r="K37" s="11">
        <v>2538117</v>
      </c>
      <c r="L37" s="11">
        <v>40545</v>
      </c>
      <c r="M37" s="11">
        <f t="shared" si="17"/>
        <v>62.6</v>
      </c>
      <c r="N37" s="13">
        <v>4</v>
      </c>
      <c r="O37" s="14">
        <v>2.367</v>
      </c>
      <c r="P37" s="13">
        <v>14</v>
      </c>
      <c r="Q37" s="14">
        <v>17.3</v>
      </c>
      <c r="R37" s="12">
        <f t="shared" si="18"/>
        <v>1.2430632630410654</v>
      </c>
      <c r="S37" s="12">
        <f t="shared" si="19"/>
        <v>29.833518312985571</v>
      </c>
      <c r="T37" s="12">
        <f t="shared" si="20"/>
        <v>3.3783783783783785</v>
      </c>
      <c r="U37" s="13">
        <v>43</v>
      </c>
      <c r="V37" s="14">
        <v>23.283000000000001</v>
      </c>
      <c r="W37" s="12">
        <f t="shared" si="0"/>
        <v>3.8179800221975584</v>
      </c>
      <c r="X37" s="12">
        <f t="shared" si="1"/>
        <v>91.631520532741405</v>
      </c>
      <c r="Y37" s="12">
        <f t="shared" si="2"/>
        <v>10.376447876447877</v>
      </c>
      <c r="Z37" s="13">
        <v>1</v>
      </c>
      <c r="AA37" s="14">
        <v>1.3</v>
      </c>
      <c r="AB37" s="10">
        <v>0</v>
      </c>
      <c r="AC37" s="12">
        <f t="shared" si="3"/>
        <v>0</v>
      </c>
      <c r="AD37" s="12">
        <f t="shared" si="4"/>
        <v>0</v>
      </c>
      <c r="AE37" s="12">
        <f t="shared" si="5"/>
        <v>0</v>
      </c>
      <c r="AF37" s="13">
        <v>62</v>
      </c>
      <c r="AG37" s="52">
        <v>44.25</v>
      </c>
      <c r="AH37" s="61">
        <v>57</v>
      </c>
      <c r="AI37" s="16">
        <f t="shared" si="21"/>
        <v>5.0610432852386236</v>
      </c>
      <c r="AJ37" s="48">
        <f t="shared" si="22"/>
        <v>121.46503884572697</v>
      </c>
      <c r="AK37" s="48">
        <f t="shared" si="23"/>
        <v>13.754826254826256</v>
      </c>
      <c r="AL37" s="57">
        <v>25</v>
      </c>
      <c r="AM37" s="14">
        <v>13.667</v>
      </c>
      <c r="AN37" s="12">
        <f t="shared" si="24"/>
        <v>2.2197558268590454</v>
      </c>
      <c r="AO37" s="12">
        <f t="shared" si="25"/>
        <v>53.274139844617089</v>
      </c>
      <c r="AP37" s="12">
        <f t="shared" si="26"/>
        <v>6.0328185328185331</v>
      </c>
      <c r="AQ37" s="13">
        <v>16</v>
      </c>
      <c r="AR37" s="14">
        <v>9.25</v>
      </c>
      <c r="AS37" s="12">
        <f t="shared" si="6"/>
        <v>1.4206437291897891</v>
      </c>
      <c r="AT37" s="12">
        <f t="shared" si="7"/>
        <v>34.095449500554942</v>
      </c>
      <c r="AU37" s="12">
        <f t="shared" si="8"/>
        <v>3.8610038610038613</v>
      </c>
      <c r="AV37" s="13">
        <v>1</v>
      </c>
      <c r="AW37" s="14">
        <v>0.2</v>
      </c>
      <c r="AX37" s="12">
        <f t="shared" si="9"/>
        <v>8.8790233074361818E-2</v>
      </c>
      <c r="AY37" s="12">
        <f t="shared" si="10"/>
        <v>2.1309655937846839</v>
      </c>
      <c r="AZ37" s="12">
        <f t="shared" si="11"/>
        <v>0.24131274131274133</v>
      </c>
      <c r="BA37" s="13">
        <v>1</v>
      </c>
      <c r="BB37" s="52">
        <v>0.16700000000000001</v>
      </c>
      <c r="BC37" s="48">
        <f t="shared" si="12"/>
        <v>8.8790233074361818E-2</v>
      </c>
      <c r="BD37" s="48">
        <f t="shared" si="13"/>
        <v>2.1309655937846839</v>
      </c>
      <c r="BE37" s="48">
        <f t="shared" si="14"/>
        <v>0.24131274131274133</v>
      </c>
    </row>
    <row r="38" spans="1:57">
      <c r="A38" s="15" t="s">
        <v>217</v>
      </c>
      <c r="B38" s="9" t="str">
        <f>"34"</f>
        <v>34</v>
      </c>
      <c r="C38" s="9" t="str">
        <f>"8080 9088 46x2 1-1"</f>
        <v>8080 9088 46x2 1-1</v>
      </c>
      <c r="D38" s="9" t="str">
        <f>"1075 Z"</f>
        <v>1075 Z</v>
      </c>
      <c r="E38" s="10">
        <f t="shared" si="15"/>
        <v>807.85604439539577</v>
      </c>
      <c r="F38" s="11">
        <f t="shared" si="16"/>
        <v>92.752361111111114</v>
      </c>
      <c r="G38" s="11">
        <v>667.81700000000001</v>
      </c>
      <c r="H38" s="11">
        <v>52.183</v>
      </c>
      <c r="I38" s="11">
        <v>539.5</v>
      </c>
      <c r="J38" s="11">
        <v>155.69999999999999</v>
      </c>
      <c r="K38" s="11">
        <v>2808035.52</v>
      </c>
      <c r="L38" s="11">
        <v>40069</v>
      </c>
      <c r="M38" s="11">
        <f t="shared" si="17"/>
        <v>70.08</v>
      </c>
      <c r="N38" s="13">
        <v>3</v>
      </c>
      <c r="O38" s="14">
        <v>0.86699999999999999</v>
      </c>
      <c r="P38" s="13">
        <v>11</v>
      </c>
      <c r="Q38" s="14">
        <v>21.417000000000002</v>
      </c>
      <c r="R38" s="12">
        <f t="shared" si="18"/>
        <v>0.98829469749946464</v>
      </c>
      <c r="S38" s="12">
        <f t="shared" si="19"/>
        <v>23.719072739987151</v>
      </c>
      <c r="T38" s="12">
        <f t="shared" si="20"/>
        <v>2.0389249304911954</v>
      </c>
      <c r="U38" s="13">
        <v>27</v>
      </c>
      <c r="V38" s="14">
        <v>22.167000000000002</v>
      </c>
      <c r="W38" s="12">
        <f t="shared" si="0"/>
        <v>2.4258142574986858</v>
      </c>
      <c r="X38" s="12">
        <f t="shared" si="1"/>
        <v>58.219542179968464</v>
      </c>
      <c r="Y38" s="12">
        <f t="shared" si="2"/>
        <v>5.0046339202965706</v>
      </c>
      <c r="Z38" s="13">
        <v>5</v>
      </c>
      <c r="AA38" s="14">
        <v>7.7329999999999997</v>
      </c>
      <c r="AB38" s="10">
        <v>1</v>
      </c>
      <c r="AC38" s="12">
        <f t="shared" si="3"/>
        <v>8.9844972499951339E-2</v>
      </c>
      <c r="AD38" s="12">
        <f t="shared" si="4"/>
        <v>2.1562793399988318</v>
      </c>
      <c r="AE38" s="12">
        <f t="shared" si="5"/>
        <v>0.18535681186283595</v>
      </c>
      <c r="AF38" s="13">
        <v>46</v>
      </c>
      <c r="AG38" s="52">
        <v>52.183999999999997</v>
      </c>
      <c r="AH38" s="61">
        <v>39</v>
      </c>
      <c r="AI38" s="16">
        <f t="shared" si="21"/>
        <v>3.503953927498102</v>
      </c>
      <c r="AJ38" s="48">
        <f t="shared" si="22"/>
        <v>84.094894259954444</v>
      </c>
      <c r="AK38" s="48">
        <f t="shared" si="23"/>
        <v>7.2289156626506026</v>
      </c>
      <c r="AL38" s="57">
        <v>9</v>
      </c>
      <c r="AM38" s="14">
        <v>4.95</v>
      </c>
      <c r="AN38" s="12">
        <f t="shared" si="24"/>
        <v>0.80860475249956199</v>
      </c>
      <c r="AO38" s="12">
        <f t="shared" si="25"/>
        <v>19.406514059989487</v>
      </c>
      <c r="AP38" s="12">
        <f t="shared" si="26"/>
        <v>1.6682113067655235</v>
      </c>
      <c r="AQ38" s="13">
        <v>10</v>
      </c>
      <c r="AR38" s="14">
        <v>4.367</v>
      </c>
      <c r="AS38" s="12">
        <f t="shared" si="6"/>
        <v>0.89844972499951337</v>
      </c>
      <c r="AT38" s="12">
        <f t="shared" si="7"/>
        <v>21.562793399988319</v>
      </c>
      <c r="AU38" s="12">
        <f t="shared" si="8"/>
        <v>1.8535681186283597</v>
      </c>
      <c r="AV38" s="13">
        <v>4</v>
      </c>
      <c r="AW38" s="14">
        <v>4.867</v>
      </c>
      <c r="AX38" s="12">
        <f t="shared" si="9"/>
        <v>0.35937988999980536</v>
      </c>
      <c r="AY38" s="12">
        <f t="shared" si="10"/>
        <v>8.6251173599953272</v>
      </c>
      <c r="AZ38" s="12">
        <f t="shared" si="11"/>
        <v>0.74142724745134381</v>
      </c>
      <c r="BA38" s="13">
        <v>4</v>
      </c>
      <c r="BB38" s="52">
        <v>7.9829999999999997</v>
      </c>
      <c r="BC38" s="48">
        <f t="shared" si="12"/>
        <v>0.35937988999980536</v>
      </c>
      <c r="BD38" s="48">
        <f t="shared" si="13"/>
        <v>8.6251173599953272</v>
      </c>
      <c r="BE38" s="48">
        <f t="shared" si="14"/>
        <v>0.74142724745134381</v>
      </c>
    </row>
    <row r="39" spans="1:57">
      <c r="A39" s="15" t="s">
        <v>217</v>
      </c>
      <c r="B39" s="9" t="str">
        <f>"35"</f>
        <v>35</v>
      </c>
      <c r="C39" s="9" t="str">
        <f>"3030 7674 72 1-1"</f>
        <v>3030 7674 72 1-1</v>
      </c>
      <c r="D39" s="9" t="str">
        <f>"1128 R"</f>
        <v>1128 R</v>
      </c>
      <c r="E39" s="10">
        <f t="shared" si="15"/>
        <v>956.33925950806531</v>
      </c>
      <c r="F39" s="11">
        <f t="shared" si="16"/>
        <v>88.488472222222214</v>
      </c>
      <c r="G39" s="11">
        <v>637.11699999999996</v>
      </c>
      <c r="H39" s="11">
        <v>82.882999999999996</v>
      </c>
      <c r="I39" s="11">
        <v>609.29999999999995</v>
      </c>
      <c r="J39" s="11">
        <v>212</v>
      </c>
      <c r="K39" s="11">
        <v>2489724.5099999998</v>
      </c>
      <c r="L39" s="11">
        <v>38227</v>
      </c>
      <c r="M39" s="11">
        <f t="shared" si="17"/>
        <v>65.13</v>
      </c>
      <c r="N39" s="13">
        <v>6</v>
      </c>
      <c r="O39" s="14">
        <v>4.9169999999999998</v>
      </c>
      <c r="P39" s="13">
        <v>23</v>
      </c>
      <c r="Q39" s="14">
        <v>36.017000000000003</v>
      </c>
      <c r="R39" s="12">
        <f t="shared" si="18"/>
        <v>2.1660071854934024</v>
      </c>
      <c r="S39" s="12">
        <f t="shared" si="19"/>
        <v>51.984172451841658</v>
      </c>
      <c r="T39" s="12">
        <f t="shared" si="20"/>
        <v>3.7748235680288857</v>
      </c>
      <c r="U39" s="13">
        <v>39</v>
      </c>
      <c r="V39" s="14">
        <v>37.35</v>
      </c>
      <c r="W39" s="12">
        <f t="shared" si="0"/>
        <v>3.6727947927931606</v>
      </c>
      <c r="X39" s="12">
        <f t="shared" si="1"/>
        <v>88.147075027035854</v>
      </c>
      <c r="Y39" s="12">
        <f t="shared" si="2"/>
        <v>6.4007877892663716</v>
      </c>
      <c r="Z39" s="13">
        <v>4</v>
      </c>
      <c r="AA39" s="14">
        <v>4.5999999999999996</v>
      </c>
      <c r="AB39" s="10">
        <v>0</v>
      </c>
      <c r="AC39" s="12">
        <f t="shared" si="3"/>
        <v>0</v>
      </c>
      <c r="AD39" s="12">
        <f t="shared" si="4"/>
        <v>0</v>
      </c>
      <c r="AE39" s="12">
        <f t="shared" si="5"/>
        <v>0</v>
      </c>
      <c r="AF39" s="13">
        <v>72</v>
      </c>
      <c r="AG39" s="52">
        <v>82.884</v>
      </c>
      <c r="AH39" s="61">
        <v>62</v>
      </c>
      <c r="AI39" s="16">
        <f t="shared" si="21"/>
        <v>5.838801978286563</v>
      </c>
      <c r="AJ39" s="48">
        <f t="shared" si="22"/>
        <v>140.13124747887753</v>
      </c>
      <c r="AK39" s="48">
        <f t="shared" si="23"/>
        <v>10.175611357295258</v>
      </c>
      <c r="AL39" s="57">
        <v>22</v>
      </c>
      <c r="AM39" s="14">
        <v>16.233000000000001</v>
      </c>
      <c r="AN39" s="12">
        <f t="shared" si="24"/>
        <v>2.0718329600371677</v>
      </c>
      <c r="AO39" s="12">
        <f t="shared" si="25"/>
        <v>49.723991040892024</v>
      </c>
      <c r="AP39" s="12">
        <f t="shared" si="26"/>
        <v>3.6107008042015432</v>
      </c>
      <c r="AQ39" s="13">
        <v>11</v>
      </c>
      <c r="AR39" s="14">
        <v>7.383</v>
      </c>
      <c r="AS39" s="12">
        <f t="shared" si="6"/>
        <v>1.0359164800185838</v>
      </c>
      <c r="AT39" s="12">
        <f t="shared" si="7"/>
        <v>24.861995520446012</v>
      </c>
      <c r="AU39" s="12">
        <f t="shared" si="8"/>
        <v>1.8053504021007716</v>
      </c>
      <c r="AV39" s="13">
        <v>0</v>
      </c>
      <c r="AW39" s="14">
        <v>0</v>
      </c>
      <c r="AX39" s="12">
        <f t="shared" si="9"/>
        <v>0</v>
      </c>
      <c r="AY39" s="12">
        <f t="shared" si="10"/>
        <v>0</v>
      </c>
      <c r="AZ39" s="12">
        <f t="shared" si="11"/>
        <v>0</v>
      </c>
      <c r="BA39" s="13">
        <v>6</v>
      </c>
      <c r="BB39" s="52">
        <v>13.733000000000001</v>
      </c>
      <c r="BC39" s="48">
        <f t="shared" si="12"/>
        <v>0.5650453527374093</v>
      </c>
      <c r="BD39" s="48">
        <f t="shared" si="13"/>
        <v>13.561088465697823</v>
      </c>
      <c r="BE39" s="48">
        <f t="shared" si="14"/>
        <v>0.98473658296405719</v>
      </c>
    </row>
    <row r="40" spans="1:57">
      <c r="A40" s="15" t="s">
        <v>217</v>
      </c>
      <c r="B40" s="9" t="str">
        <f>"36"</f>
        <v>36</v>
      </c>
      <c r="C40" s="9" t="str">
        <f>"4040 11085 75 1-1"</f>
        <v>4040 11085 75 1-1</v>
      </c>
      <c r="D40" s="9" t="str">
        <f>"1138 Z"</f>
        <v>1138 Z</v>
      </c>
      <c r="E40" s="10">
        <f t="shared" si="15"/>
        <v>945.01718213058427</v>
      </c>
      <c r="F40" s="11">
        <f t="shared" si="16"/>
        <v>76.791666666666671</v>
      </c>
      <c r="G40" s="11">
        <v>552.9</v>
      </c>
      <c r="H40" s="11">
        <v>167.1</v>
      </c>
      <c r="I40" s="11">
        <v>522.5</v>
      </c>
      <c r="J40" s="11">
        <v>158.4</v>
      </c>
      <c r="K40" s="11">
        <v>2448241.2000000002</v>
      </c>
      <c r="L40" s="11">
        <v>33174</v>
      </c>
      <c r="M40" s="11">
        <f t="shared" si="17"/>
        <v>73.800000000000011</v>
      </c>
      <c r="N40" s="13">
        <v>5</v>
      </c>
      <c r="O40" s="14">
        <v>0.88300000000000001</v>
      </c>
      <c r="P40" s="13">
        <v>30</v>
      </c>
      <c r="Q40" s="14">
        <v>57.732999999999997</v>
      </c>
      <c r="R40" s="12">
        <f t="shared" si="18"/>
        <v>3.2555615843733046</v>
      </c>
      <c r="S40" s="12">
        <f t="shared" si="19"/>
        <v>78.133478024959302</v>
      </c>
      <c r="T40" s="12">
        <f t="shared" si="20"/>
        <v>5.741626794258373</v>
      </c>
      <c r="U40" s="13">
        <v>25</v>
      </c>
      <c r="V40" s="14">
        <v>26.05</v>
      </c>
      <c r="W40" s="12">
        <f t="shared" si="0"/>
        <v>2.7129679869777537</v>
      </c>
      <c r="X40" s="12">
        <f t="shared" si="1"/>
        <v>65.111231687466088</v>
      </c>
      <c r="Y40" s="12">
        <f t="shared" si="2"/>
        <v>4.7846889952153111</v>
      </c>
      <c r="Z40" s="13">
        <v>5</v>
      </c>
      <c r="AA40" s="14">
        <v>82.433999999999997</v>
      </c>
      <c r="AB40" s="10">
        <v>0</v>
      </c>
      <c r="AC40" s="12">
        <f t="shared" si="3"/>
        <v>0</v>
      </c>
      <c r="AD40" s="12">
        <f t="shared" si="4"/>
        <v>0</v>
      </c>
      <c r="AE40" s="12">
        <f t="shared" si="5"/>
        <v>0</v>
      </c>
      <c r="AF40" s="13">
        <v>65</v>
      </c>
      <c r="AG40" s="52">
        <v>167.1</v>
      </c>
      <c r="AH40" s="61">
        <v>55</v>
      </c>
      <c r="AI40" s="16">
        <f t="shared" si="21"/>
        <v>5.9685295713510582</v>
      </c>
      <c r="AJ40" s="48">
        <f t="shared" si="22"/>
        <v>143.24470971242539</v>
      </c>
      <c r="AK40" s="48">
        <f t="shared" si="23"/>
        <v>10.526315789473685</v>
      </c>
      <c r="AL40" s="57">
        <v>12</v>
      </c>
      <c r="AM40" s="14">
        <v>4.1500000000000004</v>
      </c>
      <c r="AN40" s="12">
        <f t="shared" si="24"/>
        <v>1.3022246337493217</v>
      </c>
      <c r="AO40" s="12">
        <f t="shared" si="25"/>
        <v>31.253391209983725</v>
      </c>
      <c r="AP40" s="12">
        <f t="shared" si="26"/>
        <v>2.2966507177033493</v>
      </c>
      <c r="AQ40" s="13">
        <v>12</v>
      </c>
      <c r="AR40" s="14">
        <v>21.516999999999999</v>
      </c>
      <c r="AS40" s="12">
        <f t="shared" si="6"/>
        <v>1.3022246337493217</v>
      </c>
      <c r="AT40" s="12">
        <f t="shared" si="7"/>
        <v>31.253391209983725</v>
      </c>
      <c r="AU40" s="12">
        <f t="shared" si="8"/>
        <v>2.2966507177033493</v>
      </c>
      <c r="AV40" s="13">
        <v>0</v>
      </c>
      <c r="AW40" s="14">
        <v>0</v>
      </c>
      <c r="AX40" s="12">
        <f t="shared" si="9"/>
        <v>0</v>
      </c>
      <c r="AY40" s="12">
        <f t="shared" si="10"/>
        <v>0</v>
      </c>
      <c r="AZ40" s="12">
        <f t="shared" si="11"/>
        <v>0</v>
      </c>
      <c r="BA40" s="13">
        <v>1</v>
      </c>
      <c r="BB40" s="52">
        <v>0.38300000000000001</v>
      </c>
      <c r="BC40" s="48">
        <f t="shared" si="12"/>
        <v>0.10851871947911015</v>
      </c>
      <c r="BD40" s="48">
        <f t="shared" si="13"/>
        <v>2.6044492674986435</v>
      </c>
      <c r="BE40" s="48">
        <f t="shared" si="14"/>
        <v>0.19138755980861244</v>
      </c>
    </row>
    <row r="41" spans="1:57">
      <c r="A41" s="15" t="s">
        <v>217</v>
      </c>
      <c r="B41" s="9" t="str">
        <f>"37"</f>
        <v>37</v>
      </c>
      <c r="C41" s="9" t="str">
        <f>"4040 12776 77 4-1"</f>
        <v>4040 12776 77 4-1</v>
      </c>
      <c r="D41" s="9" t="str">
        <f>"1133 Z"</f>
        <v>1133 Z</v>
      </c>
      <c r="E41" s="10">
        <f t="shared" si="15"/>
        <v>934.46509848741789</v>
      </c>
      <c r="F41" s="11">
        <f t="shared" si="16"/>
        <v>89.682916666666657</v>
      </c>
      <c r="G41" s="11">
        <v>645.71699999999998</v>
      </c>
      <c r="H41" s="11">
        <v>74.283000000000001</v>
      </c>
      <c r="I41" s="11">
        <v>603.4</v>
      </c>
      <c r="J41" s="11">
        <v>201.7</v>
      </c>
      <c r="K41" s="11">
        <v>2512096.12</v>
      </c>
      <c r="L41" s="11">
        <v>38743</v>
      </c>
      <c r="M41" s="11">
        <f t="shared" si="17"/>
        <v>64.84</v>
      </c>
      <c r="N41" s="13">
        <v>6</v>
      </c>
      <c r="O41" s="14">
        <v>16.382999999999999</v>
      </c>
      <c r="P41" s="13">
        <v>11</v>
      </c>
      <c r="Q41" s="14">
        <v>16.399999999999999</v>
      </c>
      <c r="R41" s="12">
        <f t="shared" si="18"/>
        <v>1.0221195972848787</v>
      </c>
      <c r="S41" s="12">
        <f t="shared" si="19"/>
        <v>24.53087033483709</v>
      </c>
      <c r="T41" s="12">
        <f t="shared" si="20"/>
        <v>1.8230029830957906</v>
      </c>
      <c r="U41" s="13">
        <v>69</v>
      </c>
      <c r="V41" s="14">
        <v>40.633000000000003</v>
      </c>
      <c r="W41" s="12">
        <f t="shared" si="0"/>
        <v>6.4114774738778753</v>
      </c>
      <c r="X41" s="12">
        <f t="shared" si="1"/>
        <v>153.87545937306902</v>
      </c>
      <c r="Y41" s="12">
        <f t="shared" si="2"/>
        <v>11.435200530328141</v>
      </c>
      <c r="Z41" s="13">
        <v>4</v>
      </c>
      <c r="AA41" s="14">
        <v>0.86699999999999999</v>
      </c>
      <c r="AB41" s="10">
        <v>0</v>
      </c>
      <c r="AC41" s="12">
        <f t="shared" si="3"/>
        <v>0</v>
      </c>
      <c r="AD41" s="12">
        <f t="shared" si="4"/>
        <v>0</v>
      </c>
      <c r="AE41" s="12">
        <f t="shared" si="5"/>
        <v>0</v>
      </c>
      <c r="AF41" s="13">
        <v>90</v>
      </c>
      <c r="AG41" s="52">
        <v>74.283000000000001</v>
      </c>
      <c r="AH41" s="61">
        <v>80</v>
      </c>
      <c r="AI41" s="16">
        <f t="shared" si="21"/>
        <v>7.4335970711627537</v>
      </c>
      <c r="AJ41" s="48">
        <f t="shared" si="22"/>
        <v>178.40632970790611</v>
      </c>
      <c r="AK41" s="48">
        <f t="shared" si="23"/>
        <v>13.258203513423931</v>
      </c>
      <c r="AL41" s="57">
        <v>47</v>
      </c>
      <c r="AM41" s="14">
        <v>24.882999999999999</v>
      </c>
      <c r="AN41" s="12">
        <f t="shared" si="24"/>
        <v>4.3672382793081184</v>
      </c>
      <c r="AO41" s="12">
        <f t="shared" si="25"/>
        <v>104.81371870339483</v>
      </c>
      <c r="AP41" s="12">
        <f t="shared" si="26"/>
        <v>7.7891945641365599</v>
      </c>
      <c r="AQ41" s="13">
        <v>12</v>
      </c>
      <c r="AR41" s="14">
        <v>6.633</v>
      </c>
      <c r="AS41" s="12">
        <f t="shared" si="6"/>
        <v>1.115039560674413</v>
      </c>
      <c r="AT41" s="12">
        <f t="shared" si="7"/>
        <v>26.760949456185916</v>
      </c>
      <c r="AU41" s="12">
        <f t="shared" si="8"/>
        <v>1.9887305270135898</v>
      </c>
      <c r="AV41" s="13">
        <v>8</v>
      </c>
      <c r="AW41" s="14">
        <v>8.2829999999999995</v>
      </c>
      <c r="AX41" s="12">
        <f t="shared" si="9"/>
        <v>0.74335970711627541</v>
      </c>
      <c r="AY41" s="12">
        <f t="shared" si="10"/>
        <v>17.840632970790608</v>
      </c>
      <c r="AZ41" s="12">
        <f t="shared" si="11"/>
        <v>1.3258203513423932</v>
      </c>
      <c r="BA41" s="13">
        <v>2</v>
      </c>
      <c r="BB41" s="52">
        <v>0.83299999999999996</v>
      </c>
      <c r="BC41" s="48">
        <f t="shared" si="12"/>
        <v>0.18583992677906885</v>
      </c>
      <c r="BD41" s="48">
        <f t="shared" si="13"/>
        <v>4.460158242697652</v>
      </c>
      <c r="BE41" s="48">
        <f t="shared" si="14"/>
        <v>0.33145508783559829</v>
      </c>
    </row>
    <row r="42" spans="1:57">
      <c r="A42" s="15" t="s">
        <v>217</v>
      </c>
      <c r="B42" s="9" t="str">
        <f>"38"</f>
        <v>38</v>
      </c>
      <c r="C42" s="9" t="str">
        <f>"4040 13079 59 4-1"</f>
        <v>4040 13079 59 4-1</v>
      </c>
      <c r="D42" s="9" t="str">
        <f>"03 Z"</f>
        <v>03 Z</v>
      </c>
      <c r="E42" s="10">
        <f t="shared" si="15"/>
        <v>953.67631256697871</v>
      </c>
      <c r="F42" s="11">
        <f t="shared" si="16"/>
        <v>96.294027777777771</v>
      </c>
      <c r="G42" s="11">
        <v>693.31700000000001</v>
      </c>
      <c r="H42" s="11">
        <v>26.683</v>
      </c>
      <c r="I42" s="11">
        <v>661.2</v>
      </c>
      <c r="J42" s="11">
        <v>212.6</v>
      </c>
      <c r="K42" s="11">
        <v>2417733.88</v>
      </c>
      <c r="L42" s="11">
        <v>41599</v>
      </c>
      <c r="M42" s="11">
        <f t="shared" si="17"/>
        <v>58.12</v>
      </c>
      <c r="N42" s="13">
        <v>4</v>
      </c>
      <c r="O42" s="14">
        <v>1.417</v>
      </c>
      <c r="P42" s="13">
        <v>5</v>
      </c>
      <c r="Q42" s="14">
        <v>11.333</v>
      </c>
      <c r="R42" s="12">
        <f t="shared" si="18"/>
        <v>0.43270250116469089</v>
      </c>
      <c r="S42" s="12">
        <f t="shared" si="19"/>
        <v>10.384860027952582</v>
      </c>
      <c r="T42" s="12">
        <f t="shared" si="20"/>
        <v>0.75620084694494849</v>
      </c>
      <c r="U42" s="13">
        <v>15</v>
      </c>
      <c r="V42" s="14">
        <v>13.217000000000001</v>
      </c>
      <c r="W42" s="12">
        <f t="shared" si="0"/>
        <v>1.2981075034940728</v>
      </c>
      <c r="X42" s="12">
        <f t="shared" si="1"/>
        <v>31.154580083857745</v>
      </c>
      <c r="Y42" s="12">
        <f t="shared" si="2"/>
        <v>2.2686025408348454</v>
      </c>
      <c r="Z42" s="13">
        <v>1</v>
      </c>
      <c r="AA42" s="14">
        <v>0.71699999999999997</v>
      </c>
      <c r="AB42" s="10">
        <v>0</v>
      </c>
      <c r="AC42" s="12">
        <f t="shared" si="3"/>
        <v>0</v>
      </c>
      <c r="AD42" s="12">
        <f t="shared" si="4"/>
        <v>0</v>
      </c>
      <c r="AE42" s="12">
        <f t="shared" si="5"/>
        <v>0</v>
      </c>
      <c r="AF42" s="13">
        <v>25</v>
      </c>
      <c r="AG42" s="52">
        <v>26.684000000000001</v>
      </c>
      <c r="AH42" s="61">
        <v>20</v>
      </c>
      <c r="AI42" s="16">
        <f t="shared" si="21"/>
        <v>1.7308100046587636</v>
      </c>
      <c r="AJ42" s="48">
        <f t="shared" si="22"/>
        <v>41.539440111810329</v>
      </c>
      <c r="AK42" s="48">
        <f t="shared" si="23"/>
        <v>3.024803387779794</v>
      </c>
      <c r="AL42" s="57">
        <v>5</v>
      </c>
      <c r="AM42" s="14">
        <v>4.7169999999999996</v>
      </c>
      <c r="AN42" s="12">
        <f t="shared" si="24"/>
        <v>0.43270250116469089</v>
      </c>
      <c r="AO42" s="12">
        <f t="shared" si="25"/>
        <v>10.384860027952582</v>
      </c>
      <c r="AP42" s="12">
        <f t="shared" si="26"/>
        <v>0.75620084694494849</v>
      </c>
      <c r="AQ42" s="13">
        <v>8</v>
      </c>
      <c r="AR42" s="14">
        <v>3.4830000000000001</v>
      </c>
      <c r="AS42" s="12">
        <f t="shared" si="6"/>
        <v>0.6923240018635054</v>
      </c>
      <c r="AT42" s="12">
        <f t="shared" si="7"/>
        <v>16.615776044724129</v>
      </c>
      <c r="AU42" s="12">
        <f t="shared" si="8"/>
        <v>1.2099213551119177</v>
      </c>
      <c r="AV42" s="13">
        <v>1</v>
      </c>
      <c r="AW42" s="14">
        <v>0.46700000000000003</v>
      </c>
      <c r="AX42" s="12">
        <f t="shared" si="9"/>
        <v>8.6540500232938175E-2</v>
      </c>
      <c r="AY42" s="12">
        <f t="shared" si="10"/>
        <v>2.0769720055905161</v>
      </c>
      <c r="AZ42" s="12">
        <f t="shared" si="11"/>
        <v>0.15124016938898971</v>
      </c>
      <c r="BA42" s="13">
        <v>1</v>
      </c>
      <c r="BB42" s="52">
        <v>4.55</v>
      </c>
      <c r="BC42" s="48">
        <f t="shared" si="12"/>
        <v>8.6540500232938175E-2</v>
      </c>
      <c r="BD42" s="48">
        <f t="shared" si="13"/>
        <v>2.0769720055905161</v>
      </c>
      <c r="BE42" s="48">
        <f t="shared" si="14"/>
        <v>0.15124016938898971</v>
      </c>
    </row>
    <row r="43" spans="1:57">
      <c r="A43" s="15" t="s">
        <v>217</v>
      </c>
      <c r="B43" s="9" t="str">
        <f>"39"</f>
        <v>39</v>
      </c>
      <c r="C43" s="9" t="str">
        <f>"4040 11083 123 1-1"</f>
        <v>4040 11083 123 1-1</v>
      </c>
      <c r="D43" s="9" t="str">
        <f>"1020 Z"</f>
        <v>1020 Z</v>
      </c>
      <c r="E43" s="10">
        <f t="shared" si="15"/>
        <v>794.17459382102868</v>
      </c>
      <c r="F43" s="11">
        <f t="shared" si="16"/>
        <v>82.493055555555571</v>
      </c>
      <c r="G43" s="11">
        <v>593.95000000000005</v>
      </c>
      <c r="H43" s="11">
        <v>126.05</v>
      </c>
      <c r="I43" s="11">
        <v>471.7</v>
      </c>
      <c r="J43" s="11">
        <v>146.19999999999999</v>
      </c>
      <c r="K43" s="11">
        <v>4219777.17</v>
      </c>
      <c r="L43" s="11">
        <v>35637</v>
      </c>
      <c r="M43" s="11">
        <f t="shared" si="17"/>
        <v>118.41</v>
      </c>
      <c r="N43" s="13">
        <v>7</v>
      </c>
      <c r="O43" s="14">
        <v>2.25</v>
      </c>
      <c r="P43" s="13">
        <v>45</v>
      </c>
      <c r="Q43" s="14">
        <v>79.766999999999996</v>
      </c>
      <c r="R43" s="12">
        <f t="shared" si="18"/>
        <v>4.5458371916828009</v>
      </c>
      <c r="S43" s="12">
        <f t="shared" si="19"/>
        <v>109.10009260038723</v>
      </c>
      <c r="T43" s="12">
        <f t="shared" si="20"/>
        <v>9.5399618401526389</v>
      </c>
      <c r="U43" s="13">
        <v>51</v>
      </c>
      <c r="V43" s="14">
        <v>37.817</v>
      </c>
      <c r="W43" s="12">
        <f t="shared" si="0"/>
        <v>5.1519488172405081</v>
      </c>
      <c r="X43" s="12">
        <f t="shared" si="1"/>
        <v>123.64677161377219</v>
      </c>
      <c r="Y43" s="12">
        <f t="shared" si="2"/>
        <v>10.811956752172991</v>
      </c>
      <c r="Z43" s="13">
        <v>8</v>
      </c>
      <c r="AA43" s="14">
        <v>6.2169999999999996</v>
      </c>
      <c r="AB43" s="10">
        <v>0</v>
      </c>
      <c r="AC43" s="12">
        <f t="shared" si="3"/>
        <v>0</v>
      </c>
      <c r="AD43" s="12">
        <f t="shared" si="4"/>
        <v>0</v>
      </c>
      <c r="AE43" s="12">
        <f t="shared" si="5"/>
        <v>0</v>
      </c>
      <c r="AF43" s="13">
        <v>111</v>
      </c>
      <c r="AG43" s="52">
        <v>126.051</v>
      </c>
      <c r="AH43" s="61">
        <v>96</v>
      </c>
      <c r="AI43" s="16">
        <f t="shared" si="21"/>
        <v>9.697786008923309</v>
      </c>
      <c r="AJ43" s="48">
        <f t="shared" si="22"/>
        <v>232.74686421415942</v>
      </c>
      <c r="AK43" s="48">
        <f t="shared" si="23"/>
        <v>20.351918592325632</v>
      </c>
      <c r="AL43" s="57">
        <v>12</v>
      </c>
      <c r="AM43" s="14">
        <v>5.4669999999999996</v>
      </c>
      <c r="AN43" s="12">
        <f t="shared" si="24"/>
        <v>1.2122232511154136</v>
      </c>
      <c r="AO43" s="12">
        <f t="shared" si="25"/>
        <v>29.093358026769927</v>
      </c>
      <c r="AP43" s="12">
        <f t="shared" si="26"/>
        <v>2.543989824040704</v>
      </c>
      <c r="AQ43" s="13">
        <v>27</v>
      </c>
      <c r="AR43" s="14">
        <v>21</v>
      </c>
      <c r="AS43" s="12">
        <f t="shared" si="6"/>
        <v>2.7275023150096809</v>
      </c>
      <c r="AT43" s="12">
        <f t="shared" si="7"/>
        <v>65.460055560232334</v>
      </c>
      <c r="AU43" s="12">
        <f t="shared" si="8"/>
        <v>5.7239771040915839</v>
      </c>
      <c r="AV43" s="13">
        <v>5</v>
      </c>
      <c r="AW43" s="14">
        <v>4.117</v>
      </c>
      <c r="AX43" s="12">
        <f t="shared" si="9"/>
        <v>0.50509302129808897</v>
      </c>
      <c r="AY43" s="12">
        <f t="shared" si="10"/>
        <v>12.122232511154136</v>
      </c>
      <c r="AZ43" s="12">
        <f t="shared" si="11"/>
        <v>1.0599957600169601</v>
      </c>
      <c r="BA43" s="13">
        <v>7</v>
      </c>
      <c r="BB43" s="52">
        <v>7.2329999999999997</v>
      </c>
      <c r="BC43" s="48">
        <f t="shared" si="12"/>
        <v>0.70713022981732465</v>
      </c>
      <c r="BD43" s="48">
        <f t="shared" si="13"/>
        <v>16.971125515615793</v>
      </c>
      <c r="BE43" s="48">
        <f t="shared" si="14"/>
        <v>1.4839940640237439</v>
      </c>
    </row>
    <row r="44" spans="1:57">
      <c r="A44" s="15" t="s">
        <v>217</v>
      </c>
      <c r="B44" s="9" t="str">
        <f>"40"</f>
        <v>40</v>
      </c>
      <c r="C44" s="9" t="str">
        <f>"6060173120110 dobby"</f>
        <v>6060173120110 dobby</v>
      </c>
      <c r="D44" s="9" t="str">
        <f>"1007 Z"</f>
        <v>1007 Z</v>
      </c>
      <c r="E44" s="10">
        <f t="shared" si="15"/>
        <v>500.07870297497249</v>
      </c>
      <c r="F44" s="11">
        <f t="shared" si="16"/>
        <v>88.2361111111111</v>
      </c>
      <c r="G44" s="11">
        <v>635.29999999999995</v>
      </c>
      <c r="H44" s="11">
        <v>84.7</v>
      </c>
      <c r="I44" s="11">
        <v>317.7</v>
      </c>
      <c r="J44" s="11">
        <v>68.099999999999994</v>
      </c>
      <c r="K44" s="11">
        <v>2433834.2999999998</v>
      </c>
      <c r="L44" s="11">
        <v>38118</v>
      </c>
      <c r="M44" s="11">
        <f t="shared" si="17"/>
        <v>63.849999999999994</v>
      </c>
      <c r="N44" s="13">
        <v>5</v>
      </c>
      <c r="O44" s="14">
        <v>2.133</v>
      </c>
      <c r="P44" s="13">
        <v>22</v>
      </c>
      <c r="Q44" s="14">
        <v>40.033000000000001</v>
      </c>
      <c r="R44" s="12">
        <f t="shared" si="18"/>
        <v>2.0777585392727849</v>
      </c>
      <c r="S44" s="12">
        <f t="shared" si="19"/>
        <v>49.86620494254683</v>
      </c>
      <c r="T44" s="12">
        <f t="shared" si="20"/>
        <v>6.9247717972930438</v>
      </c>
      <c r="U44" s="13">
        <v>57</v>
      </c>
      <c r="V44" s="14">
        <v>39.366999999999997</v>
      </c>
      <c r="W44" s="12">
        <f t="shared" si="0"/>
        <v>5.3832834881158513</v>
      </c>
      <c r="X44" s="12">
        <f t="shared" si="1"/>
        <v>129.19880371478044</v>
      </c>
      <c r="Y44" s="12">
        <f t="shared" si="2"/>
        <v>17.941454202077431</v>
      </c>
      <c r="Z44" s="13">
        <v>3</v>
      </c>
      <c r="AA44" s="14">
        <v>3.1669999999999998</v>
      </c>
      <c r="AB44" s="10">
        <v>0</v>
      </c>
      <c r="AC44" s="12">
        <f t="shared" si="3"/>
        <v>0</v>
      </c>
      <c r="AD44" s="12">
        <f t="shared" si="4"/>
        <v>0</v>
      </c>
      <c r="AE44" s="12">
        <f t="shared" si="5"/>
        <v>0</v>
      </c>
      <c r="AF44" s="13">
        <v>87</v>
      </c>
      <c r="AG44" s="52">
        <v>84.7</v>
      </c>
      <c r="AH44" s="61">
        <v>79</v>
      </c>
      <c r="AI44" s="16">
        <f t="shared" si="21"/>
        <v>7.4610420273886362</v>
      </c>
      <c r="AJ44" s="48">
        <f t="shared" si="22"/>
        <v>179.06500865732727</v>
      </c>
      <c r="AK44" s="48">
        <f t="shared" si="23"/>
        <v>24.866225999370478</v>
      </c>
      <c r="AL44" s="57">
        <v>22</v>
      </c>
      <c r="AM44" s="14">
        <v>11.217000000000001</v>
      </c>
      <c r="AN44" s="12">
        <f t="shared" si="24"/>
        <v>2.0777585392727849</v>
      </c>
      <c r="AO44" s="12">
        <f t="shared" si="25"/>
        <v>49.86620494254683</v>
      </c>
      <c r="AP44" s="12">
        <f t="shared" si="26"/>
        <v>6.9247717972930438</v>
      </c>
      <c r="AQ44" s="13">
        <v>33</v>
      </c>
      <c r="AR44" s="14">
        <v>24.817</v>
      </c>
      <c r="AS44" s="12">
        <f t="shared" si="6"/>
        <v>3.1166378089091769</v>
      </c>
      <c r="AT44" s="12">
        <f t="shared" si="7"/>
        <v>74.799307413820245</v>
      </c>
      <c r="AU44" s="12">
        <f t="shared" si="8"/>
        <v>10.387157695939566</v>
      </c>
      <c r="AV44" s="13">
        <v>0</v>
      </c>
      <c r="AW44" s="14">
        <v>0</v>
      </c>
      <c r="AX44" s="12">
        <f t="shared" si="9"/>
        <v>0</v>
      </c>
      <c r="AY44" s="12">
        <f t="shared" si="10"/>
        <v>0</v>
      </c>
      <c r="AZ44" s="12">
        <f t="shared" si="11"/>
        <v>0</v>
      </c>
      <c r="BA44" s="13">
        <v>2</v>
      </c>
      <c r="BB44" s="52">
        <v>3.3330000000000002</v>
      </c>
      <c r="BC44" s="48">
        <f t="shared" si="12"/>
        <v>0.1888871399338895</v>
      </c>
      <c r="BD44" s="48">
        <f t="shared" si="13"/>
        <v>4.5332913584133481</v>
      </c>
      <c r="BE44" s="48">
        <f t="shared" si="14"/>
        <v>0.62952470884482215</v>
      </c>
    </row>
    <row r="45" spans="1:57">
      <c r="A45" s="15" t="s">
        <v>217</v>
      </c>
      <c r="B45" s="9" t="str">
        <f>"41"</f>
        <v>41</v>
      </c>
      <c r="C45" s="9" t="str">
        <f>"4040 11083 123 1-1"</f>
        <v>4040 11083 123 1-1</v>
      </c>
      <c r="D45" s="9" t="str">
        <f>"1024 Z"</f>
        <v>1024 Z</v>
      </c>
      <c r="E45" s="10">
        <f t="shared" si="15"/>
        <v>791.51307189055365</v>
      </c>
      <c r="F45" s="11">
        <f t="shared" si="16"/>
        <v>93.175972222222214</v>
      </c>
      <c r="G45" s="11">
        <v>670.86699999999996</v>
      </c>
      <c r="H45" s="11">
        <v>49.133000000000003</v>
      </c>
      <c r="I45" s="11">
        <v>531</v>
      </c>
      <c r="J45" s="11">
        <v>164.4</v>
      </c>
      <c r="K45" s="11">
        <v>4581080.12</v>
      </c>
      <c r="L45" s="11">
        <v>40252</v>
      </c>
      <c r="M45" s="11">
        <f t="shared" si="17"/>
        <v>113.81</v>
      </c>
      <c r="N45" s="13">
        <v>7</v>
      </c>
      <c r="O45" s="14">
        <v>2.2170000000000001</v>
      </c>
      <c r="P45" s="13">
        <v>15</v>
      </c>
      <c r="Q45" s="14">
        <v>28.933</v>
      </c>
      <c r="R45" s="12">
        <f t="shared" si="18"/>
        <v>1.3415475794755145</v>
      </c>
      <c r="S45" s="12">
        <f t="shared" si="19"/>
        <v>32.197141907412352</v>
      </c>
      <c r="T45" s="12">
        <f t="shared" si="20"/>
        <v>2.8248587570621471</v>
      </c>
      <c r="U45" s="13">
        <v>19</v>
      </c>
      <c r="V45" s="14">
        <v>15.9</v>
      </c>
      <c r="W45" s="12">
        <f t="shared" si="0"/>
        <v>1.6992936006689852</v>
      </c>
      <c r="X45" s="12">
        <f t="shared" si="1"/>
        <v>40.78304641605564</v>
      </c>
      <c r="Y45" s="12">
        <f t="shared" si="2"/>
        <v>3.5781544256120528</v>
      </c>
      <c r="Z45" s="13">
        <v>4</v>
      </c>
      <c r="AA45" s="14">
        <v>2.0830000000000002</v>
      </c>
      <c r="AB45" s="10">
        <v>0</v>
      </c>
      <c r="AC45" s="12">
        <f t="shared" si="3"/>
        <v>0</v>
      </c>
      <c r="AD45" s="12">
        <f t="shared" si="4"/>
        <v>0</v>
      </c>
      <c r="AE45" s="12">
        <f t="shared" si="5"/>
        <v>0</v>
      </c>
      <c r="AF45" s="13">
        <v>45</v>
      </c>
      <c r="AG45" s="52">
        <v>49.133000000000003</v>
      </c>
      <c r="AH45" s="61">
        <v>34</v>
      </c>
      <c r="AI45" s="16">
        <f t="shared" si="21"/>
        <v>3.0408411801444997</v>
      </c>
      <c r="AJ45" s="48">
        <f t="shared" si="22"/>
        <v>72.980188323467999</v>
      </c>
      <c r="AK45" s="48">
        <f t="shared" si="23"/>
        <v>6.4030131826741998</v>
      </c>
      <c r="AL45" s="57">
        <v>6</v>
      </c>
      <c r="AM45" s="14">
        <v>3.8170000000000002</v>
      </c>
      <c r="AN45" s="12">
        <f t="shared" si="24"/>
        <v>0.53661903179020587</v>
      </c>
      <c r="AO45" s="12">
        <f t="shared" si="25"/>
        <v>12.87885676296494</v>
      </c>
      <c r="AP45" s="12">
        <f t="shared" si="26"/>
        <v>1.1299435028248588</v>
      </c>
      <c r="AQ45" s="13">
        <v>4</v>
      </c>
      <c r="AR45" s="14">
        <v>3.9</v>
      </c>
      <c r="AS45" s="12">
        <f t="shared" si="6"/>
        <v>0.35774602119347054</v>
      </c>
      <c r="AT45" s="12">
        <f t="shared" si="7"/>
        <v>8.5859045086432939</v>
      </c>
      <c r="AU45" s="12">
        <f t="shared" si="8"/>
        <v>0.75329566854990582</v>
      </c>
      <c r="AV45" s="13">
        <v>5</v>
      </c>
      <c r="AW45" s="14">
        <v>3.2669999999999999</v>
      </c>
      <c r="AX45" s="12">
        <f t="shared" si="9"/>
        <v>0.44718252649183821</v>
      </c>
      <c r="AY45" s="12">
        <f t="shared" si="10"/>
        <v>10.732380635804116</v>
      </c>
      <c r="AZ45" s="12">
        <f t="shared" si="11"/>
        <v>0.94161958568738224</v>
      </c>
      <c r="BA45" s="13">
        <v>4</v>
      </c>
      <c r="BB45" s="52">
        <v>4.9169999999999998</v>
      </c>
      <c r="BC45" s="48">
        <f t="shared" si="12"/>
        <v>0.35774602119347054</v>
      </c>
      <c r="BD45" s="48">
        <f t="shared" si="13"/>
        <v>8.5859045086432939</v>
      </c>
      <c r="BE45" s="48">
        <f t="shared" si="14"/>
        <v>0.75329566854990582</v>
      </c>
    </row>
    <row r="46" spans="1:57">
      <c r="A46" s="15" t="s">
        <v>217</v>
      </c>
      <c r="B46" s="9" t="str">
        <f>"42"</f>
        <v>42</v>
      </c>
      <c r="C46" s="9" t="str">
        <f>"4040 11082 124 1-1"</f>
        <v>4040 11082 124 1-1</v>
      </c>
      <c r="D46" s="9" t="str">
        <f>"1025 Z"</f>
        <v>1025 Z</v>
      </c>
      <c r="E46" s="10">
        <f t="shared" si="15"/>
        <v>783.31690615759715</v>
      </c>
      <c r="F46" s="11">
        <f t="shared" si="16"/>
        <v>77.641639016856544</v>
      </c>
      <c r="G46" s="11">
        <v>559.03300000000002</v>
      </c>
      <c r="H46" s="11">
        <v>160.98400000000001</v>
      </c>
      <c r="I46" s="11">
        <v>437.9</v>
      </c>
      <c r="J46" s="11">
        <v>137.30000000000001</v>
      </c>
      <c r="K46" s="11">
        <v>3899257.5</v>
      </c>
      <c r="L46" s="11">
        <v>33542</v>
      </c>
      <c r="M46" s="11">
        <f t="shared" si="17"/>
        <v>116.25</v>
      </c>
      <c r="N46" s="13">
        <v>16</v>
      </c>
      <c r="O46" s="14">
        <v>8.0670000000000002</v>
      </c>
      <c r="P46" s="13">
        <v>28</v>
      </c>
      <c r="Q46" s="14">
        <v>49.216999999999999</v>
      </c>
      <c r="R46" s="12">
        <f t="shared" si="18"/>
        <v>3.0051893179830169</v>
      </c>
      <c r="S46" s="12">
        <f t="shared" si="19"/>
        <v>72.124543631592402</v>
      </c>
      <c r="T46" s="12">
        <f t="shared" si="20"/>
        <v>6.394153916419274</v>
      </c>
      <c r="U46" s="13">
        <v>69</v>
      </c>
      <c r="V46" s="14">
        <v>92.417000000000002</v>
      </c>
      <c r="W46" s="12">
        <f t="shared" si="0"/>
        <v>7.4056451050295777</v>
      </c>
      <c r="X46" s="12">
        <f t="shared" si="1"/>
        <v>177.73548252070987</v>
      </c>
      <c r="Y46" s="12">
        <f t="shared" si="2"/>
        <v>15.757022151176068</v>
      </c>
      <c r="Z46" s="13">
        <v>5</v>
      </c>
      <c r="AA46" s="14">
        <v>11.282999999999999</v>
      </c>
      <c r="AB46" s="10">
        <v>0</v>
      </c>
      <c r="AC46" s="12">
        <f t="shared" si="3"/>
        <v>0</v>
      </c>
      <c r="AD46" s="12">
        <f t="shared" si="4"/>
        <v>0</v>
      </c>
      <c r="AE46" s="12">
        <f t="shared" si="5"/>
        <v>0</v>
      </c>
      <c r="AF46" s="13">
        <v>118</v>
      </c>
      <c r="AG46" s="52">
        <v>160.98400000000001</v>
      </c>
      <c r="AH46" s="61">
        <v>97</v>
      </c>
      <c r="AI46" s="16">
        <f t="shared" si="21"/>
        <v>10.410834423012595</v>
      </c>
      <c r="AJ46" s="48">
        <f t="shared" si="22"/>
        <v>249.86002615230228</v>
      </c>
      <c r="AK46" s="48">
        <f t="shared" si="23"/>
        <v>22.151176067595344</v>
      </c>
      <c r="AL46" s="57">
        <v>28</v>
      </c>
      <c r="AM46" s="14">
        <v>42.667000000000002</v>
      </c>
      <c r="AN46" s="12">
        <f t="shared" si="24"/>
        <v>3.0051893179830169</v>
      </c>
      <c r="AO46" s="12">
        <f t="shared" si="25"/>
        <v>72.124543631592402</v>
      </c>
      <c r="AP46" s="12">
        <f t="shared" si="26"/>
        <v>6.394153916419274</v>
      </c>
      <c r="AQ46" s="13">
        <v>21</v>
      </c>
      <c r="AR46" s="14">
        <v>24.082999999999998</v>
      </c>
      <c r="AS46" s="12">
        <f t="shared" si="6"/>
        <v>2.2538919884872626</v>
      </c>
      <c r="AT46" s="12">
        <f t="shared" si="7"/>
        <v>54.093407723694305</v>
      </c>
      <c r="AU46" s="12">
        <f t="shared" si="8"/>
        <v>4.7956154373144555</v>
      </c>
      <c r="AV46" s="13">
        <v>13</v>
      </c>
      <c r="AW46" s="14">
        <v>16.817</v>
      </c>
      <c r="AX46" s="12">
        <f t="shared" si="9"/>
        <v>1.3952664690635437</v>
      </c>
      <c r="AY46" s="12">
        <f t="shared" si="10"/>
        <v>33.486395257525047</v>
      </c>
      <c r="AZ46" s="12">
        <f t="shared" si="11"/>
        <v>2.9687143183375202</v>
      </c>
      <c r="BA46" s="13">
        <v>7</v>
      </c>
      <c r="BB46" s="52">
        <v>8.85</v>
      </c>
      <c r="BC46" s="48">
        <f t="shared" si="12"/>
        <v>0.75129732949575423</v>
      </c>
      <c r="BD46" s="48">
        <f t="shared" si="13"/>
        <v>18.031135907898101</v>
      </c>
      <c r="BE46" s="48">
        <f t="shared" si="14"/>
        <v>1.5985384791048185</v>
      </c>
    </row>
    <row r="47" spans="1:57">
      <c r="A47" s="15" t="s">
        <v>217</v>
      </c>
      <c r="B47" s="9" t="str">
        <f>"43"</f>
        <v>43</v>
      </c>
      <c r="C47" s="9" t="str">
        <f>"6060 164113 128 1-1"</f>
        <v>6060 164113 128 1-1</v>
      </c>
      <c r="D47" s="9" t="str">
        <f>"1164"</f>
        <v>1164</v>
      </c>
      <c r="E47" s="10">
        <f t="shared" si="15"/>
        <v>536.59266238332418</v>
      </c>
      <c r="F47" s="11">
        <f t="shared" si="16"/>
        <v>80.780565987422492</v>
      </c>
      <c r="G47" s="11">
        <v>581.63300000000004</v>
      </c>
      <c r="H47" s="11">
        <v>138.38300000000001</v>
      </c>
      <c r="I47" s="11">
        <v>312.10000000000002</v>
      </c>
      <c r="J47" s="11">
        <v>71.099999999999994</v>
      </c>
      <c r="K47" s="11">
        <v>3275526.28</v>
      </c>
      <c r="L47" s="11">
        <v>34898</v>
      </c>
      <c r="M47" s="11">
        <f t="shared" si="17"/>
        <v>93.86</v>
      </c>
      <c r="N47" s="13">
        <v>13</v>
      </c>
      <c r="O47" s="14">
        <v>24.332999999999998</v>
      </c>
      <c r="P47" s="13">
        <v>17</v>
      </c>
      <c r="Q47" s="14">
        <v>66.617000000000004</v>
      </c>
      <c r="R47" s="12">
        <f t="shared" si="18"/>
        <v>1.7536831644696913</v>
      </c>
      <c r="S47" s="12">
        <f t="shared" si="19"/>
        <v>42.088395947272588</v>
      </c>
      <c r="T47" s="12">
        <f t="shared" si="20"/>
        <v>5.446972124319128</v>
      </c>
      <c r="U47" s="13">
        <v>44</v>
      </c>
      <c r="V47" s="14">
        <v>23.966999999999999</v>
      </c>
      <c r="W47" s="12">
        <f t="shared" si="0"/>
        <v>4.538944660980377</v>
      </c>
      <c r="X47" s="12">
        <f t="shared" si="1"/>
        <v>108.93467186352906</v>
      </c>
      <c r="Y47" s="12">
        <f t="shared" si="2"/>
        <v>14.098045498237743</v>
      </c>
      <c r="Z47" s="13">
        <v>2</v>
      </c>
      <c r="AA47" s="14">
        <v>23.466000000000001</v>
      </c>
      <c r="AB47" s="10">
        <v>0</v>
      </c>
      <c r="AC47" s="12">
        <f t="shared" si="3"/>
        <v>0</v>
      </c>
      <c r="AD47" s="12">
        <f t="shared" si="4"/>
        <v>0</v>
      </c>
      <c r="AE47" s="12">
        <f t="shared" si="5"/>
        <v>0</v>
      </c>
      <c r="AF47" s="13">
        <v>76</v>
      </c>
      <c r="AG47" s="52">
        <v>138.38300000000001</v>
      </c>
      <c r="AH47" s="61">
        <v>61</v>
      </c>
      <c r="AI47" s="16">
        <f t="shared" si="21"/>
        <v>6.2926278254500687</v>
      </c>
      <c r="AJ47" s="48">
        <f t="shared" si="22"/>
        <v>151.02306781080165</v>
      </c>
      <c r="AK47" s="48">
        <f t="shared" si="23"/>
        <v>19.54501762255687</v>
      </c>
      <c r="AL47" s="57">
        <v>25</v>
      </c>
      <c r="AM47" s="14">
        <v>12</v>
      </c>
      <c r="AN47" s="12">
        <f t="shared" si="24"/>
        <v>2.5789458301024872</v>
      </c>
      <c r="AO47" s="12">
        <f t="shared" si="25"/>
        <v>61.894699922459694</v>
      </c>
      <c r="AP47" s="12">
        <f t="shared" si="26"/>
        <v>8.0102531239987176</v>
      </c>
      <c r="AQ47" s="13">
        <v>16</v>
      </c>
      <c r="AR47" s="14">
        <v>9</v>
      </c>
      <c r="AS47" s="12">
        <f t="shared" si="6"/>
        <v>1.6505253312655919</v>
      </c>
      <c r="AT47" s="12">
        <f t="shared" si="7"/>
        <v>39.612607950374205</v>
      </c>
      <c r="AU47" s="12">
        <f t="shared" si="8"/>
        <v>5.1265619993591791</v>
      </c>
      <c r="AV47" s="13">
        <v>1</v>
      </c>
      <c r="AW47" s="14">
        <v>0.33300000000000002</v>
      </c>
      <c r="AX47" s="12">
        <f t="shared" si="9"/>
        <v>0.10315783320409949</v>
      </c>
      <c r="AY47" s="12">
        <f t="shared" si="10"/>
        <v>2.4757879968983878</v>
      </c>
      <c r="AZ47" s="12">
        <f t="shared" si="11"/>
        <v>0.32041012495994869</v>
      </c>
      <c r="BA47" s="13">
        <v>2</v>
      </c>
      <c r="BB47" s="52">
        <v>2.633</v>
      </c>
      <c r="BC47" s="48">
        <f t="shared" si="12"/>
        <v>0.20631566640819898</v>
      </c>
      <c r="BD47" s="48">
        <f t="shared" si="13"/>
        <v>4.9515759937967756</v>
      </c>
      <c r="BE47" s="48">
        <f t="shared" si="14"/>
        <v>0.64082024991989739</v>
      </c>
    </row>
    <row r="48" spans="1:57">
      <c r="A48" s="15" t="s">
        <v>217</v>
      </c>
      <c r="B48" s="9" t="str">
        <f>"44"</f>
        <v>44</v>
      </c>
      <c r="C48" s="9" t="str">
        <f>"6060 18587 123 4-1"</f>
        <v>6060 18587 123 4-1</v>
      </c>
      <c r="D48" s="9" t="str">
        <f>"1172"</f>
        <v>1172</v>
      </c>
      <c r="E48" s="10">
        <f t="shared" si="15"/>
        <v>611.33490368386867</v>
      </c>
      <c r="F48" s="11">
        <f t="shared" si="16"/>
        <v>83.196805555555557</v>
      </c>
      <c r="G48" s="11">
        <v>599.01700000000005</v>
      </c>
      <c r="H48" s="11">
        <v>120.983</v>
      </c>
      <c r="I48" s="11">
        <v>366.2</v>
      </c>
      <c r="J48" s="11">
        <v>106.9</v>
      </c>
      <c r="K48" s="11">
        <v>3390314.53</v>
      </c>
      <c r="L48" s="11">
        <v>35941</v>
      </c>
      <c r="M48" s="11">
        <f t="shared" si="17"/>
        <v>94.33</v>
      </c>
      <c r="N48" s="13">
        <v>5</v>
      </c>
      <c r="O48" s="14">
        <v>2.2330000000000001</v>
      </c>
      <c r="P48" s="13">
        <v>41</v>
      </c>
      <c r="Q48" s="14">
        <v>82.632999999999996</v>
      </c>
      <c r="R48" s="12">
        <f t="shared" si="18"/>
        <v>4.106728189684099</v>
      </c>
      <c r="S48" s="12">
        <f t="shared" si="19"/>
        <v>98.56147655241837</v>
      </c>
      <c r="T48" s="12">
        <f t="shared" si="20"/>
        <v>11.196067722555981</v>
      </c>
      <c r="U48" s="13">
        <v>44</v>
      </c>
      <c r="V48" s="14">
        <v>34.799999999999997</v>
      </c>
      <c r="W48" s="12">
        <f t="shared" si="0"/>
        <v>4.4072204962463495</v>
      </c>
      <c r="X48" s="12">
        <f t="shared" si="1"/>
        <v>105.7732919099124</v>
      </c>
      <c r="Y48" s="12">
        <f t="shared" si="2"/>
        <v>12.015292190060077</v>
      </c>
      <c r="Z48" s="13">
        <v>1</v>
      </c>
      <c r="AA48" s="14">
        <v>1.3169999999999999</v>
      </c>
      <c r="AB48" s="10">
        <v>0</v>
      </c>
      <c r="AC48" s="12">
        <f t="shared" si="3"/>
        <v>0</v>
      </c>
      <c r="AD48" s="12">
        <f t="shared" si="4"/>
        <v>0</v>
      </c>
      <c r="AE48" s="12">
        <f t="shared" si="5"/>
        <v>0</v>
      </c>
      <c r="AF48" s="13">
        <v>91</v>
      </c>
      <c r="AG48" s="52">
        <v>120.983</v>
      </c>
      <c r="AH48" s="61">
        <v>85</v>
      </c>
      <c r="AI48" s="16">
        <f t="shared" si="21"/>
        <v>8.5139486859304494</v>
      </c>
      <c r="AJ48" s="48">
        <f t="shared" si="22"/>
        <v>204.33476846233077</v>
      </c>
      <c r="AK48" s="48">
        <f t="shared" si="23"/>
        <v>23.211359912616057</v>
      </c>
      <c r="AL48" s="57">
        <v>21</v>
      </c>
      <c r="AM48" s="14">
        <v>17.567</v>
      </c>
      <c r="AN48" s="12">
        <f t="shared" si="24"/>
        <v>2.1034461459357581</v>
      </c>
      <c r="AO48" s="12">
        <f t="shared" si="25"/>
        <v>50.48270750245819</v>
      </c>
      <c r="AP48" s="12">
        <f t="shared" si="26"/>
        <v>5.7345712725286733</v>
      </c>
      <c r="AQ48" s="13">
        <v>20</v>
      </c>
      <c r="AR48" s="14">
        <v>14.8</v>
      </c>
      <c r="AS48" s="12">
        <f t="shared" si="6"/>
        <v>2.003282043748341</v>
      </c>
      <c r="AT48" s="12">
        <f t="shared" si="7"/>
        <v>48.078769049960179</v>
      </c>
      <c r="AU48" s="12">
        <f t="shared" si="8"/>
        <v>5.4614964500273073</v>
      </c>
      <c r="AV48" s="13">
        <v>2</v>
      </c>
      <c r="AW48" s="14">
        <v>1.5669999999999999</v>
      </c>
      <c r="AX48" s="12">
        <f t="shared" si="9"/>
        <v>0.20032820437483409</v>
      </c>
      <c r="AY48" s="12">
        <f t="shared" si="10"/>
        <v>4.8078769049960179</v>
      </c>
      <c r="AZ48" s="12">
        <f t="shared" si="11"/>
        <v>0.54614964500273078</v>
      </c>
      <c r="BA48" s="13">
        <v>1</v>
      </c>
      <c r="BB48" s="52">
        <v>0.86699999999999999</v>
      </c>
      <c r="BC48" s="48">
        <f t="shared" si="12"/>
        <v>0.10016410218741705</v>
      </c>
      <c r="BD48" s="48">
        <f t="shared" si="13"/>
        <v>2.403938452498009</v>
      </c>
      <c r="BE48" s="48">
        <f t="shared" si="14"/>
        <v>0.27307482250136539</v>
      </c>
    </row>
    <row r="49" spans="1:57">
      <c r="A49" s="15" t="s">
        <v>217</v>
      </c>
      <c r="B49" s="9" t="str">
        <f>"45"</f>
        <v>45</v>
      </c>
      <c r="C49" s="9" t="str">
        <f>"8080 8080 86 1-1"</f>
        <v>8080 8080 86 1-1</v>
      </c>
      <c r="D49" s="9" t="str">
        <f>"1073 Z"</f>
        <v>1073 Z</v>
      </c>
      <c r="E49" s="10">
        <f t="shared" si="15"/>
        <v>796.62929850575665</v>
      </c>
      <c r="F49" s="11">
        <f t="shared" si="16"/>
        <v>86.266249999999999</v>
      </c>
      <c r="G49" s="11">
        <v>621.11699999999996</v>
      </c>
      <c r="H49" s="11">
        <v>98.882999999999996</v>
      </c>
      <c r="I49" s="11">
        <v>494.8</v>
      </c>
      <c r="J49" s="11">
        <v>157.19999999999999</v>
      </c>
      <c r="K49" s="11">
        <v>2381733.9700000002</v>
      </c>
      <c r="L49" s="11">
        <v>37267</v>
      </c>
      <c r="M49" s="11">
        <f t="shared" si="17"/>
        <v>63.910000000000004</v>
      </c>
      <c r="N49" s="13">
        <v>3</v>
      </c>
      <c r="O49" s="14">
        <v>1.333</v>
      </c>
      <c r="P49" s="13">
        <v>29</v>
      </c>
      <c r="Q49" s="14">
        <v>53.35</v>
      </c>
      <c r="R49" s="12">
        <f t="shared" si="18"/>
        <v>2.8014045662894431</v>
      </c>
      <c r="S49" s="12">
        <f t="shared" si="19"/>
        <v>67.233709590946631</v>
      </c>
      <c r="T49" s="12">
        <f t="shared" si="20"/>
        <v>5.8609539207760708</v>
      </c>
      <c r="U49" s="13">
        <v>61</v>
      </c>
      <c r="V49" s="14">
        <v>37.933</v>
      </c>
      <c r="W49" s="12">
        <f t="shared" si="0"/>
        <v>5.8926096049536563</v>
      </c>
      <c r="X49" s="12">
        <f t="shared" si="1"/>
        <v>141.42263051888776</v>
      </c>
      <c r="Y49" s="12">
        <f t="shared" si="2"/>
        <v>12.328213419563459</v>
      </c>
      <c r="Z49" s="13">
        <v>6</v>
      </c>
      <c r="AA49" s="14">
        <v>6.2670000000000003</v>
      </c>
      <c r="AB49" s="10">
        <v>2</v>
      </c>
      <c r="AC49" s="12">
        <f t="shared" si="3"/>
        <v>0.19320031491651332</v>
      </c>
      <c r="AD49" s="12">
        <f t="shared" si="4"/>
        <v>4.6368075579963195</v>
      </c>
      <c r="AE49" s="12">
        <f t="shared" si="5"/>
        <v>0.40420371867421179</v>
      </c>
      <c r="AF49" s="13">
        <v>99</v>
      </c>
      <c r="AG49" s="52">
        <v>98.882999999999996</v>
      </c>
      <c r="AH49" s="61">
        <v>92</v>
      </c>
      <c r="AI49" s="16">
        <f t="shared" si="21"/>
        <v>8.8872144861596123</v>
      </c>
      <c r="AJ49" s="48">
        <f t="shared" si="22"/>
        <v>213.29314766783071</v>
      </c>
      <c r="AK49" s="48">
        <f t="shared" si="23"/>
        <v>18.593371059013741</v>
      </c>
      <c r="AL49" s="57">
        <v>32</v>
      </c>
      <c r="AM49" s="14">
        <v>21.016999999999999</v>
      </c>
      <c r="AN49" s="12">
        <f t="shared" si="24"/>
        <v>3.0912050386642131</v>
      </c>
      <c r="AO49" s="12">
        <f t="shared" si="25"/>
        <v>74.188920927941112</v>
      </c>
      <c r="AP49" s="12">
        <f t="shared" si="26"/>
        <v>6.4672594987873886</v>
      </c>
      <c r="AQ49" s="13">
        <v>20</v>
      </c>
      <c r="AR49" s="14">
        <v>10.632999999999999</v>
      </c>
      <c r="AS49" s="12">
        <f t="shared" si="6"/>
        <v>1.9320031491651333</v>
      </c>
      <c r="AT49" s="12">
        <f t="shared" si="7"/>
        <v>46.368075579963197</v>
      </c>
      <c r="AU49" s="12">
        <f t="shared" si="8"/>
        <v>4.0420371867421183</v>
      </c>
      <c r="AV49" s="13">
        <v>3</v>
      </c>
      <c r="AW49" s="14">
        <v>2.1829999999999998</v>
      </c>
      <c r="AX49" s="12">
        <f t="shared" si="9"/>
        <v>0.28980047237476997</v>
      </c>
      <c r="AY49" s="12">
        <f t="shared" si="10"/>
        <v>6.9552113369944797</v>
      </c>
      <c r="AZ49" s="12">
        <f t="shared" si="11"/>
        <v>0.60630557801131768</v>
      </c>
      <c r="BA49" s="13">
        <v>6</v>
      </c>
      <c r="BB49" s="52">
        <v>4.0999999999999996</v>
      </c>
      <c r="BC49" s="48">
        <f t="shared" si="12"/>
        <v>0.57960094474953994</v>
      </c>
      <c r="BD49" s="48">
        <f t="shared" si="13"/>
        <v>13.910422673988959</v>
      </c>
      <c r="BE49" s="48">
        <f t="shared" si="14"/>
        <v>1.2126111560226354</v>
      </c>
    </row>
    <row r="50" spans="1:57">
      <c r="A50" s="15" t="s">
        <v>217</v>
      </c>
      <c r="B50" s="9" t="str">
        <f>"46"</f>
        <v>46</v>
      </c>
      <c r="C50" s="9" t="str">
        <f>"4040 127121 106 2-1"</f>
        <v>4040 127121 106 2-1</v>
      </c>
      <c r="D50" s="9" t="str">
        <f>"1049 Z"</f>
        <v>1049 Z</v>
      </c>
      <c r="E50" s="10">
        <f t="shared" si="15"/>
        <v>617.74471699570154</v>
      </c>
      <c r="F50" s="11">
        <f t="shared" si="16"/>
        <v>91.731527777777771</v>
      </c>
      <c r="G50" s="11">
        <v>660.46699999999998</v>
      </c>
      <c r="H50" s="11">
        <v>59.533000000000001</v>
      </c>
      <c r="I50" s="11">
        <v>408</v>
      </c>
      <c r="J50" s="11">
        <v>86.4</v>
      </c>
      <c r="K50" s="11">
        <v>2646754.12</v>
      </c>
      <c r="L50" s="11">
        <v>39628</v>
      </c>
      <c r="M50" s="11">
        <f t="shared" si="17"/>
        <v>66.790000000000006</v>
      </c>
      <c r="N50" s="13">
        <v>7</v>
      </c>
      <c r="O50" s="14">
        <v>5.0830000000000002</v>
      </c>
      <c r="P50" s="13">
        <v>21</v>
      </c>
      <c r="Q50" s="14">
        <v>31.466999999999999</v>
      </c>
      <c r="R50" s="12">
        <f t="shared" si="18"/>
        <v>1.907741037780843</v>
      </c>
      <c r="S50" s="12">
        <f t="shared" si="19"/>
        <v>45.785784906740233</v>
      </c>
      <c r="T50" s="12">
        <f t="shared" si="20"/>
        <v>5.1470588235294121</v>
      </c>
      <c r="U50" s="13">
        <v>26</v>
      </c>
      <c r="V50" s="14">
        <v>22.9</v>
      </c>
      <c r="W50" s="12">
        <f t="shared" si="0"/>
        <v>2.3619650943953294</v>
      </c>
      <c r="X50" s="12">
        <f t="shared" si="1"/>
        <v>56.687162265487906</v>
      </c>
      <c r="Y50" s="12">
        <f t="shared" si="2"/>
        <v>6.3725490196078427</v>
      </c>
      <c r="Z50" s="13">
        <v>1</v>
      </c>
      <c r="AA50" s="14">
        <v>8.3000000000000004E-2</v>
      </c>
      <c r="AB50" s="10">
        <v>0</v>
      </c>
      <c r="AC50" s="12">
        <f t="shared" si="3"/>
        <v>0</v>
      </c>
      <c r="AD50" s="12">
        <f t="shared" si="4"/>
        <v>0</v>
      </c>
      <c r="AE50" s="12">
        <f t="shared" si="5"/>
        <v>0</v>
      </c>
      <c r="AF50" s="13">
        <v>55</v>
      </c>
      <c r="AG50" s="52">
        <v>59.533000000000001</v>
      </c>
      <c r="AH50" s="61">
        <v>47</v>
      </c>
      <c r="AI50" s="16">
        <f t="shared" si="21"/>
        <v>4.2697061321761725</v>
      </c>
      <c r="AJ50" s="48">
        <f t="shared" si="22"/>
        <v>102.47294717222813</v>
      </c>
      <c r="AK50" s="48">
        <f t="shared" si="23"/>
        <v>11.519607843137255</v>
      </c>
      <c r="AL50" s="57">
        <v>14</v>
      </c>
      <c r="AM50" s="14">
        <v>9.6</v>
      </c>
      <c r="AN50" s="12">
        <f t="shared" si="24"/>
        <v>1.2718273585205619</v>
      </c>
      <c r="AO50" s="12">
        <f t="shared" si="25"/>
        <v>30.523856604493488</v>
      </c>
      <c r="AP50" s="12">
        <f t="shared" si="26"/>
        <v>3.4313725490196076</v>
      </c>
      <c r="AQ50" s="13">
        <v>11</v>
      </c>
      <c r="AR50" s="14">
        <v>13.067</v>
      </c>
      <c r="AS50" s="12">
        <f t="shared" si="6"/>
        <v>0.99929292455187013</v>
      </c>
      <c r="AT50" s="12">
        <f t="shared" si="7"/>
        <v>23.983030189244882</v>
      </c>
      <c r="AU50" s="12">
        <f t="shared" si="8"/>
        <v>2.6960784313725492</v>
      </c>
      <c r="AV50" s="13">
        <v>0</v>
      </c>
      <c r="AW50" s="14">
        <v>0</v>
      </c>
      <c r="AX50" s="12">
        <f t="shared" si="9"/>
        <v>0</v>
      </c>
      <c r="AY50" s="12">
        <f t="shared" si="10"/>
        <v>0</v>
      </c>
      <c r="AZ50" s="12">
        <f t="shared" si="11"/>
        <v>0</v>
      </c>
      <c r="BA50" s="13">
        <v>1</v>
      </c>
      <c r="BB50" s="52">
        <v>0.23300000000000001</v>
      </c>
      <c r="BC50" s="48">
        <f t="shared" si="12"/>
        <v>9.084481132289729E-2</v>
      </c>
      <c r="BD50" s="48">
        <f t="shared" si="13"/>
        <v>2.180275471749535</v>
      </c>
      <c r="BE50" s="48">
        <f t="shared" si="14"/>
        <v>0.24509803921568626</v>
      </c>
    </row>
    <row r="51" spans="1:57">
      <c r="A51" s="15" t="s">
        <v>217</v>
      </c>
      <c r="B51" s="9" t="str">
        <f>"47"</f>
        <v>47</v>
      </c>
      <c r="C51" s="9" t="str">
        <f>"8080 10288 46x2 1-1"</f>
        <v>8080 10288 46x2 1-1</v>
      </c>
      <c r="D51" s="9" t="str">
        <f>"1071 Z"</f>
        <v>1071 Z</v>
      </c>
      <c r="E51" s="10">
        <f t="shared" si="15"/>
        <v>797.52086389916326</v>
      </c>
      <c r="F51" s="11">
        <f t="shared" si="16"/>
        <v>87.754583333333329</v>
      </c>
      <c r="G51" s="11">
        <v>631.83299999999997</v>
      </c>
      <c r="H51" s="11">
        <v>88.167000000000002</v>
      </c>
      <c r="I51" s="11">
        <v>503.9</v>
      </c>
      <c r="J51" s="11">
        <v>145.4</v>
      </c>
      <c r="K51" s="11">
        <v>2341700.7000000002</v>
      </c>
      <c r="L51" s="11">
        <v>37910</v>
      </c>
      <c r="M51" s="11">
        <f t="shared" si="17"/>
        <v>61.77</v>
      </c>
      <c r="N51" s="13">
        <v>8</v>
      </c>
      <c r="O51" s="14">
        <v>5.8</v>
      </c>
      <c r="P51" s="13">
        <v>15</v>
      </c>
      <c r="Q51" s="14">
        <v>30.3</v>
      </c>
      <c r="R51" s="12">
        <f t="shared" si="18"/>
        <v>1.4244270242295038</v>
      </c>
      <c r="S51" s="12">
        <f t="shared" si="19"/>
        <v>34.186248581508089</v>
      </c>
      <c r="T51" s="12">
        <f t="shared" si="20"/>
        <v>2.9767811073625721</v>
      </c>
      <c r="U51" s="13">
        <v>62</v>
      </c>
      <c r="V51" s="14">
        <v>42.866999999999997</v>
      </c>
      <c r="W51" s="12">
        <f t="shared" si="0"/>
        <v>5.8876317001486154</v>
      </c>
      <c r="X51" s="12">
        <f t="shared" si="1"/>
        <v>141.30316080356678</v>
      </c>
      <c r="Y51" s="12">
        <f t="shared" si="2"/>
        <v>12.304028577098631</v>
      </c>
      <c r="Z51" s="13">
        <v>11</v>
      </c>
      <c r="AA51" s="14">
        <v>9.1999999999999993</v>
      </c>
      <c r="AB51" s="10">
        <v>0</v>
      </c>
      <c r="AC51" s="12">
        <f t="shared" si="3"/>
        <v>0</v>
      </c>
      <c r="AD51" s="12">
        <f t="shared" si="4"/>
        <v>0</v>
      </c>
      <c r="AE51" s="12">
        <f t="shared" si="5"/>
        <v>0</v>
      </c>
      <c r="AF51" s="13">
        <v>96</v>
      </c>
      <c r="AG51" s="52">
        <v>88.167000000000002</v>
      </c>
      <c r="AH51" s="61">
        <v>77</v>
      </c>
      <c r="AI51" s="16">
        <f t="shared" si="21"/>
        <v>7.3120587243781197</v>
      </c>
      <c r="AJ51" s="48">
        <f t="shared" si="22"/>
        <v>175.48940938507485</v>
      </c>
      <c r="AK51" s="48">
        <f t="shared" si="23"/>
        <v>15.280809684461204</v>
      </c>
      <c r="AL51" s="57">
        <v>21</v>
      </c>
      <c r="AM51" s="14">
        <v>12.4</v>
      </c>
      <c r="AN51" s="12">
        <f t="shared" si="24"/>
        <v>1.9941978339213053</v>
      </c>
      <c r="AO51" s="12">
        <f t="shared" si="25"/>
        <v>47.860748014111323</v>
      </c>
      <c r="AP51" s="12">
        <f t="shared" si="26"/>
        <v>4.1674935503076007</v>
      </c>
      <c r="AQ51" s="13">
        <v>36</v>
      </c>
      <c r="AR51" s="14">
        <v>25.716999999999999</v>
      </c>
      <c r="AS51" s="12">
        <f t="shared" si="6"/>
        <v>3.418624858150809</v>
      </c>
      <c r="AT51" s="12">
        <f t="shared" si="7"/>
        <v>82.046996595619419</v>
      </c>
      <c r="AU51" s="12">
        <f t="shared" si="8"/>
        <v>7.1442746576701728</v>
      </c>
      <c r="AV51" s="13">
        <v>1</v>
      </c>
      <c r="AW51" s="14">
        <v>2.2330000000000001</v>
      </c>
      <c r="AX51" s="12">
        <f t="shared" si="9"/>
        <v>9.4961801615300254E-2</v>
      </c>
      <c r="AY51" s="12">
        <f t="shared" si="10"/>
        <v>2.279083238767206</v>
      </c>
      <c r="AZ51" s="12">
        <f t="shared" si="11"/>
        <v>0.19845207382417146</v>
      </c>
      <c r="BA51" s="13">
        <v>4</v>
      </c>
      <c r="BB51" s="52">
        <v>2.5169999999999999</v>
      </c>
      <c r="BC51" s="48">
        <f t="shared" si="12"/>
        <v>0.37984720646120101</v>
      </c>
      <c r="BD51" s="48">
        <f t="shared" si="13"/>
        <v>9.1163329550688239</v>
      </c>
      <c r="BE51" s="48">
        <f t="shared" si="14"/>
        <v>0.79380829529668584</v>
      </c>
    </row>
    <row r="52" spans="1:57">
      <c r="A52" s="15" t="s">
        <v>217</v>
      </c>
      <c r="B52" s="9" t="str">
        <f>"48"</f>
        <v>48</v>
      </c>
      <c r="C52" s="9" t="str">
        <f>"8080 9088 46x2 1-1"</f>
        <v>8080 9088 46x2 1-1</v>
      </c>
      <c r="D52" s="9" t="str">
        <f>"1086 Z"</f>
        <v>1086 Z</v>
      </c>
      <c r="E52" s="10">
        <f t="shared" si="15"/>
        <v>726.50336046726966</v>
      </c>
      <c r="F52" s="11">
        <f t="shared" si="16"/>
        <v>84.747638888888886</v>
      </c>
      <c r="G52" s="11">
        <v>610.18299999999999</v>
      </c>
      <c r="H52" s="11">
        <v>109.81699999999999</v>
      </c>
      <c r="I52" s="11">
        <v>443.3</v>
      </c>
      <c r="J52" s="11">
        <v>128</v>
      </c>
      <c r="K52" s="11">
        <v>2291116.38</v>
      </c>
      <c r="L52" s="11">
        <v>36611</v>
      </c>
      <c r="M52" s="11">
        <f t="shared" si="17"/>
        <v>62.58</v>
      </c>
      <c r="N52" s="13">
        <v>4</v>
      </c>
      <c r="O52" s="14">
        <v>0.78300000000000003</v>
      </c>
      <c r="P52" s="13">
        <v>26</v>
      </c>
      <c r="Q52" s="14">
        <v>69.332999999999998</v>
      </c>
      <c r="R52" s="12">
        <f t="shared" si="18"/>
        <v>2.5566100661604798</v>
      </c>
      <c r="S52" s="12">
        <f t="shared" si="19"/>
        <v>61.358641587851515</v>
      </c>
      <c r="T52" s="12">
        <f t="shared" si="20"/>
        <v>5.8651026392961878</v>
      </c>
      <c r="U52" s="13">
        <v>37</v>
      </c>
      <c r="V52" s="14">
        <v>38.4</v>
      </c>
      <c r="W52" s="12">
        <f t="shared" si="0"/>
        <v>3.6382527864591441</v>
      </c>
      <c r="X52" s="12">
        <f t="shared" si="1"/>
        <v>87.318066875019468</v>
      </c>
      <c r="Y52" s="12">
        <f t="shared" si="2"/>
        <v>8.346492217459959</v>
      </c>
      <c r="Z52" s="13">
        <v>1</v>
      </c>
      <c r="AA52" s="14">
        <v>1.3</v>
      </c>
      <c r="AB52" s="10">
        <v>0</v>
      </c>
      <c r="AC52" s="12">
        <f t="shared" si="3"/>
        <v>0</v>
      </c>
      <c r="AD52" s="12">
        <f t="shared" si="4"/>
        <v>0</v>
      </c>
      <c r="AE52" s="12">
        <f t="shared" si="5"/>
        <v>0</v>
      </c>
      <c r="AF52" s="13">
        <v>68</v>
      </c>
      <c r="AG52" s="52">
        <v>109.816</v>
      </c>
      <c r="AH52" s="61">
        <v>63</v>
      </c>
      <c r="AI52" s="16">
        <f t="shared" si="21"/>
        <v>6.1948628526196243</v>
      </c>
      <c r="AJ52" s="48">
        <f t="shared" si="22"/>
        <v>148.67670846287098</v>
      </c>
      <c r="AK52" s="48">
        <f t="shared" si="23"/>
        <v>14.211594856756147</v>
      </c>
      <c r="AL52" s="57">
        <v>21</v>
      </c>
      <c r="AM52" s="14">
        <v>20.317</v>
      </c>
      <c r="AN52" s="12">
        <f t="shared" si="24"/>
        <v>2.0649542842065411</v>
      </c>
      <c r="AO52" s="12">
        <f t="shared" si="25"/>
        <v>49.558902820956995</v>
      </c>
      <c r="AP52" s="12">
        <f t="shared" si="26"/>
        <v>4.7371982855853823</v>
      </c>
      <c r="AQ52" s="13">
        <v>15</v>
      </c>
      <c r="AR52" s="14">
        <v>16.783000000000001</v>
      </c>
      <c r="AS52" s="12">
        <f t="shared" si="6"/>
        <v>1.4749673458618153</v>
      </c>
      <c r="AT52" s="12">
        <f t="shared" si="7"/>
        <v>35.399216300683563</v>
      </c>
      <c r="AU52" s="12">
        <f t="shared" si="8"/>
        <v>3.3837130611324158</v>
      </c>
      <c r="AV52" s="13">
        <v>1</v>
      </c>
      <c r="AW52" s="14">
        <v>1.3</v>
      </c>
      <c r="AX52" s="12">
        <f t="shared" si="9"/>
        <v>9.8331156390787683E-2</v>
      </c>
      <c r="AY52" s="12">
        <f t="shared" si="10"/>
        <v>2.3599477533789046</v>
      </c>
      <c r="AZ52" s="12">
        <f t="shared" si="11"/>
        <v>0.22558087074216107</v>
      </c>
      <c r="BA52" s="13">
        <v>0</v>
      </c>
      <c r="BB52" s="52">
        <v>0</v>
      </c>
      <c r="BC52" s="48">
        <f t="shared" si="12"/>
        <v>0</v>
      </c>
      <c r="BD52" s="48">
        <f t="shared" si="13"/>
        <v>0</v>
      </c>
      <c r="BE52" s="48">
        <f t="shared" si="14"/>
        <v>0</v>
      </c>
    </row>
    <row r="53" spans="1:57">
      <c r="A53" s="15" t="s">
        <v>217</v>
      </c>
      <c r="B53" s="9" t="str">
        <f>"49"</f>
        <v>49</v>
      </c>
      <c r="C53" s="9" t="str">
        <f>"3030 7674 72 1-1"</f>
        <v>3030 7674 72 1-1</v>
      </c>
      <c r="D53" s="9" t="str">
        <f>"1116 R"</f>
        <v>1116 R</v>
      </c>
      <c r="E53" s="10">
        <f t="shared" si="15"/>
        <v>957.07124565425227</v>
      </c>
      <c r="F53" s="11">
        <f t="shared" si="16"/>
        <v>93.122638888888872</v>
      </c>
      <c r="G53" s="11">
        <v>670.48299999999995</v>
      </c>
      <c r="H53" s="11">
        <v>49.517000000000003</v>
      </c>
      <c r="I53" s="11">
        <v>641.70000000000005</v>
      </c>
      <c r="J53" s="11">
        <v>223.3</v>
      </c>
      <c r="K53" s="11">
        <v>2243973.62</v>
      </c>
      <c r="L53" s="11">
        <v>40229</v>
      </c>
      <c r="M53" s="11">
        <f t="shared" si="17"/>
        <v>55.78</v>
      </c>
      <c r="N53" s="13">
        <v>5</v>
      </c>
      <c r="O53" s="14">
        <v>1.2829999999999999</v>
      </c>
      <c r="P53" s="13">
        <v>14</v>
      </c>
      <c r="Q53" s="14">
        <v>22.25</v>
      </c>
      <c r="R53" s="12">
        <f t="shared" si="18"/>
        <v>1.2528281850546548</v>
      </c>
      <c r="S53" s="12">
        <f t="shared" si="19"/>
        <v>30.067876441311714</v>
      </c>
      <c r="T53" s="12">
        <f t="shared" si="20"/>
        <v>2.1817048465014803</v>
      </c>
      <c r="U53" s="13">
        <v>21</v>
      </c>
      <c r="V53" s="14">
        <v>20.966999999999999</v>
      </c>
      <c r="W53" s="12">
        <f t="shared" si="0"/>
        <v>1.8792422775819821</v>
      </c>
      <c r="X53" s="12">
        <f t="shared" si="1"/>
        <v>45.101814661967573</v>
      </c>
      <c r="Y53" s="12">
        <f t="shared" si="2"/>
        <v>3.2725572697522205</v>
      </c>
      <c r="Z53" s="13">
        <v>4</v>
      </c>
      <c r="AA53" s="14">
        <v>5.0170000000000003</v>
      </c>
      <c r="AB53" s="10">
        <v>0</v>
      </c>
      <c r="AC53" s="12">
        <f t="shared" si="3"/>
        <v>0</v>
      </c>
      <c r="AD53" s="12">
        <f t="shared" si="4"/>
        <v>0</v>
      </c>
      <c r="AE53" s="12">
        <f t="shared" si="5"/>
        <v>0</v>
      </c>
      <c r="AF53" s="13">
        <v>44</v>
      </c>
      <c r="AG53" s="52">
        <v>49.517000000000003</v>
      </c>
      <c r="AH53" s="61">
        <v>35</v>
      </c>
      <c r="AI53" s="16">
        <f t="shared" si="21"/>
        <v>3.1320704626366367</v>
      </c>
      <c r="AJ53" s="48">
        <f t="shared" si="22"/>
        <v>75.169691103279277</v>
      </c>
      <c r="AK53" s="48">
        <f t="shared" si="23"/>
        <v>5.4542621162537008</v>
      </c>
      <c r="AL53" s="57">
        <v>8</v>
      </c>
      <c r="AM53" s="14">
        <v>8.85</v>
      </c>
      <c r="AN53" s="12">
        <f t="shared" si="24"/>
        <v>0.71590182003123126</v>
      </c>
      <c r="AO53" s="12">
        <f t="shared" si="25"/>
        <v>17.181643680749552</v>
      </c>
      <c r="AP53" s="12">
        <f t="shared" si="26"/>
        <v>1.2466884837151315</v>
      </c>
      <c r="AQ53" s="13">
        <v>6</v>
      </c>
      <c r="AR53" s="14">
        <v>3.9169999999999998</v>
      </c>
      <c r="AS53" s="12">
        <f t="shared" si="6"/>
        <v>0.5369263650234235</v>
      </c>
      <c r="AT53" s="12">
        <f t="shared" si="7"/>
        <v>12.886232760562162</v>
      </c>
      <c r="AU53" s="12">
        <f t="shared" si="8"/>
        <v>0.9350163627863487</v>
      </c>
      <c r="AV53" s="13">
        <v>6</v>
      </c>
      <c r="AW53" s="14">
        <v>7.7329999999999997</v>
      </c>
      <c r="AX53" s="12">
        <f t="shared" si="9"/>
        <v>0.5369263650234235</v>
      </c>
      <c r="AY53" s="12">
        <f t="shared" si="10"/>
        <v>12.886232760562162</v>
      </c>
      <c r="AZ53" s="12">
        <f t="shared" si="11"/>
        <v>0.9350163627863487</v>
      </c>
      <c r="BA53" s="13">
        <v>1</v>
      </c>
      <c r="BB53" s="52">
        <v>0.46700000000000003</v>
      </c>
      <c r="BC53" s="48">
        <f t="shared" si="12"/>
        <v>8.9487727503903908E-2</v>
      </c>
      <c r="BD53" s="48">
        <f t="shared" si="13"/>
        <v>2.147705460093694</v>
      </c>
      <c r="BE53" s="48">
        <f t="shared" si="14"/>
        <v>0.15583606046439144</v>
      </c>
    </row>
    <row r="54" spans="1:57">
      <c r="A54" s="15" t="s">
        <v>217</v>
      </c>
      <c r="B54" s="9" t="str">
        <f>"50"</f>
        <v>50</v>
      </c>
      <c r="C54" s="9" t="str">
        <f>"6060 135115 65 1-1"</f>
        <v>6060 135115 65 1-1</v>
      </c>
      <c r="D54" s="9" t="str">
        <f>"06 R"</f>
        <v>06 R</v>
      </c>
      <c r="E54" s="10">
        <f t="shared" si="15"/>
        <v>946.38550183500388</v>
      </c>
      <c r="F54" s="11">
        <f t="shared" si="16"/>
        <v>89.199027777777772</v>
      </c>
      <c r="G54" s="11">
        <v>642.23299999999995</v>
      </c>
      <c r="H54" s="11">
        <v>77.766999999999996</v>
      </c>
      <c r="I54" s="11">
        <v>607.79999999999995</v>
      </c>
      <c r="J54" s="11">
        <v>136</v>
      </c>
      <c r="K54" s="11">
        <v>2065807.74</v>
      </c>
      <c r="L54" s="11">
        <v>38534</v>
      </c>
      <c r="M54" s="11">
        <f t="shared" si="17"/>
        <v>53.61</v>
      </c>
      <c r="N54" s="13">
        <v>7</v>
      </c>
      <c r="O54" s="14">
        <v>1.5669999999999999</v>
      </c>
      <c r="P54" s="13">
        <v>10</v>
      </c>
      <c r="Q54" s="14">
        <v>36.799999999999997</v>
      </c>
      <c r="R54" s="12">
        <f t="shared" si="18"/>
        <v>0.93424037693485085</v>
      </c>
      <c r="S54" s="12">
        <f t="shared" si="19"/>
        <v>22.42176904643642</v>
      </c>
      <c r="T54" s="12">
        <f t="shared" si="20"/>
        <v>1.6452780519907866</v>
      </c>
      <c r="U54" s="13">
        <v>36</v>
      </c>
      <c r="V54" s="14">
        <v>31.317</v>
      </c>
      <c r="W54" s="12">
        <f t="shared" si="0"/>
        <v>3.3632653569654631</v>
      </c>
      <c r="X54" s="12">
        <f t="shared" si="1"/>
        <v>80.718368567171112</v>
      </c>
      <c r="Y54" s="12">
        <f t="shared" si="2"/>
        <v>5.9230009871668319</v>
      </c>
      <c r="Z54" s="13">
        <v>5</v>
      </c>
      <c r="AA54" s="14">
        <v>8.0830000000000002</v>
      </c>
      <c r="AB54" s="10">
        <v>3</v>
      </c>
      <c r="AC54" s="12">
        <f t="shared" si="3"/>
        <v>0.28027211308045524</v>
      </c>
      <c r="AD54" s="12">
        <f t="shared" si="4"/>
        <v>6.7265307139309263</v>
      </c>
      <c r="AE54" s="12">
        <f t="shared" si="5"/>
        <v>0.49358341559723595</v>
      </c>
      <c r="AF54" s="13">
        <v>58</v>
      </c>
      <c r="AG54" s="52">
        <v>77.766999999999996</v>
      </c>
      <c r="AH54" s="61">
        <v>49</v>
      </c>
      <c r="AI54" s="16">
        <f t="shared" si="21"/>
        <v>4.5777778469807693</v>
      </c>
      <c r="AJ54" s="48">
        <f t="shared" si="22"/>
        <v>109.86666832753846</v>
      </c>
      <c r="AK54" s="48">
        <f t="shared" si="23"/>
        <v>8.0618624547548539</v>
      </c>
      <c r="AL54" s="57">
        <v>17</v>
      </c>
      <c r="AM54" s="14">
        <v>10.833</v>
      </c>
      <c r="AN54" s="12">
        <f t="shared" si="24"/>
        <v>1.5882086407892464</v>
      </c>
      <c r="AO54" s="12">
        <f t="shared" si="25"/>
        <v>38.117007378941913</v>
      </c>
      <c r="AP54" s="12">
        <f t="shared" si="26"/>
        <v>2.7969726883843373</v>
      </c>
      <c r="AQ54" s="13">
        <v>13</v>
      </c>
      <c r="AR54" s="14">
        <v>16.5</v>
      </c>
      <c r="AS54" s="12">
        <f t="shared" si="6"/>
        <v>1.2145124900153061</v>
      </c>
      <c r="AT54" s="12">
        <f t="shared" si="7"/>
        <v>29.148299760367344</v>
      </c>
      <c r="AU54" s="12">
        <f t="shared" si="8"/>
        <v>2.1388614675880224</v>
      </c>
      <c r="AV54" s="13">
        <v>2</v>
      </c>
      <c r="AW54" s="14">
        <v>1.133</v>
      </c>
      <c r="AX54" s="12">
        <f t="shared" si="9"/>
        <v>0.18684807538697015</v>
      </c>
      <c r="AY54" s="12">
        <f t="shared" si="10"/>
        <v>4.4843538092872839</v>
      </c>
      <c r="AZ54" s="12">
        <f t="shared" si="11"/>
        <v>0.32905561039815734</v>
      </c>
      <c r="BA54" s="13">
        <v>4</v>
      </c>
      <c r="BB54" s="52">
        <v>2.85</v>
      </c>
      <c r="BC54" s="48">
        <f t="shared" si="12"/>
        <v>0.37369615077394031</v>
      </c>
      <c r="BD54" s="48">
        <f t="shared" si="13"/>
        <v>8.9687076185745678</v>
      </c>
      <c r="BE54" s="48">
        <f t="shared" si="14"/>
        <v>0.65811122079631468</v>
      </c>
    </row>
    <row r="55" spans="1:57">
      <c r="A55" s="15" t="s">
        <v>217</v>
      </c>
      <c r="B55" s="9" t="str">
        <f>"51"</f>
        <v>51</v>
      </c>
      <c r="C55" s="9" t="str">
        <f>"3030 7674 77 1-1"</f>
        <v>3030 7674 77 1-1</v>
      </c>
      <c r="D55" s="9" t="str">
        <f>"1122 R"</f>
        <v>1122 R</v>
      </c>
      <c r="E55" s="10">
        <f t="shared" si="15"/>
        <v>952.58349086326405</v>
      </c>
      <c r="F55" s="11">
        <f t="shared" si="16"/>
        <v>88.166666666666657</v>
      </c>
      <c r="G55" s="11">
        <v>634.79999999999995</v>
      </c>
      <c r="H55" s="11">
        <v>85.2</v>
      </c>
      <c r="I55" s="11">
        <v>604.70000000000005</v>
      </c>
      <c r="J55" s="11">
        <v>210.4</v>
      </c>
      <c r="K55" s="11">
        <v>2101314.96</v>
      </c>
      <c r="L55" s="11">
        <v>38088</v>
      </c>
      <c r="M55" s="11">
        <f t="shared" si="17"/>
        <v>55.17</v>
      </c>
      <c r="N55" s="13">
        <v>5</v>
      </c>
      <c r="O55" s="14">
        <v>1.117</v>
      </c>
      <c r="P55" s="13">
        <v>25</v>
      </c>
      <c r="Q55" s="14">
        <v>51.6</v>
      </c>
      <c r="R55" s="12">
        <f t="shared" si="18"/>
        <v>2.3629489603024578</v>
      </c>
      <c r="S55" s="12">
        <f t="shared" si="19"/>
        <v>56.710775047258984</v>
      </c>
      <c r="T55" s="12">
        <f t="shared" si="20"/>
        <v>4.1342814618819244</v>
      </c>
      <c r="U55" s="13">
        <v>37</v>
      </c>
      <c r="V55" s="14">
        <v>30.35</v>
      </c>
      <c r="W55" s="12">
        <f t="shared" si="0"/>
        <v>3.4971644612476371</v>
      </c>
      <c r="X55" s="12">
        <f t="shared" si="1"/>
        <v>83.931947069943291</v>
      </c>
      <c r="Y55" s="12">
        <f t="shared" si="2"/>
        <v>6.1187365635852489</v>
      </c>
      <c r="Z55" s="13">
        <v>4</v>
      </c>
      <c r="AA55" s="14">
        <v>2.133</v>
      </c>
      <c r="AB55" s="10">
        <v>0</v>
      </c>
      <c r="AC55" s="12">
        <f t="shared" si="3"/>
        <v>0</v>
      </c>
      <c r="AD55" s="12">
        <f t="shared" si="4"/>
        <v>0</v>
      </c>
      <c r="AE55" s="12">
        <f t="shared" si="5"/>
        <v>0</v>
      </c>
      <c r="AF55" s="13">
        <v>71</v>
      </c>
      <c r="AG55" s="52">
        <v>85.2</v>
      </c>
      <c r="AH55" s="61">
        <v>62</v>
      </c>
      <c r="AI55" s="16">
        <f t="shared" si="21"/>
        <v>5.8601134215500945</v>
      </c>
      <c r="AJ55" s="48">
        <f t="shared" si="22"/>
        <v>140.64272211720228</v>
      </c>
      <c r="AK55" s="48">
        <f t="shared" si="23"/>
        <v>10.253018025467172</v>
      </c>
      <c r="AL55" s="57">
        <v>25</v>
      </c>
      <c r="AM55" s="14">
        <v>18.216999999999999</v>
      </c>
      <c r="AN55" s="12">
        <f t="shared" si="24"/>
        <v>2.3629489603024578</v>
      </c>
      <c r="AO55" s="12">
        <f t="shared" si="25"/>
        <v>56.710775047258984</v>
      </c>
      <c r="AP55" s="12">
        <f t="shared" si="26"/>
        <v>4.1342814618819244</v>
      </c>
      <c r="AQ55" s="13">
        <v>6</v>
      </c>
      <c r="AR55" s="14">
        <v>6.7329999999999997</v>
      </c>
      <c r="AS55" s="12">
        <f t="shared" si="6"/>
        <v>0.56710775047258988</v>
      </c>
      <c r="AT55" s="12">
        <f t="shared" si="7"/>
        <v>13.610586011342155</v>
      </c>
      <c r="AU55" s="12">
        <f t="shared" si="8"/>
        <v>0.99222755085166192</v>
      </c>
      <c r="AV55" s="13">
        <v>4</v>
      </c>
      <c r="AW55" s="14">
        <v>2.1669999999999998</v>
      </c>
      <c r="AX55" s="12">
        <f t="shared" si="9"/>
        <v>0.3780718336483932</v>
      </c>
      <c r="AY55" s="12">
        <f t="shared" si="10"/>
        <v>9.073724007561438</v>
      </c>
      <c r="AZ55" s="12">
        <f t="shared" si="11"/>
        <v>0.66148503390110791</v>
      </c>
      <c r="BA55" s="13">
        <v>2</v>
      </c>
      <c r="BB55" s="52">
        <v>3.2330000000000001</v>
      </c>
      <c r="BC55" s="48">
        <f t="shared" si="12"/>
        <v>0.1890359168241966</v>
      </c>
      <c r="BD55" s="48">
        <f t="shared" si="13"/>
        <v>4.536862003780719</v>
      </c>
      <c r="BE55" s="48">
        <f t="shared" si="14"/>
        <v>0.33074251695055396</v>
      </c>
    </row>
    <row r="56" spans="1:57">
      <c r="A56" s="15" t="s">
        <v>217</v>
      </c>
      <c r="B56" s="9" t="str">
        <f>"52"</f>
        <v>52</v>
      </c>
      <c r="C56" s="9" t="str">
        <f>"3030 7674 72 1-1"</f>
        <v>3030 7674 72 1-1</v>
      </c>
      <c r="D56" s="9" t="str">
        <f>"1132 R"</f>
        <v>1132 R</v>
      </c>
      <c r="E56" s="10">
        <f t="shared" si="15"/>
        <v>835.65099908477089</v>
      </c>
      <c r="F56" s="11">
        <f t="shared" si="16"/>
        <v>86.044027777777785</v>
      </c>
      <c r="G56" s="11">
        <v>619.51700000000005</v>
      </c>
      <c r="H56" s="11">
        <v>100.483</v>
      </c>
      <c r="I56" s="11">
        <v>517.70000000000005</v>
      </c>
      <c r="J56" s="11">
        <v>180.2</v>
      </c>
      <c r="K56" s="11">
        <v>1784208</v>
      </c>
      <c r="L56" s="11">
        <v>37171</v>
      </c>
      <c r="M56" s="11">
        <f t="shared" si="17"/>
        <v>48</v>
      </c>
      <c r="N56" s="13">
        <v>5</v>
      </c>
      <c r="O56" s="14">
        <v>1.65</v>
      </c>
      <c r="P56" s="13">
        <v>20</v>
      </c>
      <c r="Q56" s="14">
        <v>39.700000000000003</v>
      </c>
      <c r="R56" s="12">
        <f t="shared" si="18"/>
        <v>1.9369928508822194</v>
      </c>
      <c r="S56" s="12">
        <f t="shared" si="19"/>
        <v>46.487828421173262</v>
      </c>
      <c r="T56" s="12">
        <f t="shared" si="20"/>
        <v>3.8632412594166503</v>
      </c>
      <c r="U56" s="13">
        <v>50</v>
      </c>
      <c r="V56" s="14">
        <v>52.45</v>
      </c>
      <c r="W56" s="12">
        <f t="shared" si="0"/>
        <v>4.8424821272055487</v>
      </c>
      <c r="X56" s="12">
        <f t="shared" si="1"/>
        <v>116.21957105293316</v>
      </c>
      <c r="Y56" s="12">
        <f t="shared" si="2"/>
        <v>9.6581031485416258</v>
      </c>
      <c r="Z56" s="13">
        <v>6</v>
      </c>
      <c r="AA56" s="14">
        <v>6.6829999999999998</v>
      </c>
      <c r="AB56" s="10">
        <v>1</v>
      </c>
      <c r="AC56" s="12">
        <f t="shared" si="3"/>
        <v>9.6849642544110964E-2</v>
      </c>
      <c r="AD56" s="12">
        <f t="shared" si="4"/>
        <v>2.3243914210586634</v>
      </c>
      <c r="AE56" s="12">
        <f t="shared" si="5"/>
        <v>0.19316206297083252</v>
      </c>
      <c r="AF56" s="13">
        <v>81</v>
      </c>
      <c r="AG56" s="52">
        <v>100.483</v>
      </c>
      <c r="AH56" s="61">
        <v>71</v>
      </c>
      <c r="AI56" s="16">
        <f t="shared" si="21"/>
        <v>6.8763246206318787</v>
      </c>
      <c r="AJ56" s="48">
        <f t="shared" si="22"/>
        <v>165.0317908951651</v>
      </c>
      <c r="AK56" s="48">
        <f t="shared" si="23"/>
        <v>13.714506470929109</v>
      </c>
      <c r="AL56" s="57">
        <v>25</v>
      </c>
      <c r="AM56" s="14">
        <v>23.45</v>
      </c>
      <c r="AN56" s="12">
        <f t="shared" si="24"/>
        <v>2.4212410636027744</v>
      </c>
      <c r="AO56" s="12">
        <f t="shared" si="25"/>
        <v>58.109785526466581</v>
      </c>
      <c r="AP56" s="12">
        <f t="shared" si="26"/>
        <v>4.8290515742708129</v>
      </c>
      <c r="AQ56" s="13">
        <v>17</v>
      </c>
      <c r="AR56" s="14">
        <v>23</v>
      </c>
      <c r="AS56" s="12">
        <f t="shared" si="6"/>
        <v>1.6464439232498864</v>
      </c>
      <c r="AT56" s="12">
        <f t="shared" si="7"/>
        <v>39.514654157997278</v>
      </c>
      <c r="AU56" s="12">
        <f t="shared" si="8"/>
        <v>3.2837550705041525</v>
      </c>
      <c r="AV56" s="13">
        <v>1</v>
      </c>
      <c r="AW56" s="14">
        <v>0.76700000000000002</v>
      </c>
      <c r="AX56" s="12">
        <f t="shared" si="9"/>
        <v>9.6849642544110964E-2</v>
      </c>
      <c r="AY56" s="12">
        <f t="shared" si="10"/>
        <v>2.3243914210586634</v>
      </c>
      <c r="AZ56" s="12">
        <f t="shared" si="11"/>
        <v>0.19316206297083252</v>
      </c>
      <c r="BA56" s="13">
        <v>7</v>
      </c>
      <c r="BB56" s="52">
        <v>5.2329999999999997</v>
      </c>
      <c r="BC56" s="48">
        <f t="shared" si="12"/>
        <v>0.67794749780877683</v>
      </c>
      <c r="BD56" s="48">
        <f t="shared" si="13"/>
        <v>16.270739947410643</v>
      </c>
      <c r="BE56" s="48">
        <f t="shared" si="14"/>
        <v>1.3521344407958276</v>
      </c>
    </row>
    <row r="57" spans="1:57">
      <c r="A57" s="15" t="s">
        <v>217</v>
      </c>
      <c r="B57" s="9" t="str">
        <f>"53"</f>
        <v>53</v>
      </c>
      <c r="C57" s="9" t="str">
        <f>"4040 11082 124 1-1"</f>
        <v>4040 11082 124 1-1</v>
      </c>
      <c r="D57" s="9" t="str">
        <f>"1039 R"</f>
        <v>1039 R</v>
      </c>
      <c r="E57" s="10">
        <f t="shared" si="15"/>
        <v>777.99956900145196</v>
      </c>
      <c r="F57" s="11">
        <f t="shared" si="16"/>
        <v>88.296250000000001</v>
      </c>
      <c r="G57" s="11">
        <v>635.73299999999995</v>
      </c>
      <c r="H57" s="11">
        <v>84.266999999999996</v>
      </c>
      <c r="I57" s="11">
        <v>494.6</v>
      </c>
      <c r="J57" s="11">
        <v>155.1</v>
      </c>
      <c r="K57" s="11">
        <v>4154644.48</v>
      </c>
      <c r="L57" s="11">
        <v>38144</v>
      </c>
      <c r="M57" s="11">
        <f t="shared" si="17"/>
        <v>108.92</v>
      </c>
      <c r="N57" s="13">
        <v>9</v>
      </c>
      <c r="O57" s="14">
        <v>6.8</v>
      </c>
      <c r="P57" s="13">
        <v>21</v>
      </c>
      <c r="Q57" s="14">
        <v>32.200000000000003</v>
      </c>
      <c r="R57" s="12">
        <f t="shared" si="18"/>
        <v>1.9819641264493115</v>
      </c>
      <c r="S57" s="12">
        <f t="shared" si="19"/>
        <v>47.567139034783473</v>
      </c>
      <c r="T57" s="12">
        <f t="shared" si="20"/>
        <v>4.2458552365547915</v>
      </c>
      <c r="U57" s="13">
        <v>34</v>
      </c>
      <c r="V57" s="14">
        <v>24.95</v>
      </c>
      <c r="W57" s="12">
        <f t="shared" si="0"/>
        <v>3.2088942999655519</v>
      </c>
      <c r="X57" s="12">
        <f t="shared" si="1"/>
        <v>77.013463199173245</v>
      </c>
      <c r="Y57" s="12">
        <f t="shared" si="2"/>
        <v>6.8742418115649002</v>
      </c>
      <c r="Z57" s="13">
        <v>17</v>
      </c>
      <c r="AA57" s="14">
        <v>20.317</v>
      </c>
      <c r="AB57" s="10">
        <v>0</v>
      </c>
      <c r="AC57" s="12">
        <f t="shared" si="3"/>
        <v>0</v>
      </c>
      <c r="AD57" s="12">
        <f t="shared" si="4"/>
        <v>0</v>
      </c>
      <c r="AE57" s="12">
        <f t="shared" si="5"/>
        <v>0</v>
      </c>
      <c r="AF57" s="13">
        <v>81</v>
      </c>
      <c r="AG57" s="52">
        <v>84.266999999999996</v>
      </c>
      <c r="AH57" s="61">
        <v>55</v>
      </c>
      <c r="AI57" s="16">
        <f t="shared" si="21"/>
        <v>5.1908584264148629</v>
      </c>
      <c r="AJ57" s="48">
        <f t="shared" si="22"/>
        <v>124.58060223395672</v>
      </c>
      <c r="AK57" s="48">
        <f t="shared" si="23"/>
        <v>11.120097048119693</v>
      </c>
      <c r="AL57" s="57">
        <v>19</v>
      </c>
      <c r="AM57" s="14">
        <v>15.382999999999999</v>
      </c>
      <c r="AN57" s="12">
        <f t="shared" si="24"/>
        <v>1.7932056382160437</v>
      </c>
      <c r="AO57" s="12">
        <f t="shared" si="25"/>
        <v>43.036935317185048</v>
      </c>
      <c r="AP57" s="12">
        <f t="shared" si="26"/>
        <v>3.8414880711686208</v>
      </c>
      <c r="AQ57" s="13">
        <v>10</v>
      </c>
      <c r="AR57" s="14">
        <v>4.9669999999999996</v>
      </c>
      <c r="AS57" s="12">
        <f t="shared" si="6"/>
        <v>0.94379244116633876</v>
      </c>
      <c r="AT57" s="12">
        <f t="shared" si="7"/>
        <v>22.65101858799213</v>
      </c>
      <c r="AU57" s="12">
        <f t="shared" si="8"/>
        <v>2.021835826930853</v>
      </c>
      <c r="AV57" s="13">
        <v>4</v>
      </c>
      <c r="AW57" s="14">
        <v>3.9670000000000001</v>
      </c>
      <c r="AX57" s="12">
        <f t="shared" si="9"/>
        <v>0.37751697646653554</v>
      </c>
      <c r="AY57" s="12">
        <f t="shared" si="10"/>
        <v>9.0604074351968524</v>
      </c>
      <c r="AZ57" s="12">
        <f t="shared" si="11"/>
        <v>0.80873433077234125</v>
      </c>
      <c r="BA57" s="13">
        <v>1</v>
      </c>
      <c r="BB57" s="52">
        <v>0.63300000000000001</v>
      </c>
      <c r="BC57" s="48">
        <f t="shared" si="12"/>
        <v>9.4379244116633884E-2</v>
      </c>
      <c r="BD57" s="48">
        <f t="shared" si="13"/>
        <v>2.2651018587992131</v>
      </c>
      <c r="BE57" s="48">
        <f t="shared" si="14"/>
        <v>0.20218358269308531</v>
      </c>
    </row>
    <row r="58" spans="1:57">
      <c r="A58" s="15" t="s">
        <v>217</v>
      </c>
      <c r="B58" s="9" t="str">
        <f>"54"</f>
        <v>54</v>
      </c>
      <c r="C58" s="9" t="str">
        <f>"4040 13079 67x59 4-1"</f>
        <v>4040 13079 67x59 4-1</v>
      </c>
      <c r="D58" s="9" t="str">
        <f>"1160 Z"</f>
        <v>1160 Z</v>
      </c>
      <c r="E58" s="10">
        <f t="shared" si="15"/>
        <v>581.65608537079561</v>
      </c>
      <c r="F58" s="11">
        <f t="shared" si="16"/>
        <v>51.409722222222221</v>
      </c>
      <c r="G58" s="11">
        <v>370.15</v>
      </c>
      <c r="H58" s="11">
        <v>349.85</v>
      </c>
      <c r="I58" s="11">
        <v>215.3</v>
      </c>
      <c r="J58" s="11">
        <v>70.3</v>
      </c>
      <c r="K58" s="11">
        <v>2305960.4700000002</v>
      </c>
      <c r="L58" s="11">
        <v>22209</v>
      </c>
      <c r="M58" s="11">
        <f t="shared" si="17"/>
        <v>103.83000000000001</v>
      </c>
      <c r="N58" s="13">
        <v>5</v>
      </c>
      <c r="O58" s="14">
        <v>52.582999999999998</v>
      </c>
      <c r="P58" s="13">
        <v>41</v>
      </c>
      <c r="Q58" s="14">
        <v>233.483</v>
      </c>
      <c r="R58" s="12">
        <f t="shared" si="18"/>
        <v>6.6459543428339867</v>
      </c>
      <c r="S58" s="12">
        <f t="shared" si="19"/>
        <v>159.50290422801567</v>
      </c>
      <c r="T58" s="12">
        <f t="shared" si="20"/>
        <v>19.043195541105433</v>
      </c>
      <c r="U58" s="13">
        <v>29</v>
      </c>
      <c r="V58" s="14">
        <v>41.55</v>
      </c>
      <c r="W58" s="12">
        <f t="shared" si="0"/>
        <v>4.7007969741996494</v>
      </c>
      <c r="X58" s="12">
        <f t="shared" si="1"/>
        <v>112.81912738079158</v>
      </c>
      <c r="Y58" s="12">
        <f t="shared" si="2"/>
        <v>13.469577333952623</v>
      </c>
      <c r="Z58" s="13">
        <v>0</v>
      </c>
      <c r="AA58" s="14">
        <v>22.233000000000001</v>
      </c>
      <c r="AB58" s="10">
        <v>0</v>
      </c>
      <c r="AC58" s="12">
        <f t="shared" si="3"/>
        <v>0</v>
      </c>
      <c r="AD58" s="12">
        <f t="shared" si="4"/>
        <v>0</v>
      </c>
      <c r="AE58" s="12">
        <f t="shared" si="5"/>
        <v>0</v>
      </c>
      <c r="AF58" s="13">
        <v>75</v>
      </c>
      <c r="AG58" s="52">
        <v>349.84899999999999</v>
      </c>
      <c r="AH58" s="61">
        <v>70</v>
      </c>
      <c r="AI58" s="16">
        <f t="shared" si="21"/>
        <v>11.346751317033636</v>
      </c>
      <c r="AJ58" s="48">
        <f t="shared" si="22"/>
        <v>272.32203160880727</v>
      </c>
      <c r="AK58" s="48">
        <f t="shared" si="23"/>
        <v>32.512772875058054</v>
      </c>
      <c r="AL58" s="57">
        <v>8</v>
      </c>
      <c r="AM58" s="14">
        <v>10.217000000000001</v>
      </c>
      <c r="AN58" s="12">
        <f t="shared" si="24"/>
        <v>1.2967715790895584</v>
      </c>
      <c r="AO58" s="12">
        <f t="shared" si="25"/>
        <v>31.1225178981494</v>
      </c>
      <c r="AP58" s="12">
        <f t="shared" si="26"/>
        <v>3.7157454714352065</v>
      </c>
      <c r="AQ58" s="13">
        <v>14</v>
      </c>
      <c r="AR58" s="14">
        <v>23.567</v>
      </c>
      <c r="AS58" s="12">
        <f t="shared" si="6"/>
        <v>2.2693502634067273</v>
      </c>
      <c r="AT58" s="12">
        <f t="shared" si="7"/>
        <v>54.464406321761452</v>
      </c>
      <c r="AU58" s="12">
        <f t="shared" si="8"/>
        <v>6.5025545750116116</v>
      </c>
      <c r="AV58" s="13">
        <v>5</v>
      </c>
      <c r="AW58" s="14">
        <v>5.95</v>
      </c>
      <c r="AX58" s="12">
        <f t="shared" si="9"/>
        <v>0.81048223693097399</v>
      </c>
      <c r="AY58" s="12">
        <f t="shared" si="10"/>
        <v>19.451573686343377</v>
      </c>
      <c r="AZ58" s="12">
        <f t="shared" si="11"/>
        <v>2.322340919647004</v>
      </c>
      <c r="BA58" s="13">
        <v>2</v>
      </c>
      <c r="BB58" s="52">
        <v>1.8169999999999999</v>
      </c>
      <c r="BC58" s="48">
        <f t="shared" si="12"/>
        <v>0.32419289477238961</v>
      </c>
      <c r="BD58" s="48">
        <f t="shared" si="13"/>
        <v>7.7806294745373501</v>
      </c>
      <c r="BE58" s="48">
        <f t="shared" si="14"/>
        <v>0.92893636785880163</v>
      </c>
    </row>
    <row r="59" spans="1:57">
      <c r="A59" s="15" t="s">
        <v>217</v>
      </c>
      <c r="B59" s="9" t="str">
        <f>"55"</f>
        <v>55</v>
      </c>
      <c r="C59" s="9" t="str">
        <f>"4040 10080 124 1-1"</f>
        <v>4040 10080 124 1-1</v>
      </c>
      <c r="D59" s="9" t="str">
        <f>"1195 Z"</f>
        <v>1195 Z</v>
      </c>
      <c r="E59" s="10">
        <f t="shared" si="15"/>
        <v>780.28007847424647</v>
      </c>
      <c r="F59" s="11">
        <f t="shared" si="16"/>
        <v>87.148194444444442</v>
      </c>
      <c r="G59" s="11">
        <v>627.46699999999998</v>
      </c>
      <c r="H59" s="11">
        <v>92.533000000000001</v>
      </c>
      <c r="I59" s="11">
        <v>489.6</v>
      </c>
      <c r="J59" s="11">
        <v>156.4</v>
      </c>
      <c r="K59" s="11">
        <v>4766236.8</v>
      </c>
      <c r="L59" s="11">
        <v>37648</v>
      </c>
      <c r="M59" s="11">
        <f t="shared" si="17"/>
        <v>126.6</v>
      </c>
      <c r="N59" s="13">
        <v>6</v>
      </c>
      <c r="O59" s="14">
        <v>2.6829999999999998</v>
      </c>
      <c r="P59" s="13">
        <v>34</v>
      </c>
      <c r="Q59" s="14">
        <v>54.95</v>
      </c>
      <c r="R59" s="12">
        <f t="shared" si="18"/>
        <v>3.2511669936426935</v>
      </c>
      <c r="S59" s="12">
        <f t="shared" si="19"/>
        <v>78.028007847424647</v>
      </c>
      <c r="T59" s="12">
        <f t="shared" si="20"/>
        <v>6.9444444444444438</v>
      </c>
      <c r="U59" s="13">
        <v>22</v>
      </c>
      <c r="V59" s="14">
        <v>20.983000000000001</v>
      </c>
      <c r="W59" s="12">
        <f t="shared" si="0"/>
        <v>2.1036962900040961</v>
      </c>
      <c r="X59" s="12">
        <f t="shared" si="1"/>
        <v>50.488710960098302</v>
      </c>
      <c r="Y59" s="12">
        <f t="shared" si="2"/>
        <v>4.4934640522875817</v>
      </c>
      <c r="Z59" s="13">
        <v>7</v>
      </c>
      <c r="AA59" s="14">
        <v>13.916</v>
      </c>
      <c r="AB59" s="10">
        <v>0</v>
      </c>
      <c r="AC59" s="12">
        <f t="shared" si="3"/>
        <v>0</v>
      </c>
      <c r="AD59" s="12">
        <f t="shared" si="4"/>
        <v>0</v>
      </c>
      <c r="AE59" s="12">
        <f t="shared" si="5"/>
        <v>0</v>
      </c>
      <c r="AF59" s="13">
        <v>69</v>
      </c>
      <c r="AG59" s="52">
        <v>92.531999999999996</v>
      </c>
      <c r="AH59" s="61">
        <v>56</v>
      </c>
      <c r="AI59" s="16">
        <f t="shared" si="21"/>
        <v>5.3548632836467895</v>
      </c>
      <c r="AJ59" s="48">
        <f t="shared" si="22"/>
        <v>128.51671880752295</v>
      </c>
      <c r="AK59" s="48">
        <f t="shared" si="23"/>
        <v>11.437908496732026</v>
      </c>
      <c r="AL59" s="57">
        <v>10</v>
      </c>
      <c r="AM59" s="14">
        <v>10.766999999999999</v>
      </c>
      <c r="AN59" s="12">
        <f t="shared" si="24"/>
        <v>0.95622558636549815</v>
      </c>
      <c r="AO59" s="12">
        <f t="shared" si="25"/>
        <v>22.949414072771955</v>
      </c>
      <c r="AP59" s="12">
        <f t="shared" si="26"/>
        <v>2.0424836601307188</v>
      </c>
      <c r="AQ59" s="13">
        <v>7</v>
      </c>
      <c r="AR59" s="14">
        <v>6.5830000000000002</v>
      </c>
      <c r="AS59" s="12">
        <f t="shared" si="6"/>
        <v>0.66935791045584869</v>
      </c>
      <c r="AT59" s="12">
        <f t="shared" si="7"/>
        <v>16.064589850940369</v>
      </c>
      <c r="AU59" s="12">
        <f t="shared" si="8"/>
        <v>1.4297385620915033</v>
      </c>
      <c r="AV59" s="13">
        <v>4</v>
      </c>
      <c r="AW59" s="14">
        <v>2.117</v>
      </c>
      <c r="AX59" s="12">
        <f t="shared" si="9"/>
        <v>0.38249023454619924</v>
      </c>
      <c r="AY59" s="12">
        <f t="shared" si="10"/>
        <v>9.1797656291087826</v>
      </c>
      <c r="AZ59" s="12">
        <f t="shared" si="11"/>
        <v>0.81699346405228757</v>
      </c>
      <c r="BA59" s="13">
        <v>1</v>
      </c>
      <c r="BB59" s="52">
        <v>1.5169999999999999</v>
      </c>
      <c r="BC59" s="48">
        <f t="shared" si="12"/>
        <v>9.5622558636549809E-2</v>
      </c>
      <c r="BD59" s="48">
        <f t="shared" si="13"/>
        <v>2.2949414072771956</v>
      </c>
      <c r="BE59" s="48">
        <f t="shared" si="14"/>
        <v>0.20424836601307189</v>
      </c>
    </row>
    <row r="60" spans="1:57">
      <c r="A60" s="15" t="s">
        <v>217</v>
      </c>
      <c r="B60" s="9" t="str">
        <f>"56"</f>
        <v>56</v>
      </c>
      <c r="C60" s="9" t="str">
        <f>"4040 10080 124 1-1"</f>
        <v>4040 10080 124 1-1</v>
      </c>
      <c r="D60" s="9" t="str">
        <f>"1022 Z"</f>
        <v>1022 Z</v>
      </c>
      <c r="E60" s="10">
        <f t="shared" si="15"/>
        <v>697.79259965062727</v>
      </c>
      <c r="F60" s="11">
        <f t="shared" si="16"/>
        <v>87.458333333333343</v>
      </c>
      <c r="G60" s="11">
        <v>629.70000000000005</v>
      </c>
      <c r="H60" s="11">
        <v>90.3</v>
      </c>
      <c r="I60" s="11">
        <v>439.4</v>
      </c>
      <c r="J60" s="11">
        <v>140.4</v>
      </c>
      <c r="K60" s="11">
        <v>3840540.3</v>
      </c>
      <c r="L60" s="11">
        <v>37782</v>
      </c>
      <c r="M60" s="11">
        <f t="shared" si="17"/>
        <v>101.64999999999999</v>
      </c>
      <c r="N60" s="13">
        <v>3</v>
      </c>
      <c r="O60" s="14">
        <v>2</v>
      </c>
      <c r="P60" s="13">
        <v>26</v>
      </c>
      <c r="Q60" s="14">
        <v>48.917000000000002</v>
      </c>
      <c r="R60" s="12">
        <f t="shared" si="18"/>
        <v>2.477370176274416</v>
      </c>
      <c r="S60" s="12">
        <f t="shared" si="19"/>
        <v>59.456884230585992</v>
      </c>
      <c r="T60" s="12">
        <f t="shared" si="20"/>
        <v>5.9171597633136095</v>
      </c>
      <c r="U60" s="13">
        <v>33</v>
      </c>
      <c r="V60" s="14">
        <v>36.85</v>
      </c>
      <c r="W60" s="12">
        <f t="shared" si="0"/>
        <v>3.1443544545021438</v>
      </c>
      <c r="X60" s="12">
        <f t="shared" si="1"/>
        <v>75.464506908051447</v>
      </c>
      <c r="Y60" s="12">
        <f t="shared" si="2"/>
        <v>7.510241238051889</v>
      </c>
      <c r="Z60" s="13">
        <v>2</v>
      </c>
      <c r="AA60" s="14">
        <v>2.5329999999999999</v>
      </c>
      <c r="AB60" s="10">
        <v>0</v>
      </c>
      <c r="AC60" s="12">
        <f t="shared" si="3"/>
        <v>0</v>
      </c>
      <c r="AD60" s="12">
        <f t="shared" si="4"/>
        <v>0</v>
      </c>
      <c r="AE60" s="12">
        <f t="shared" si="5"/>
        <v>0</v>
      </c>
      <c r="AF60" s="13">
        <v>64</v>
      </c>
      <c r="AG60" s="52">
        <v>90.3</v>
      </c>
      <c r="AH60" s="61">
        <v>59</v>
      </c>
      <c r="AI60" s="16">
        <f t="shared" si="21"/>
        <v>5.6217246307765603</v>
      </c>
      <c r="AJ60" s="48">
        <f t="shared" si="22"/>
        <v>134.92139113863743</v>
      </c>
      <c r="AK60" s="48">
        <f t="shared" si="23"/>
        <v>13.427401001365499</v>
      </c>
      <c r="AL60" s="57">
        <v>10</v>
      </c>
      <c r="AM60" s="14">
        <v>9.1669999999999998</v>
      </c>
      <c r="AN60" s="12">
        <f t="shared" si="24"/>
        <v>0.95283468318246778</v>
      </c>
      <c r="AO60" s="12">
        <f t="shared" si="25"/>
        <v>22.868032396379228</v>
      </c>
      <c r="AP60" s="12">
        <f t="shared" si="26"/>
        <v>2.2758306781975421</v>
      </c>
      <c r="AQ60" s="13">
        <v>11</v>
      </c>
      <c r="AR60" s="14">
        <v>18.45</v>
      </c>
      <c r="AS60" s="12">
        <f t="shared" si="6"/>
        <v>1.0481181515007145</v>
      </c>
      <c r="AT60" s="12">
        <f t="shared" si="7"/>
        <v>25.15483563601715</v>
      </c>
      <c r="AU60" s="12">
        <f t="shared" si="8"/>
        <v>2.5034137460172965</v>
      </c>
      <c r="AV60" s="13">
        <v>9</v>
      </c>
      <c r="AW60" s="14">
        <v>7.75</v>
      </c>
      <c r="AX60" s="12">
        <f t="shared" si="9"/>
        <v>0.85755121486422103</v>
      </c>
      <c r="AY60" s="12">
        <f t="shared" si="10"/>
        <v>20.581229156741305</v>
      </c>
      <c r="AZ60" s="12">
        <f t="shared" si="11"/>
        <v>2.0482476103777878</v>
      </c>
      <c r="BA60" s="13">
        <v>3</v>
      </c>
      <c r="BB60" s="52">
        <v>1.4830000000000001</v>
      </c>
      <c r="BC60" s="48">
        <f t="shared" si="12"/>
        <v>0.28585040495474034</v>
      </c>
      <c r="BD60" s="48">
        <f t="shared" si="13"/>
        <v>6.8604097189137683</v>
      </c>
      <c r="BE60" s="48">
        <f t="shared" si="14"/>
        <v>0.68274920345926271</v>
      </c>
    </row>
    <row r="61" spans="1:57">
      <c r="A61" s="15" t="s">
        <v>217</v>
      </c>
      <c r="B61" s="9" t="str">
        <f>"57"</f>
        <v>57</v>
      </c>
      <c r="C61" s="9" t="str">
        <f>"6060 18587 126 4-1"</f>
        <v>6060 18587 126 4-1</v>
      </c>
      <c r="D61" s="9" t="str">
        <f>"1043 Z"</f>
        <v>1043 Z</v>
      </c>
      <c r="E61" s="10">
        <f t="shared" si="15"/>
        <v>661.49688638232874</v>
      </c>
      <c r="F61" s="11">
        <f t="shared" si="16"/>
        <v>59.100062495660026</v>
      </c>
      <c r="G61" s="11">
        <v>425.55</v>
      </c>
      <c r="H61" s="11">
        <v>294.5</v>
      </c>
      <c r="I61" s="11">
        <v>281.5</v>
      </c>
      <c r="J61" s="11">
        <v>84.7</v>
      </c>
      <c r="K61" s="11">
        <v>2337035.4900000002</v>
      </c>
      <c r="L61" s="11">
        <v>25533</v>
      </c>
      <c r="M61" s="11">
        <f t="shared" si="17"/>
        <v>91.530000000000015</v>
      </c>
      <c r="N61" s="13">
        <v>16</v>
      </c>
      <c r="O61" s="14">
        <v>22.5</v>
      </c>
      <c r="P61" s="13">
        <v>14</v>
      </c>
      <c r="Q61" s="14">
        <v>44.65</v>
      </c>
      <c r="R61" s="12">
        <f t="shared" si="18"/>
        <v>1.973916108565386</v>
      </c>
      <c r="S61" s="12">
        <f t="shared" si="19"/>
        <v>47.373986605569264</v>
      </c>
      <c r="T61" s="12">
        <f t="shared" si="20"/>
        <v>4.9733570159857905</v>
      </c>
      <c r="U61" s="13">
        <v>21</v>
      </c>
      <c r="V61" s="14">
        <v>11.9</v>
      </c>
      <c r="W61" s="12">
        <f t="shared" si="0"/>
        <v>2.960874162848079</v>
      </c>
      <c r="X61" s="12">
        <f t="shared" si="1"/>
        <v>71.060979908353886</v>
      </c>
      <c r="Y61" s="12">
        <f t="shared" si="2"/>
        <v>7.4600355239786857</v>
      </c>
      <c r="Z61" s="13">
        <v>5</v>
      </c>
      <c r="AA61" s="14">
        <v>215.45</v>
      </c>
      <c r="AB61" s="10">
        <v>0</v>
      </c>
      <c r="AC61" s="12">
        <f t="shared" si="3"/>
        <v>0</v>
      </c>
      <c r="AD61" s="12">
        <f t="shared" si="4"/>
        <v>0</v>
      </c>
      <c r="AE61" s="12">
        <f t="shared" si="5"/>
        <v>0</v>
      </c>
      <c r="AF61" s="13">
        <v>56</v>
      </c>
      <c r="AG61" s="52">
        <v>294.5</v>
      </c>
      <c r="AH61" s="61">
        <v>35</v>
      </c>
      <c r="AI61" s="16">
        <f t="shared" si="21"/>
        <v>4.9347902714134646</v>
      </c>
      <c r="AJ61" s="48">
        <f t="shared" si="22"/>
        <v>118.43496651392316</v>
      </c>
      <c r="AK61" s="48">
        <f t="shared" si="23"/>
        <v>12.433392539964476</v>
      </c>
      <c r="AL61" s="57">
        <v>6</v>
      </c>
      <c r="AM61" s="14">
        <v>2.4169999999999998</v>
      </c>
      <c r="AN61" s="12">
        <f t="shared" si="24"/>
        <v>0.84596404652802248</v>
      </c>
      <c r="AO61" s="12">
        <f t="shared" si="25"/>
        <v>20.303137116672541</v>
      </c>
      <c r="AP61" s="12">
        <f t="shared" si="26"/>
        <v>2.1314387211367674</v>
      </c>
      <c r="AQ61" s="13">
        <v>10</v>
      </c>
      <c r="AR61" s="14">
        <v>5.633</v>
      </c>
      <c r="AS61" s="12">
        <f t="shared" si="6"/>
        <v>1.4099400775467041</v>
      </c>
      <c r="AT61" s="12">
        <f t="shared" si="7"/>
        <v>33.838561861120901</v>
      </c>
      <c r="AU61" s="12">
        <f t="shared" si="8"/>
        <v>3.5523978685612789</v>
      </c>
      <c r="AV61" s="13">
        <v>2</v>
      </c>
      <c r="AW61" s="14">
        <v>1.417</v>
      </c>
      <c r="AX61" s="12">
        <f t="shared" si="9"/>
        <v>0.28198801550934083</v>
      </c>
      <c r="AY61" s="12">
        <f t="shared" si="10"/>
        <v>6.7677123722241799</v>
      </c>
      <c r="AZ61" s="12">
        <f t="shared" si="11"/>
        <v>0.71047957371225579</v>
      </c>
      <c r="BA61" s="13">
        <v>3</v>
      </c>
      <c r="BB61" s="52">
        <v>2.4329999999999998</v>
      </c>
      <c r="BC61" s="48">
        <f t="shared" si="12"/>
        <v>0.42298202326401124</v>
      </c>
      <c r="BD61" s="48">
        <f t="shared" si="13"/>
        <v>10.151568558336271</v>
      </c>
      <c r="BE61" s="48">
        <f t="shared" si="14"/>
        <v>1.0657193605683837</v>
      </c>
    </row>
    <row r="62" spans="1:57">
      <c r="A62" s="15" t="s">
        <v>217</v>
      </c>
      <c r="B62" s="9" t="str">
        <f>"58"</f>
        <v>58</v>
      </c>
      <c r="C62" s="9" t="str">
        <f>"6060 18587 123 4-1"</f>
        <v>6060 18587 123 4-1</v>
      </c>
      <c r="D62" s="9" t="str">
        <f>"1029 R"</f>
        <v>1029 R</v>
      </c>
      <c r="E62" s="10">
        <f t="shared" si="15"/>
        <v>648.40603459528495</v>
      </c>
      <c r="F62" s="11">
        <f t="shared" si="16"/>
        <v>88.314861111111114</v>
      </c>
      <c r="G62" s="11">
        <v>635.86699999999996</v>
      </c>
      <c r="H62" s="11">
        <v>84.132999999999996</v>
      </c>
      <c r="I62" s="11">
        <v>412.3</v>
      </c>
      <c r="J62" s="11">
        <v>120.4</v>
      </c>
      <c r="K62" s="11">
        <v>3649238.8</v>
      </c>
      <c r="L62" s="11">
        <v>38152</v>
      </c>
      <c r="M62" s="11">
        <f t="shared" si="17"/>
        <v>95.649999999999991</v>
      </c>
      <c r="N62" s="13">
        <v>4</v>
      </c>
      <c r="O62" s="14">
        <v>3.7</v>
      </c>
      <c r="P62" s="13">
        <v>27</v>
      </c>
      <c r="Q62" s="14">
        <v>56.933</v>
      </c>
      <c r="R62" s="12">
        <f t="shared" si="18"/>
        <v>2.5477025856035933</v>
      </c>
      <c r="S62" s="12">
        <f t="shared" si="19"/>
        <v>61.144862054486239</v>
      </c>
      <c r="T62" s="12">
        <f t="shared" si="20"/>
        <v>6.5486296386126606</v>
      </c>
      <c r="U62" s="13">
        <v>34</v>
      </c>
      <c r="V62" s="14">
        <v>21.85</v>
      </c>
      <c r="W62" s="12">
        <f t="shared" si="0"/>
        <v>3.2082180707600805</v>
      </c>
      <c r="X62" s="12">
        <f t="shared" si="1"/>
        <v>76.997233698241928</v>
      </c>
      <c r="Y62" s="12">
        <f t="shared" si="2"/>
        <v>8.2464225078826097</v>
      </c>
      <c r="Z62" s="13">
        <v>1</v>
      </c>
      <c r="AA62" s="14">
        <v>1.65</v>
      </c>
      <c r="AB62" s="10">
        <v>0</v>
      </c>
      <c r="AC62" s="12">
        <f t="shared" si="3"/>
        <v>0</v>
      </c>
      <c r="AD62" s="12">
        <f t="shared" si="4"/>
        <v>0</v>
      </c>
      <c r="AE62" s="12">
        <f t="shared" si="5"/>
        <v>0</v>
      </c>
      <c r="AF62" s="13">
        <v>66</v>
      </c>
      <c r="AG62" s="52">
        <v>84.132999999999996</v>
      </c>
      <c r="AH62" s="61">
        <v>61</v>
      </c>
      <c r="AI62" s="16">
        <f t="shared" si="21"/>
        <v>5.7559206563636742</v>
      </c>
      <c r="AJ62" s="48">
        <f t="shared" si="22"/>
        <v>138.14209575272818</v>
      </c>
      <c r="AK62" s="48">
        <f t="shared" si="23"/>
        <v>14.795052146495269</v>
      </c>
      <c r="AL62" s="57">
        <v>11</v>
      </c>
      <c r="AM62" s="14">
        <v>4.9829999999999997</v>
      </c>
      <c r="AN62" s="12">
        <f t="shared" si="24"/>
        <v>1.0379529052459084</v>
      </c>
      <c r="AO62" s="12">
        <f t="shared" si="25"/>
        <v>24.910869725901801</v>
      </c>
      <c r="AP62" s="12">
        <f t="shared" si="26"/>
        <v>2.6679602231384911</v>
      </c>
      <c r="AQ62" s="13">
        <v>19</v>
      </c>
      <c r="AR62" s="14">
        <v>12.467000000000001</v>
      </c>
      <c r="AS62" s="12">
        <f t="shared" si="6"/>
        <v>1.792827745424751</v>
      </c>
      <c r="AT62" s="12">
        <f t="shared" si="7"/>
        <v>43.027865890194022</v>
      </c>
      <c r="AU62" s="12">
        <f t="shared" si="8"/>
        <v>4.6082949308755756</v>
      </c>
      <c r="AV62" s="13">
        <v>1</v>
      </c>
      <c r="AW62" s="14">
        <v>0.11700000000000001</v>
      </c>
      <c r="AX62" s="12">
        <f t="shared" si="9"/>
        <v>9.4359355022355304E-2</v>
      </c>
      <c r="AY62" s="12">
        <f t="shared" si="10"/>
        <v>2.2646245205365276</v>
      </c>
      <c r="AZ62" s="12">
        <f t="shared" si="11"/>
        <v>0.24254183846713556</v>
      </c>
      <c r="BA62" s="13">
        <v>3</v>
      </c>
      <c r="BB62" s="52">
        <v>4.2830000000000004</v>
      </c>
      <c r="BC62" s="48">
        <f t="shared" si="12"/>
        <v>0.28307806506706595</v>
      </c>
      <c r="BD62" s="48">
        <f t="shared" si="13"/>
        <v>6.7938735616095824</v>
      </c>
      <c r="BE62" s="48">
        <f t="shared" si="14"/>
        <v>0.72762551540140674</v>
      </c>
    </row>
    <row r="63" spans="1:57">
      <c r="A63" s="15" t="s">
        <v>217</v>
      </c>
      <c r="B63" s="9" t="str">
        <f>"59"</f>
        <v>59</v>
      </c>
      <c r="C63" s="9" t="str">
        <f>"6060 178120 100 4-1"</f>
        <v>6060 178120 100 4-1</v>
      </c>
      <c r="D63" s="9" t="str">
        <f>"1051 Z"</f>
        <v>1051 Z</v>
      </c>
      <c r="E63" s="10">
        <f t="shared" si="15"/>
        <v>693.33333333333337</v>
      </c>
      <c r="F63" s="11">
        <f t="shared" si="16"/>
        <v>60.416666666666664</v>
      </c>
      <c r="G63" s="11">
        <v>435</v>
      </c>
      <c r="H63" s="11">
        <v>285</v>
      </c>
      <c r="I63" s="11">
        <v>301.60000000000002</v>
      </c>
      <c r="J63" s="11">
        <v>65.099999999999994</v>
      </c>
      <c r="K63" s="11">
        <v>1618200</v>
      </c>
      <c r="L63" s="11">
        <v>26100</v>
      </c>
      <c r="M63" s="11">
        <f t="shared" si="17"/>
        <v>62</v>
      </c>
      <c r="N63" s="13">
        <v>2</v>
      </c>
      <c r="O63" s="14">
        <v>2.2170000000000001</v>
      </c>
      <c r="P63" s="13">
        <v>33</v>
      </c>
      <c r="Q63" s="14">
        <v>108.833</v>
      </c>
      <c r="R63" s="12">
        <f t="shared" si="18"/>
        <v>4.5517241379310347</v>
      </c>
      <c r="S63" s="12">
        <f t="shared" si="19"/>
        <v>109.24137931034483</v>
      </c>
      <c r="T63" s="12">
        <f t="shared" si="20"/>
        <v>10.941644562334217</v>
      </c>
      <c r="U63" s="13">
        <v>24</v>
      </c>
      <c r="V63" s="14">
        <v>21.966999999999999</v>
      </c>
      <c r="W63" s="12">
        <f t="shared" si="0"/>
        <v>3.3103448275862069</v>
      </c>
      <c r="X63" s="12">
        <f t="shared" si="1"/>
        <v>79.448275862068968</v>
      </c>
      <c r="Y63" s="12">
        <f t="shared" si="2"/>
        <v>7.957559681697612</v>
      </c>
      <c r="Z63" s="13">
        <v>3</v>
      </c>
      <c r="AA63" s="14">
        <v>151.983</v>
      </c>
      <c r="AB63" s="10">
        <v>0</v>
      </c>
      <c r="AC63" s="12">
        <f t="shared" si="3"/>
        <v>0</v>
      </c>
      <c r="AD63" s="12">
        <f t="shared" si="4"/>
        <v>0</v>
      </c>
      <c r="AE63" s="12">
        <f t="shared" si="5"/>
        <v>0</v>
      </c>
      <c r="AF63" s="13">
        <v>62</v>
      </c>
      <c r="AG63" s="52">
        <v>285</v>
      </c>
      <c r="AH63" s="61">
        <v>57</v>
      </c>
      <c r="AI63" s="16">
        <f t="shared" si="21"/>
        <v>7.8620689655172411</v>
      </c>
      <c r="AJ63" s="48">
        <f t="shared" si="22"/>
        <v>188.68965517241378</v>
      </c>
      <c r="AK63" s="48">
        <f t="shared" si="23"/>
        <v>18.899204244031829</v>
      </c>
      <c r="AL63" s="57">
        <v>6</v>
      </c>
      <c r="AM63" s="14">
        <v>4.0999999999999996</v>
      </c>
      <c r="AN63" s="12">
        <f t="shared" si="24"/>
        <v>0.82758620689655171</v>
      </c>
      <c r="AO63" s="12">
        <f t="shared" si="25"/>
        <v>19.862068965517242</v>
      </c>
      <c r="AP63" s="12">
        <f t="shared" si="26"/>
        <v>1.989389920424403</v>
      </c>
      <c r="AQ63" s="13">
        <v>10</v>
      </c>
      <c r="AR63" s="14">
        <v>10.167</v>
      </c>
      <c r="AS63" s="12">
        <f t="shared" si="6"/>
        <v>1.3793103448275863</v>
      </c>
      <c r="AT63" s="12">
        <f t="shared" si="7"/>
        <v>33.103448275862071</v>
      </c>
      <c r="AU63" s="12">
        <f t="shared" si="8"/>
        <v>3.3156498673740051</v>
      </c>
      <c r="AV63" s="13">
        <v>4</v>
      </c>
      <c r="AW63" s="14">
        <v>5.05</v>
      </c>
      <c r="AX63" s="12">
        <f t="shared" si="9"/>
        <v>0.55172413793103448</v>
      </c>
      <c r="AY63" s="12">
        <f t="shared" si="10"/>
        <v>13.241379310344827</v>
      </c>
      <c r="AZ63" s="12">
        <f t="shared" si="11"/>
        <v>1.3262599469496019</v>
      </c>
      <c r="BA63" s="13">
        <v>4</v>
      </c>
      <c r="BB63" s="52">
        <v>2.65</v>
      </c>
      <c r="BC63" s="48">
        <f t="shared" si="12"/>
        <v>0.55172413793103448</v>
      </c>
      <c r="BD63" s="48">
        <f t="shared" si="13"/>
        <v>13.241379310344827</v>
      </c>
      <c r="BE63" s="48">
        <f t="shared" si="14"/>
        <v>1.3262599469496019</v>
      </c>
    </row>
    <row r="64" spans="1:57">
      <c r="A64" s="15" t="s">
        <v>217</v>
      </c>
      <c r="B64" s="9" t="str">
        <f>"60"</f>
        <v>60</v>
      </c>
      <c r="C64" s="9" t="str">
        <f>"8080 10288 46x2 1-1"</f>
        <v>8080 10288 46x2 1-1</v>
      </c>
      <c r="D64" s="9" t="str">
        <f>"1067 Z"</f>
        <v>1067 Z</v>
      </c>
      <c r="E64" s="10">
        <f t="shared" si="15"/>
        <v>796.67840966280824</v>
      </c>
      <c r="F64" s="11">
        <f t="shared" si="16"/>
        <v>82.791666666666671</v>
      </c>
      <c r="G64" s="11">
        <v>596.1</v>
      </c>
      <c r="H64" s="11">
        <v>123.9</v>
      </c>
      <c r="I64" s="11">
        <v>474.9</v>
      </c>
      <c r="J64" s="11">
        <v>137.1</v>
      </c>
      <c r="K64" s="11">
        <v>2283301.44</v>
      </c>
      <c r="L64" s="11">
        <v>35766</v>
      </c>
      <c r="M64" s="11">
        <f t="shared" si="17"/>
        <v>63.839999999999996</v>
      </c>
      <c r="N64" s="13">
        <v>3</v>
      </c>
      <c r="O64" s="14">
        <v>2.617</v>
      </c>
      <c r="P64" s="13">
        <v>33</v>
      </c>
      <c r="Q64" s="14">
        <v>69.95</v>
      </c>
      <c r="R64" s="12">
        <f t="shared" si="18"/>
        <v>3.3215903371917461</v>
      </c>
      <c r="S64" s="12">
        <f t="shared" si="19"/>
        <v>79.718168092601914</v>
      </c>
      <c r="T64" s="12">
        <f t="shared" si="20"/>
        <v>6.9488313329121922</v>
      </c>
      <c r="U64" s="13">
        <v>55</v>
      </c>
      <c r="V64" s="14">
        <v>42.3</v>
      </c>
      <c r="W64" s="12">
        <f t="shared" si="0"/>
        <v>5.5359838953195775</v>
      </c>
      <c r="X64" s="12">
        <f t="shared" si="1"/>
        <v>132.86361348766985</v>
      </c>
      <c r="Y64" s="12">
        <f t="shared" si="2"/>
        <v>11.581385554853654</v>
      </c>
      <c r="Z64" s="13">
        <v>4</v>
      </c>
      <c r="AA64" s="14">
        <v>9.0329999999999995</v>
      </c>
      <c r="AB64" s="10">
        <v>0</v>
      </c>
      <c r="AC64" s="12">
        <f t="shared" si="3"/>
        <v>0</v>
      </c>
      <c r="AD64" s="12">
        <f t="shared" si="4"/>
        <v>0</v>
      </c>
      <c r="AE64" s="12">
        <f t="shared" si="5"/>
        <v>0</v>
      </c>
      <c r="AF64" s="13">
        <v>95</v>
      </c>
      <c r="AG64" s="52">
        <v>123.9</v>
      </c>
      <c r="AH64" s="61">
        <v>88</v>
      </c>
      <c r="AI64" s="16">
        <f t="shared" si="21"/>
        <v>8.8575742325113236</v>
      </c>
      <c r="AJ64" s="48">
        <f t="shared" si="22"/>
        <v>212.58178158027175</v>
      </c>
      <c r="AK64" s="48">
        <f t="shared" si="23"/>
        <v>18.530216887765846</v>
      </c>
      <c r="AL64" s="57">
        <v>24</v>
      </c>
      <c r="AM64" s="14">
        <v>14.882999999999999</v>
      </c>
      <c r="AN64" s="12">
        <f t="shared" si="24"/>
        <v>2.4157020634121791</v>
      </c>
      <c r="AO64" s="12">
        <f t="shared" si="25"/>
        <v>57.976849521892298</v>
      </c>
      <c r="AP64" s="12">
        <f t="shared" si="26"/>
        <v>5.0536955148452307</v>
      </c>
      <c r="AQ64" s="13">
        <v>22</v>
      </c>
      <c r="AR64" s="14">
        <v>21.033000000000001</v>
      </c>
      <c r="AS64" s="12">
        <f t="shared" si="6"/>
        <v>2.2143935581278309</v>
      </c>
      <c r="AT64" s="12">
        <f t="shared" si="7"/>
        <v>53.145445395067938</v>
      </c>
      <c r="AU64" s="12">
        <f t="shared" si="8"/>
        <v>4.6325542219414615</v>
      </c>
      <c r="AV64" s="13">
        <v>5</v>
      </c>
      <c r="AW64" s="14">
        <v>3.55</v>
      </c>
      <c r="AX64" s="12">
        <f t="shared" si="9"/>
        <v>0.50327126321087068</v>
      </c>
      <c r="AY64" s="12">
        <f t="shared" si="10"/>
        <v>12.078510317060895</v>
      </c>
      <c r="AZ64" s="12">
        <f t="shared" si="11"/>
        <v>1.0528532322594231</v>
      </c>
      <c r="BA64" s="13">
        <v>4</v>
      </c>
      <c r="BB64" s="52">
        <v>2.8330000000000002</v>
      </c>
      <c r="BC64" s="48">
        <f t="shared" si="12"/>
        <v>0.40261701056869653</v>
      </c>
      <c r="BD64" s="48">
        <f t="shared" si="13"/>
        <v>9.6628082536487163</v>
      </c>
      <c r="BE64" s="48">
        <f t="shared" si="14"/>
        <v>0.84228258580753845</v>
      </c>
    </row>
    <row r="65" spans="1:57">
      <c r="A65" s="15" t="s">
        <v>217</v>
      </c>
      <c r="B65" s="9" t="str">
        <f>"61"</f>
        <v>61</v>
      </c>
      <c r="C65" s="9" t="str">
        <f>"8080 8080 86 1-1"</f>
        <v>8080 8080 86 1-1</v>
      </c>
      <c r="D65" s="9" t="str">
        <f>"1057 Z"</f>
        <v>1057 Z</v>
      </c>
      <c r="E65" s="10">
        <f t="shared" si="15"/>
        <v>796.62118258609485</v>
      </c>
      <c r="F65" s="11">
        <f t="shared" si="16"/>
        <v>85.5</v>
      </c>
      <c r="G65" s="11">
        <v>615.6</v>
      </c>
      <c r="H65" s="11">
        <v>104.4</v>
      </c>
      <c r="I65" s="11">
        <v>490.4</v>
      </c>
      <c r="J65" s="11">
        <v>155.69999999999999</v>
      </c>
      <c r="K65" s="11">
        <v>2089838.88</v>
      </c>
      <c r="L65" s="11">
        <v>36936</v>
      </c>
      <c r="M65" s="11">
        <f t="shared" si="17"/>
        <v>56.58</v>
      </c>
      <c r="N65" s="13">
        <v>4</v>
      </c>
      <c r="O65" s="14">
        <v>2.95</v>
      </c>
      <c r="P65" s="13">
        <v>30</v>
      </c>
      <c r="Q65" s="14">
        <v>47.616999999999997</v>
      </c>
      <c r="R65" s="12">
        <f t="shared" si="18"/>
        <v>2.9239766081871346</v>
      </c>
      <c r="S65" s="12">
        <f t="shared" si="19"/>
        <v>70.175438596491219</v>
      </c>
      <c r="T65" s="12">
        <f t="shared" si="20"/>
        <v>6.1174551386623168</v>
      </c>
      <c r="U65" s="13">
        <v>53</v>
      </c>
      <c r="V65" s="14">
        <v>48.033000000000001</v>
      </c>
      <c r="W65" s="12">
        <f t="shared" si="0"/>
        <v>5.1656920077972703</v>
      </c>
      <c r="X65" s="12">
        <f t="shared" si="1"/>
        <v>123.9766081871345</v>
      </c>
      <c r="Y65" s="12">
        <f t="shared" si="2"/>
        <v>10.807504078303426</v>
      </c>
      <c r="Z65" s="13">
        <v>4</v>
      </c>
      <c r="AA65" s="14">
        <v>5.8</v>
      </c>
      <c r="AB65" s="10">
        <v>0</v>
      </c>
      <c r="AC65" s="12">
        <f t="shared" si="3"/>
        <v>0</v>
      </c>
      <c r="AD65" s="12">
        <f t="shared" si="4"/>
        <v>0</v>
      </c>
      <c r="AE65" s="12">
        <f t="shared" si="5"/>
        <v>0</v>
      </c>
      <c r="AF65" s="13">
        <v>91</v>
      </c>
      <c r="AG65" s="52">
        <v>104.4</v>
      </c>
      <c r="AH65" s="61">
        <v>83</v>
      </c>
      <c r="AI65" s="16">
        <f t="shared" si="21"/>
        <v>8.0896686159844045</v>
      </c>
      <c r="AJ65" s="48">
        <f t="shared" si="22"/>
        <v>194.15204678362574</v>
      </c>
      <c r="AK65" s="48">
        <f t="shared" si="23"/>
        <v>16.924959216965743</v>
      </c>
      <c r="AL65" s="57">
        <v>23</v>
      </c>
      <c r="AM65" s="14">
        <v>13.717000000000001</v>
      </c>
      <c r="AN65" s="12">
        <f t="shared" si="24"/>
        <v>2.2417153996101362</v>
      </c>
      <c r="AO65" s="12">
        <f t="shared" si="25"/>
        <v>53.801169590643276</v>
      </c>
      <c r="AP65" s="12">
        <f t="shared" si="26"/>
        <v>4.6900489396411098</v>
      </c>
      <c r="AQ65" s="13">
        <v>27</v>
      </c>
      <c r="AR65" s="14">
        <v>28.55</v>
      </c>
      <c r="AS65" s="12">
        <f t="shared" si="6"/>
        <v>2.6315789473684208</v>
      </c>
      <c r="AT65" s="12">
        <f t="shared" si="7"/>
        <v>63.157894736842103</v>
      </c>
      <c r="AU65" s="12">
        <f t="shared" si="8"/>
        <v>5.5057096247960855</v>
      </c>
      <c r="AV65" s="13">
        <v>2</v>
      </c>
      <c r="AW65" s="14">
        <v>3.1669999999999998</v>
      </c>
      <c r="AX65" s="12">
        <f t="shared" si="9"/>
        <v>0.19493177387914229</v>
      </c>
      <c r="AY65" s="12">
        <f t="shared" si="10"/>
        <v>4.6783625730994149</v>
      </c>
      <c r="AZ65" s="12">
        <f t="shared" si="11"/>
        <v>0.40783034257748779</v>
      </c>
      <c r="BA65" s="13">
        <v>1</v>
      </c>
      <c r="BB65" s="52">
        <v>2.6</v>
      </c>
      <c r="BC65" s="48">
        <f t="shared" si="12"/>
        <v>9.7465886939571145E-2</v>
      </c>
      <c r="BD65" s="48">
        <f t="shared" si="13"/>
        <v>2.3391812865497075</v>
      </c>
      <c r="BE65" s="48">
        <f t="shared" si="14"/>
        <v>0.2039151712887439</v>
      </c>
    </row>
    <row r="66" spans="1:57">
      <c r="A66" s="15" t="s">
        <v>217</v>
      </c>
      <c r="B66" s="9" t="str">
        <f>"62"</f>
        <v>62</v>
      </c>
      <c r="C66" s="9" t="str">
        <f>"8080 9088 46x2 1-1"</f>
        <v>8080 9088 46x2 1-1</v>
      </c>
      <c r="D66" s="9" t="str">
        <f>"1056 Z"</f>
        <v>1056 Z</v>
      </c>
      <c r="E66" s="10">
        <f t="shared" si="15"/>
        <v>793.49779959237674</v>
      </c>
      <c r="F66" s="11">
        <f t="shared" si="16"/>
        <v>84.296250000000001</v>
      </c>
      <c r="G66" s="11">
        <v>606.93299999999999</v>
      </c>
      <c r="H66" s="11">
        <v>113.06699999999999</v>
      </c>
      <c r="I66" s="11">
        <v>481.6</v>
      </c>
      <c r="J66" s="11">
        <v>139</v>
      </c>
      <c r="K66" s="11">
        <v>2456623.36</v>
      </c>
      <c r="L66" s="11">
        <v>36416</v>
      </c>
      <c r="M66" s="11">
        <f t="shared" si="17"/>
        <v>67.459999999999994</v>
      </c>
      <c r="N66" s="13">
        <v>5</v>
      </c>
      <c r="O66" s="14">
        <v>1.9830000000000001</v>
      </c>
      <c r="P66" s="13">
        <v>24</v>
      </c>
      <c r="Q66" s="14">
        <v>50.716999999999999</v>
      </c>
      <c r="R66" s="12">
        <f t="shared" si="18"/>
        <v>2.3725847828343491</v>
      </c>
      <c r="S66" s="12">
        <f t="shared" si="19"/>
        <v>56.94203478802438</v>
      </c>
      <c r="T66" s="12">
        <f t="shared" si="20"/>
        <v>4.9833887043189362</v>
      </c>
      <c r="U66" s="13">
        <v>68</v>
      </c>
      <c r="V66" s="14">
        <v>57.017000000000003</v>
      </c>
      <c r="W66" s="12">
        <f t="shared" si="0"/>
        <v>6.7223235513639894</v>
      </c>
      <c r="X66" s="12">
        <f t="shared" si="1"/>
        <v>161.33576523273575</v>
      </c>
      <c r="Y66" s="12">
        <f t="shared" si="2"/>
        <v>14.119601328903654</v>
      </c>
      <c r="Z66" s="13">
        <v>4</v>
      </c>
      <c r="AA66" s="14">
        <v>3.35</v>
      </c>
      <c r="AB66" s="10">
        <v>0</v>
      </c>
      <c r="AC66" s="12">
        <f t="shared" si="3"/>
        <v>0</v>
      </c>
      <c r="AD66" s="12">
        <f t="shared" si="4"/>
        <v>0</v>
      </c>
      <c r="AE66" s="12">
        <f t="shared" si="5"/>
        <v>0</v>
      </c>
      <c r="AF66" s="13">
        <v>101</v>
      </c>
      <c r="AG66" s="52">
        <v>113.06699999999999</v>
      </c>
      <c r="AH66" s="61">
        <v>92</v>
      </c>
      <c r="AI66" s="16">
        <f t="shared" si="21"/>
        <v>9.0949083341983386</v>
      </c>
      <c r="AJ66" s="48">
        <f t="shared" si="22"/>
        <v>218.27780002076011</v>
      </c>
      <c r="AK66" s="48">
        <f t="shared" si="23"/>
        <v>19.102990033222589</v>
      </c>
      <c r="AL66" s="57">
        <v>22</v>
      </c>
      <c r="AM66" s="14">
        <v>20.033000000000001</v>
      </c>
      <c r="AN66" s="12">
        <f t="shared" si="24"/>
        <v>2.1748693842648201</v>
      </c>
      <c r="AO66" s="12">
        <f t="shared" si="25"/>
        <v>52.196865222355683</v>
      </c>
      <c r="AP66" s="12">
        <f t="shared" si="26"/>
        <v>4.5681063122923584</v>
      </c>
      <c r="AQ66" s="13">
        <v>41</v>
      </c>
      <c r="AR66" s="14">
        <v>31.65</v>
      </c>
      <c r="AS66" s="12">
        <f t="shared" si="6"/>
        <v>4.0531656706753463</v>
      </c>
      <c r="AT66" s="12">
        <f t="shared" si="7"/>
        <v>97.275976096208311</v>
      </c>
      <c r="AU66" s="12">
        <f t="shared" si="8"/>
        <v>8.5132890365448493</v>
      </c>
      <c r="AV66" s="13">
        <v>5</v>
      </c>
      <c r="AW66" s="14">
        <v>4.9169999999999998</v>
      </c>
      <c r="AX66" s="12">
        <f t="shared" si="9"/>
        <v>0.49428849642382272</v>
      </c>
      <c r="AY66" s="12">
        <f t="shared" si="10"/>
        <v>11.862923914171745</v>
      </c>
      <c r="AZ66" s="12">
        <f t="shared" si="11"/>
        <v>1.0382059800664452</v>
      </c>
      <c r="BA66" s="13">
        <v>0</v>
      </c>
      <c r="BB66" s="52">
        <v>0.41699999999999998</v>
      </c>
      <c r="BC66" s="48">
        <f t="shared" si="12"/>
        <v>0</v>
      </c>
      <c r="BD66" s="48">
        <f t="shared" si="13"/>
        <v>0</v>
      </c>
      <c r="BE66" s="48">
        <f t="shared" si="14"/>
        <v>0</v>
      </c>
    </row>
    <row r="67" spans="1:57">
      <c r="A67" s="15" t="s">
        <v>217</v>
      </c>
      <c r="B67" s="9" t="str">
        <f>"63"</f>
        <v>63</v>
      </c>
      <c r="C67" s="9" t="str">
        <f>"3030 7674 77 1-1"</f>
        <v>3030 7674 77 1-1</v>
      </c>
      <c r="D67" s="9" t="str">
        <f>"1124"</f>
        <v>1124</v>
      </c>
      <c r="E67" s="10">
        <f t="shared" si="15"/>
        <v>944.54948112228078</v>
      </c>
      <c r="F67" s="11">
        <f t="shared" si="16"/>
        <v>88.960694444444457</v>
      </c>
      <c r="G67" s="11">
        <v>640.51700000000005</v>
      </c>
      <c r="H67" s="11">
        <v>79.483000000000004</v>
      </c>
      <c r="I67" s="11">
        <v>605</v>
      </c>
      <c r="J67" s="11">
        <v>209</v>
      </c>
      <c r="K67" s="11">
        <v>2337757.73</v>
      </c>
      <c r="L67" s="11">
        <v>38431</v>
      </c>
      <c r="M67" s="11">
        <f t="shared" si="17"/>
        <v>60.83</v>
      </c>
      <c r="N67" s="13">
        <v>4</v>
      </c>
      <c r="O67" s="14">
        <v>1.35</v>
      </c>
      <c r="P67" s="13">
        <v>17</v>
      </c>
      <c r="Q67" s="14">
        <v>20.233000000000001</v>
      </c>
      <c r="R67" s="12">
        <f t="shared" si="18"/>
        <v>1.5924635880078124</v>
      </c>
      <c r="S67" s="12">
        <f t="shared" si="19"/>
        <v>38.219126112187496</v>
      </c>
      <c r="T67" s="12">
        <f t="shared" si="20"/>
        <v>2.8099173553719008</v>
      </c>
      <c r="U67" s="13">
        <v>62</v>
      </c>
      <c r="V67" s="14">
        <v>50.482999999999997</v>
      </c>
      <c r="W67" s="12">
        <f t="shared" si="0"/>
        <v>5.8078083797931974</v>
      </c>
      <c r="X67" s="12">
        <f t="shared" si="1"/>
        <v>139.38740111503674</v>
      </c>
      <c r="Y67" s="12">
        <f t="shared" si="2"/>
        <v>10.24793388429752</v>
      </c>
      <c r="Z67" s="13">
        <v>4</v>
      </c>
      <c r="AA67" s="14">
        <v>7.4169999999999998</v>
      </c>
      <c r="AB67" s="10">
        <v>1</v>
      </c>
      <c r="AC67" s="12">
        <f t="shared" si="3"/>
        <v>9.3674328706341903E-2</v>
      </c>
      <c r="AD67" s="12">
        <f t="shared" si="4"/>
        <v>2.2481838889522057</v>
      </c>
      <c r="AE67" s="12">
        <f t="shared" si="5"/>
        <v>0.16528925619834711</v>
      </c>
      <c r="AF67" s="13">
        <v>87</v>
      </c>
      <c r="AG67" s="52">
        <v>79.483000000000004</v>
      </c>
      <c r="AH67" s="61">
        <v>80</v>
      </c>
      <c r="AI67" s="16">
        <f t="shared" si="21"/>
        <v>7.4939462965073522</v>
      </c>
      <c r="AJ67" s="48">
        <f t="shared" si="22"/>
        <v>179.85471111617645</v>
      </c>
      <c r="AK67" s="48">
        <f t="shared" si="23"/>
        <v>13.223140495867769</v>
      </c>
      <c r="AL67" s="57">
        <v>11</v>
      </c>
      <c r="AM67" s="14">
        <v>11.532999999999999</v>
      </c>
      <c r="AN67" s="12">
        <f t="shared" si="24"/>
        <v>1.0304176157697609</v>
      </c>
      <c r="AO67" s="12">
        <f t="shared" si="25"/>
        <v>24.730022778474261</v>
      </c>
      <c r="AP67" s="12">
        <f t="shared" si="26"/>
        <v>1.8181818181818181</v>
      </c>
      <c r="AQ67" s="13">
        <v>44</v>
      </c>
      <c r="AR67" s="14">
        <v>28.6</v>
      </c>
      <c r="AS67" s="12">
        <f t="shared" si="6"/>
        <v>4.1216704630790435</v>
      </c>
      <c r="AT67" s="12">
        <f t="shared" si="7"/>
        <v>98.920091113897044</v>
      </c>
      <c r="AU67" s="12">
        <f t="shared" si="8"/>
        <v>7.2727272727272725</v>
      </c>
      <c r="AV67" s="13">
        <v>4</v>
      </c>
      <c r="AW67" s="14">
        <v>5.4829999999999997</v>
      </c>
      <c r="AX67" s="12">
        <f t="shared" si="9"/>
        <v>0.37469731482536761</v>
      </c>
      <c r="AY67" s="12">
        <f t="shared" si="10"/>
        <v>8.9927355558088227</v>
      </c>
      <c r="AZ67" s="12">
        <f t="shared" si="11"/>
        <v>0.66115702479338845</v>
      </c>
      <c r="BA67" s="13">
        <v>3</v>
      </c>
      <c r="BB67" s="52">
        <v>4.867</v>
      </c>
      <c r="BC67" s="48">
        <f t="shared" si="12"/>
        <v>0.28102298611902571</v>
      </c>
      <c r="BD67" s="48">
        <f t="shared" si="13"/>
        <v>6.7445516668566166</v>
      </c>
      <c r="BE67" s="48">
        <f t="shared" si="14"/>
        <v>0.49586776859504134</v>
      </c>
    </row>
    <row r="68" spans="1:57">
      <c r="A68" s="15" t="s">
        <v>217</v>
      </c>
      <c r="B68" s="9" t="str">
        <f>"64"</f>
        <v>64</v>
      </c>
      <c r="C68" s="9" t="str">
        <f>"4040 11085 75 1-1"</f>
        <v>4040 11085 75 1-1</v>
      </c>
      <c r="D68" s="9" t="str">
        <f>"1125 Z"</f>
        <v>1125 Z</v>
      </c>
      <c r="E68" s="10">
        <f t="shared" si="15"/>
        <v>938.08375812455608</v>
      </c>
      <c r="F68" s="11">
        <f t="shared" si="16"/>
        <v>92.120416666666685</v>
      </c>
      <c r="G68" s="11">
        <v>663.26700000000005</v>
      </c>
      <c r="H68" s="11">
        <v>56.732999999999997</v>
      </c>
      <c r="I68" s="11">
        <v>622.20000000000005</v>
      </c>
      <c r="J68" s="11">
        <v>188.1</v>
      </c>
      <c r="K68" s="11">
        <v>2893169.2</v>
      </c>
      <c r="L68" s="11">
        <v>39796</v>
      </c>
      <c r="M68" s="11">
        <f t="shared" si="17"/>
        <v>72.7</v>
      </c>
      <c r="N68" s="13">
        <v>9</v>
      </c>
      <c r="O68" s="14">
        <v>3.85</v>
      </c>
      <c r="P68" s="13">
        <v>14</v>
      </c>
      <c r="Q68" s="14">
        <v>20.65</v>
      </c>
      <c r="R68" s="12">
        <f t="shared" si="18"/>
        <v>1.2664583041218693</v>
      </c>
      <c r="S68" s="12">
        <f t="shared" si="19"/>
        <v>30.394999298924866</v>
      </c>
      <c r="T68" s="12">
        <f t="shared" si="20"/>
        <v>2.2500803600128574</v>
      </c>
      <c r="U68" s="13">
        <v>53</v>
      </c>
      <c r="V68" s="14">
        <v>29.132999999999999</v>
      </c>
      <c r="W68" s="12">
        <f t="shared" si="0"/>
        <v>4.7944492941756485</v>
      </c>
      <c r="X68" s="12">
        <f t="shared" si="1"/>
        <v>115.06678306021556</v>
      </c>
      <c r="Y68" s="12">
        <f t="shared" si="2"/>
        <v>8.5181613629058166</v>
      </c>
      <c r="Z68" s="13">
        <v>3</v>
      </c>
      <c r="AA68" s="14">
        <v>3.1</v>
      </c>
      <c r="AB68" s="10">
        <v>0</v>
      </c>
      <c r="AC68" s="12">
        <f t="shared" si="3"/>
        <v>0</v>
      </c>
      <c r="AD68" s="12">
        <f t="shared" si="4"/>
        <v>0</v>
      </c>
      <c r="AE68" s="12">
        <f t="shared" si="5"/>
        <v>0</v>
      </c>
      <c r="AF68" s="13">
        <v>79</v>
      </c>
      <c r="AG68" s="52">
        <v>56.732999999999997</v>
      </c>
      <c r="AH68" s="61">
        <v>67</v>
      </c>
      <c r="AI68" s="16">
        <f t="shared" si="21"/>
        <v>6.0609075982975176</v>
      </c>
      <c r="AJ68" s="48">
        <f t="shared" si="22"/>
        <v>145.46178235914041</v>
      </c>
      <c r="AK68" s="48">
        <f t="shared" si="23"/>
        <v>10.768241722918676</v>
      </c>
      <c r="AL68" s="57">
        <v>26</v>
      </c>
      <c r="AM68" s="14">
        <v>11.067</v>
      </c>
      <c r="AN68" s="12">
        <f t="shared" si="24"/>
        <v>2.3519939933691858</v>
      </c>
      <c r="AO68" s="12">
        <f t="shared" si="25"/>
        <v>56.447855840860463</v>
      </c>
      <c r="AP68" s="12">
        <f t="shared" si="26"/>
        <v>4.1787206685953064</v>
      </c>
      <c r="AQ68" s="13">
        <v>7</v>
      </c>
      <c r="AR68" s="14">
        <v>3.1829999999999998</v>
      </c>
      <c r="AS68" s="12">
        <f t="shared" si="6"/>
        <v>0.63322915206093466</v>
      </c>
      <c r="AT68" s="12">
        <f t="shared" si="7"/>
        <v>15.197499649462433</v>
      </c>
      <c r="AU68" s="12">
        <f t="shared" si="8"/>
        <v>1.1250401800064287</v>
      </c>
      <c r="AV68" s="13">
        <v>8</v>
      </c>
      <c r="AW68" s="14">
        <v>6.9329999999999998</v>
      </c>
      <c r="AX68" s="12">
        <f t="shared" si="9"/>
        <v>0.72369045949821109</v>
      </c>
      <c r="AY68" s="12">
        <f t="shared" si="10"/>
        <v>17.368571027957067</v>
      </c>
      <c r="AZ68" s="12">
        <f t="shared" si="11"/>
        <v>1.2857602057216329</v>
      </c>
      <c r="BA68" s="13">
        <v>12</v>
      </c>
      <c r="BB68" s="52">
        <v>7.95</v>
      </c>
      <c r="BC68" s="48">
        <f t="shared" si="12"/>
        <v>1.0855356892473167</v>
      </c>
      <c r="BD68" s="48">
        <f t="shared" si="13"/>
        <v>26.052856541935597</v>
      </c>
      <c r="BE68" s="48">
        <f t="shared" si="14"/>
        <v>1.9286403085824493</v>
      </c>
    </row>
    <row r="69" spans="1:57">
      <c r="A69" s="15" t="s">
        <v>217</v>
      </c>
      <c r="B69" s="9" t="str">
        <f>"65"</f>
        <v>65</v>
      </c>
      <c r="C69" s="9" t="str">
        <f>"3030 7674 72 1-1"</f>
        <v>3030 7674 72 1-1</v>
      </c>
      <c r="D69" s="9" t="str">
        <f>"1123 R"</f>
        <v>1123 R</v>
      </c>
      <c r="E69" s="10">
        <f t="shared" si="15"/>
        <v>967.94430418483671</v>
      </c>
      <c r="F69" s="11">
        <f t="shared" si="16"/>
        <v>90.770833333333329</v>
      </c>
      <c r="G69" s="11">
        <v>653.54999999999995</v>
      </c>
      <c r="H69" s="11">
        <v>66.45</v>
      </c>
      <c r="I69" s="11">
        <v>632.6</v>
      </c>
      <c r="J69" s="11">
        <v>218.6</v>
      </c>
      <c r="K69" s="11">
        <v>2253571.11</v>
      </c>
      <c r="L69" s="11">
        <v>39213</v>
      </c>
      <c r="M69" s="11">
        <f t="shared" si="17"/>
        <v>57.47</v>
      </c>
      <c r="N69" s="13">
        <v>5</v>
      </c>
      <c r="O69" s="14">
        <v>2.133</v>
      </c>
      <c r="P69" s="13">
        <v>13</v>
      </c>
      <c r="Q69" s="14">
        <v>33.1</v>
      </c>
      <c r="R69" s="12">
        <f t="shared" si="18"/>
        <v>1.1934817535001148</v>
      </c>
      <c r="S69" s="12">
        <f t="shared" si="19"/>
        <v>28.643562084002756</v>
      </c>
      <c r="T69" s="12">
        <f t="shared" si="20"/>
        <v>2.0550110654441984</v>
      </c>
      <c r="U69" s="13">
        <v>31</v>
      </c>
      <c r="V69" s="14">
        <v>30.15</v>
      </c>
      <c r="W69" s="12">
        <f>IF($G69=0,0,(60*U69)/$G69)</f>
        <v>2.84599495065412</v>
      </c>
      <c r="X69" s="12">
        <f>IF($G69=0,0,(60*24*U69)/$G69)</f>
        <v>68.30387881569888</v>
      </c>
      <c r="Y69" s="12">
        <f>IF($I69=0,0,(100*U69)/$I69)</f>
        <v>4.9004110022130885</v>
      </c>
      <c r="Z69" s="13">
        <v>2</v>
      </c>
      <c r="AA69" s="14">
        <v>1.0669999999999999</v>
      </c>
      <c r="AB69" s="10">
        <v>0</v>
      </c>
      <c r="AC69" s="12">
        <f>IF($G69=0,0,(60*AB69)/$G69)</f>
        <v>0</v>
      </c>
      <c r="AD69" s="12">
        <f>IF($G69=0,0,(60*24*AB69)/$G69)</f>
        <v>0</v>
      </c>
      <c r="AE69" s="12">
        <f>IF($I69=0,0,(100*AB69)/$I69)</f>
        <v>0</v>
      </c>
      <c r="AF69" s="13">
        <v>51</v>
      </c>
      <c r="AG69" s="52">
        <v>66.45</v>
      </c>
      <c r="AH69" s="61">
        <v>44</v>
      </c>
      <c r="AI69" s="16">
        <f t="shared" si="21"/>
        <v>4.039476704154235</v>
      </c>
      <c r="AJ69" s="48">
        <f t="shared" si="22"/>
        <v>96.947440899701633</v>
      </c>
      <c r="AK69" s="48">
        <f t="shared" si="23"/>
        <v>6.9554220676572873</v>
      </c>
      <c r="AL69" s="57">
        <v>14</v>
      </c>
      <c r="AM69" s="14">
        <v>10</v>
      </c>
      <c r="AN69" s="12">
        <f t="shared" si="24"/>
        <v>1.285288042230893</v>
      </c>
      <c r="AO69" s="12">
        <f t="shared" si="25"/>
        <v>30.846913013541428</v>
      </c>
      <c r="AP69" s="12">
        <f t="shared" si="26"/>
        <v>2.2130888397091368</v>
      </c>
      <c r="AQ69" s="13">
        <v>8</v>
      </c>
      <c r="AR69" s="14">
        <v>6.9329999999999998</v>
      </c>
      <c r="AS69" s="12">
        <f>IF($G69=0,0,(60*AQ69)/$G69)</f>
        <v>0.7344503098462245</v>
      </c>
      <c r="AT69" s="12">
        <f>IF($G69=0,0,(60*24*AQ69)/$G69)</f>
        <v>17.626807436309388</v>
      </c>
      <c r="AU69" s="12">
        <f>IF($I69=0,0,(100*AQ69)/$I69)</f>
        <v>1.2646221941195068</v>
      </c>
      <c r="AV69" s="13">
        <v>5</v>
      </c>
      <c r="AW69" s="14">
        <v>5.3330000000000002</v>
      </c>
      <c r="AX69" s="12">
        <f>IF($G69=0,0,(60*AV69)/$G69)</f>
        <v>0.45903144365389031</v>
      </c>
      <c r="AY69" s="12">
        <f>IF($G69=0,0,(60*24*AV69)/$G69)</f>
        <v>11.016754647693368</v>
      </c>
      <c r="AZ69" s="12">
        <f>IF($I69=0,0,(100*AV69)/$I69)</f>
        <v>0.79038887132469171</v>
      </c>
      <c r="BA69" s="13">
        <v>4</v>
      </c>
      <c r="BB69" s="52">
        <v>7.883</v>
      </c>
      <c r="BC69" s="48">
        <f>IF($G69=0,0,(60*BA69)/$G69)</f>
        <v>0.36722515492311225</v>
      </c>
      <c r="BD69" s="48">
        <f>IF($G69=0,0,(60*24*BA69)/$G69)</f>
        <v>8.813403718154694</v>
      </c>
      <c r="BE69" s="48">
        <f>IF($I69=0,0,(100*BA69)/$I69)</f>
        <v>0.63231109705975341</v>
      </c>
    </row>
    <row r="70" spans="1:57">
      <c r="A70" s="30" t="s">
        <v>217</v>
      </c>
      <c r="B70" s="31" t="str">
        <f>"66"</f>
        <v>66</v>
      </c>
      <c r="C70" s="31" t="str">
        <f>"4040 13079 59 4-1"</f>
        <v>4040 13079 59 4-1</v>
      </c>
      <c r="D70" s="31" t="str">
        <f>"1136 Z"</f>
        <v>1136 Z</v>
      </c>
      <c r="E70" s="32">
        <f>IF($G70=0,0,(1000*$I70)/$G70)</f>
        <v>952.69954661984355</v>
      </c>
      <c r="F70" s="33">
        <f>IF($G70=0,0,(100*$G70)/($G70+$H70))</f>
        <v>90.720707995295328</v>
      </c>
      <c r="G70" s="33">
        <v>648.68299999999999</v>
      </c>
      <c r="H70" s="33">
        <v>66.349999999999994</v>
      </c>
      <c r="I70" s="33">
        <v>618</v>
      </c>
      <c r="J70" s="33">
        <v>198.7</v>
      </c>
      <c r="K70" s="33">
        <v>2210712.7999999998</v>
      </c>
      <c r="L70" s="33">
        <v>38921</v>
      </c>
      <c r="M70" s="33">
        <f>IF(L70="","",IF(L70=0,0,K70/L70))</f>
        <v>56.8</v>
      </c>
      <c r="N70" s="34">
        <v>8</v>
      </c>
      <c r="O70" s="35">
        <v>4.117</v>
      </c>
      <c r="P70" s="34">
        <v>16</v>
      </c>
      <c r="Q70" s="35">
        <v>40.183</v>
      </c>
      <c r="R70" s="36">
        <f>IF($G70=0,0,(60*P70)/$G70)</f>
        <v>1.4799216258172327</v>
      </c>
      <c r="S70" s="36">
        <f>IF($G70=0,0,(60*24*P70)/$G70)</f>
        <v>35.518119019613586</v>
      </c>
      <c r="T70" s="36">
        <f>IF($I70=0,0,(100*P70)/$I70)</f>
        <v>2.5889967637540452</v>
      </c>
      <c r="U70" s="34">
        <v>29</v>
      </c>
      <c r="V70" s="35">
        <v>19.882999999999999</v>
      </c>
      <c r="W70" s="36">
        <f>IF($G70=0,0,(60*U70)/$G70)</f>
        <v>2.6823579467937346</v>
      </c>
      <c r="X70" s="36">
        <f>IF($G70=0,0,(60*24*U70)/$G70)</f>
        <v>64.376590723049631</v>
      </c>
      <c r="Y70" s="36">
        <f>IF($I70=0,0,(100*U70)/$I70)</f>
        <v>4.6925566343042071</v>
      </c>
      <c r="Z70" s="34">
        <v>2</v>
      </c>
      <c r="AA70" s="35">
        <v>2.1669999999999998</v>
      </c>
      <c r="AB70" s="32">
        <v>0</v>
      </c>
      <c r="AC70" s="36">
        <f>IF($G70=0,0,(60*AB70)/$G70)</f>
        <v>0</v>
      </c>
      <c r="AD70" s="36">
        <f>IF($G70=0,0,(60*24*AB70)/$G70)</f>
        <v>0</v>
      </c>
      <c r="AE70" s="36">
        <f>IF($I70=0,0,(100*AB70)/$I70)</f>
        <v>0</v>
      </c>
      <c r="AF70" s="34">
        <v>55</v>
      </c>
      <c r="AG70" s="53">
        <v>66.349999999999994</v>
      </c>
      <c r="AH70" s="62">
        <v>45</v>
      </c>
      <c r="AI70" s="37">
        <f>IF($G70=0,0,(60*AH70)/$G70)</f>
        <v>4.1622795726109674</v>
      </c>
      <c r="AJ70" s="49">
        <f>IF($G70=0,0,(60*24*AH70)/$G70)</f>
        <v>99.89470974266321</v>
      </c>
      <c r="AK70" s="49">
        <f>IF($I70=0,0,(100*AH70)/$I70)</f>
        <v>7.2815533980582527</v>
      </c>
      <c r="AL70" s="58">
        <v>12</v>
      </c>
      <c r="AM70" s="35">
        <v>6.8170000000000002</v>
      </c>
      <c r="AN70" s="36">
        <f>IF($G70=0,0,(60*AL70)/$G70)</f>
        <v>1.1099412193629246</v>
      </c>
      <c r="AO70" s="36">
        <f>IF($G70=0,0,(60*24*AL70)/$G70)</f>
        <v>26.638589264710191</v>
      </c>
      <c r="AP70" s="36">
        <f>IF($I70=0,0,(100*AL70)/$I70)</f>
        <v>1.941747572815534</v>
      </c>
      <c r="AQ70" s="34">
        <v>16</v>
      </c>
      <c r="AR70" s="35">
        <v>12.867000000000001</v>
      </c>
      <c r="AS70" s="36">
        <f>IF($G70=0,0,(60*AQ70)/$G70)</f>
        <v>1.4799216258172327</v>
      </c>
      <c r="AT70" s="36">
        <f>IF($G70=0,0,(60*24*AQ70)/$G70)</f>
        <v>35.518119019613586</v>
      </c>
      <c r="AU70" s="36">
        <f>IF($I70=0,0,(100*AQ70)/$I70)</f>
        <v>2.5889967637540452</v>
      </c>
      <c r="AV70" s="34">
        <v>1</v>
      </c>
      <c r="AW70" s="35">
        <v>0.2</v>
      </c>
      <c r="AX70" s="36">
        <f>IF($G70=0,0,(60*AV70)/$G70)</f>
        <v>9.2495101613577047E-2</v>
      </c>
      <c r="AY70" s="36">
        <f>IF($G70=0,0,(60*24*AV70)/$G70)</f>
        <v>2.2198824387258491</v>
      </c>
      <c r="AZ70" s="36">
        <f>IF($I70=0,0,(100*AV70)/$I70)</f>
        <v>0.16181229773462782</v>
      </c>
      <c r="BA70" s="34">
        <v>0</v>
      </c>
      <c r="BB70" s="53">
        <v>0</v>
      </c>
      <c r="BC70" s="49">
        <f>IF($G70=0,0,(60*BA70)/$G70)</f>
        <v>0</v>
      </c>
      <c r="BD70" s="49">
        <f>IF($G70=0,0,(60*24*BA70)/$G70)</f>
        <v>0</v>
      </c>
      <c r="BE70" s="49">
        <f>IF($I70=0,0,(100*BA70)/$I70)</f>
        <v>0</v>
      </c>
    </row>
    <row r="71" spans="1:57">
      <c r="A71" s="38" t="s">
        <v>123</v>
      </c>
      <c r="B71" s="39"/>
      <c r="C71" s="39"/>
      <c r="D71" s="39"/>
      <c r="E71" s="40">
        <f>IF($G71=0,0,(1000*$I71)/$G71)</f>
        <v>742.75811585293684</v>
      </c>
      <c r="F71" s="41">
        <f>IF($G71=0,0,(100*$G71)/($G71+$H71))</f>
        <v>84.419680949129543</v>
      </c>
      <c r="G71" s="41">
        <f t="shared" ref="G71:L71" si="27">SUBTOTAL(9,G5:G70)</f>
        <v>40093.536999999989</v>
      </c>
      <c r="H71" s="41">
        <f t="shared" si="27"/>
        <v>7399.5790000000015</v>
      </c>
      <c r="I71" s="41">
        <f t="shared" si="27"/>
        <v>29779.8</v>
      </c>
      <c r="J71" s="41">
        <f t="shared" si="27"/>
        <v>8917.9000000000015</v>
      </c>
      <c r="K71" s="41">
        <f t="shared" si="27"/>
        <v>192702787.96000007</v>
      </c>
      <c r="L71" s="41">
        <f t="shared" si="27"/>
        <v>2405612</v>
      </c>
      <c r="M71" s="41">
        <f>IF(L71="","",IF(L71=0,0,K71/L71))</f>
        <v>80.105514920943222</v>
      </c>
      <c r="N71" s="42">
        <f>SUBTOTAL(9,N5:N70)</f>
        <v>364</v>
      </c>
      <c r="O71" s="43">
        <f>SUBTOTAL(9,O5:O70)</f>
        <v>304.59900000000005</v>
      </c>
      <c r="P71" s="42">
        <f>SUBTOTAL(9,P5:P70)</f>
        <v>1638</v>
      </c>
      <c r="Q71" s="43">
        <f>SUBTOTAL(9,Q5:Q70)</f>
        <v>3488.5350000000008</v>
      </c>
      <c r="R71" s="44">
        <f>IF($G71=0,0,(60*P71)/$G71)</f>
        <v>2.4512678938752654</v>
      </c>
      <c r="S71" s="44">
        <f>IF($G71=0,0,(60*24*P71)/$G71)</f>
        <v>58.830429453006367</v>
      </c>
      <c r="T71" s="44">
        <f>IF($I71=0,0,(100*P71)/$I71)</f>
        <v>5.5003727358813697</v>
      </c>
      <c r="U71" s="42">
        <f>SUBTOTAL(9,U5:U70)</f>
        <v>2957</v>
      </c>
      <c r="V71" s="43">
        <f>SUBTOTAL(9,V5:V70)</f>
        <v>2498.9830000000002</v>
      </c>
      <c r="W71" s="44">
        <f>IF($G71=0,0,(60*U71)/$G71)</f>
        <v>4.4251521136685961</v>
      </c>
      <c r="X71" s="44">
        <f>IF($G71=0,0,(60*24*U71)/$G71)</f>
        <v>106.2036507280463</v>
      </c>
      <c r="Y71" s="44">
        <f>IF($I71=0,0,(100*U71)/$I71)</f>
        <v>9.9295495604402984</v>
      </c>
      <c r="Z71" s="42">
        <f>SUBTOTAL(9,Z5:Z70)</f>
        <v>271</v>
      </c>
      <c r="AA71" s="43">
        <f>SUBTOTAL(9,AA5:AA70)</f>
        <v>1107.4689999999996</v>
      </c>
      <c r="AB71" s="40">
        <f>SUBTOTAL(9,AB5:AB70)</f>
        <v>15</v>
      </c>
      <c r="AC71" s="44">
        <f>IF($G71=0,0,(60*AB71)/$G71)</f>
        <v>2.2447508185670928E-2</v>
      </c>
      <c r="AD71" s="44">
        <f>IF($G71=0,0,(60*24*AB71)/$G71)</f>
        <v>0.53874019645610227</v>
      </c>
      <c r="AE71" s="44">
        <f>IF($I71=0,0,(100*AB71)/$I71)</f>
        <v>5.0369713698547341E-2</v>
      </c>
      <c r="AF71" s="42">
        <f>SUBTOTAL(9,AF5:AF70)</f>
        <v>5230</v>
      </c>
      <c r="AG71" s="54">
        <f>SUBTOTAL(9,AG5:AG70)</f>
        <v>7399.5860000000002</v>
      </c>
      <c r="AH71" s="63">
        <f>SUBTOTAL(9,AH5:AH70)</f>
        <v>4610</v>
      </c>
      <c r="AI71" s="45">
        <f>IF($G71=0,0,(60*AH71)/$G71)</f>
        <v>6.8988675157295321</v>
      </c>
      <c r="AJ71" s="50">
        <f>IF($G71=0,0,(60*24*AH71)/$G71)</f>
        <v>165.57282037750878</v>
      </c>
      <c r="AK71" s="50">
        <f>IF($I71=0,0,(100*AH71)/$I71)</f>
        <v>15.480292010020216</v>
      </c>
      <c r="AL71" s="59">
        <f>SUBTOTAL(9,AL5:AL70)</f>
        <v>1229</v>
      </c>
      <c r="AM71" s="43">
        <f>SUBTOTAL(9,AM5:AM70)</f>
        <v>932.3720000000003</v>
      </c>
      <c r="AN71" s="44">
        <f>IF($G71=0,0,(60*AL71)/$G71)</f>
        <v>1.8391991706793047</v>
      </c>
      <c r="AO71" s="44">
        <f>IF($G71=0,0,(60*24*AL71)/$G71)</f>
        <v>44.140780096303317</v>
      </c>
      <c r="AP71" s="44">
        <f>IF($I71=0,0,(100*AL71)/$I71)</f>
        <v>4.1269585423676451</v>
      </c>
      <c r="AQ71" s="42">
        <f>SUBTOTAL(9,AQ5:AQ70)</f>
        <v>1213</v>
      </c>
      <c r="AR71" s="43">
        <f>SUBTOTAL(9,AR5:AR70)</f>
        <v>1002.8009999999999</v>
      </c>
      <c r="AS71" s="44">
        <f>IF($G71=0,0,(60*AQ71)/$G71)</f>
        <v>1.8152551619479225</v>
      </c>
      <c r="AT71" s="44">
        <f>IF($G71=0,0,(60*24*AQ71)/$G71)</f>
        <v>43.566123886750141</v>
      </c>
      <c r="AU71" s="44">
        <f>IF($I71=0,0,(100*AQ71)/$I71)</f>
        <v>4.0732308477558616</v>
      </c>
      <c r="AV71" s="42">
        <f>SUBTOTAL(9,AV5:AV70)</f>
        <v>304</v>
      </c>
      <c r="AW71" s="43">
        <f>SUBTOTAL(9,AW5:AW70)</f>
        <v>330.9009999999999</v>
      </c>
      <c r="AX71" s="44">
        <f>IF($G71=0,0,(60*AV71)/$G71)</f>
        <v>0.45493616589626412</v>
      </c>
      <c r="AY71" s="44">
        <f>IF($G71=0,0,(60*24*AV71)/$G71)</f>
        <v>10.918467981510339</v>
      </c>
      <c r="AZ71" s="44">
        <f>IF($I71=0,0,(100*AV71)/$I71)</f>
        <v>1.0208261976238928</v>
      </c>
      <c r="BA71" s="42">
        <f>SUBTOTAL(9,BA5:BA70)</f>
        <v>211</v>
      </c>
      <c r="BB71" s="54">
        <f>SUBTOTAL(9,BB5:BB70)</f>
        <v>232.91400000000002</v>
      </c>
      <c r="BC71" s="50">
        <f>IF($G71=0,0,(60*BA71)/$G71)</f>
        <v>0.31576161514510437</v>
      </c>
      <c r="BD71" s="50">
        <f>IF($G71=0,0,(60*24*BA71)/$G71)</f>
        <v>7.5782787634825057</v>
      </c>
      <c r="BE71" s="50">
        <f>IF($I71=0,0,(100*BA71)/$I71)</f>
        <v>0.70853397269289919</v>
      </c>
    </row>
  </sheetData>
  <autoFilter ref="A4:BE70" xr:uid="{00000000-0009-0000-0000-000004000000}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TOYOTA Monitoring System</dc:creator>
  <cp:keywords/>
  <dc:description/>
  <cp:lastModifiedBy/>
  <cp:revision/>
  <dcterms:created xsi:type="dcterms:W3CDTF">2003-05-22T08:59:04Z</dcterms:created>
  <dcterms:modified xsi:type="dcterms:W3CDTF">2021-11-23T07:25:12Z</dcterms:modified>
  <cp:category/>
  <cp:contentStatus/>
</cp:coreProperties>
</file>