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Y\Desktop\excel\"/>
    </mc:Choice>
  </mc:AlternateContent>
  <bookViews>
    <workbookView xWindow="0" yWindow="0" windowWidth="20490" windowHeight="7620" activeTab="1"/>
  </bookViews>
  <sheets>
    <sheet name="Auswertung Messformular" sheetId="1" r:id="rId1"/>
    <sheet name="Berechnung Polygonzug GK" sheetId="2" r:id="rId2"/>
    <sheet name="Berechnung Polygonzug UTM" sheetId="4" r:id="rId3"/>
    <sheet name="Sheet1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4" l="1"/>
  <c r="F20" i="4"/>
  <c r="F24" i="4" s="1"/>
  <c r="I32" i="4" s="1"/>
  <c r="G20" i="4"/>
  <c r="G24" i="4" s="1"/>
  <c r="J32" i="4" s="1"/>
  <c r="J28" i="4"/>
  <c r="J19" i="4" s="1"/>
  <c r="J33" i="2"/>
  <c r="G20" i="2"/>
  <c r="G24" i="2" s="1"/>
  <c r="J34" i="2" s="1"/>
  <c r="G30" i="2"/>
  <c r="F30" i="2"/>
  <c r="F29" i="2"/>
  <c r="F20" i="2"/>
  <c r="F24" i="2" s="1"/>
  <c r="J11" i="2"/>
  <c r="J25" i="2"/>
  <c r="J24" i="2"/>
  <c r="J26" i="2"/>
  <c r="L24" i="2"/>
  <c r="J18" i="2" s="1"/>
  <c r="J20" i="4" l="1"/>
  <c r="J19" i="2"/>
  <c r="J17" i="2"/>
  <c r="D31" i="2"/>
  <c r="C40" i="4" l="1"/>
  <c r="J13" i="4"/>
  <c r="I11" i="2"/>
  <c r="K11" i="2" s="1"/>
  <c r="I13" i="4"/>
  <c r="C37" i="2"/>
  <c r="G29" i="4"/>
  <c r="G38" i="4" s="1"/>
  <c r="F29" i="4"/>
  <c r="F38" i="4" s="1"/>
  <c r="K26" i="4"/>
  <c r="K25" i="4"/>
  <c r="K24" i="4"/>
  <c r="J26" i="4"/>
  <c r="J25" i="4"/>
  <c r="J24" i="4"/>
  <c r="I28" i="2"/>
  <c r="J28" i="2" s="1"/>
  <c r="D31" i="4"/>
  <c r="C38" i="4" s="1"/>
  <c r="D38" i="4" s="1"/>
  <c r="G14" i="4"/>
  <c r="F14" i="4"/>
  <c r="N6" i="4"/>
  <c r="G4" i="2"/>
  <c r="G7" i="2"/>
  <c r="G42" i="4" l="1"/>
  <c r="G41" i="4"/>
  <c r="G40" i="4"/>
  <c r="F42" i="4"/>
  <c r="F41" i="4"/>
  <c r="F40" i="4"/>
  <c r="K13" i="4"/>
  <c r="J17" i="4" s="1"/>
  <c r="I28" i="4"/>
  <c r="N12" i="4"/>
  <c r="N13" i="4" s="1"/>
  <c r="N14" i="4" s="1"/>
  <c r="N15" i="4" s="1"/>
  <c r="N16" i="4" s="1"/>
  <c r="F6" i="4"/>
  <c r="F7" i="4"/>
  <c r="F8" i="4"/>
  <c r="F5" i="4"/>
  <c r="K26" i="2"/>
  <c r="K25" i="2"/>
  <c r="K24" i="2"/>
  <c r="E43" i="1"/>
  <c r="E29" i="1"/>
  <c r="F15" i="1"/>
  <c r="F11" i="1"/>
  <c r="E57" i="1"/>
  <c r="F53" i="1"/>
  <c r="E53" i="1"/>
  <c r="G53" i="1" s="1"/>
  <c r="G6" i="2"/>
  <c r="G5" i="2"/>
  <c r="G14" i="2"/>
  <c r="F14" i="2"/>
  <c r="J16" i="4" l="1"/>
  <c r="G5" i="4"/>
  <c r="H6" i="4" s="1"/>
  <c r="I25" i="4" s="1"/>
  <c r="I5" i="2"/>
  <c r="K4" i="2" s="1"/>
  <c r="I24" i="2" s="1"/>
  <c r="N10" i="2"/>
  <c r="N11" i="2" s="1"/>
  <c r="N12" i="2" s="1"/>
  <c r="H7" i="4" l="1"/>
  <c r="I26" i="4" s="1"/>
  <c r="H5" i="4"/>
  <c r="I24" i="4" s="1"/>
  <c r="N13" i="2"/>
  <c r="N14" i="2" l="1"/>
  <c r="F57" i="1"/>
  <c r="G57" i="1"/>
  <c r="G56" i="1"/>
  <c r="G52" i="1"/>
  <c r="H52" i="1" s="1"/>
  <c r="F39" i="1"/>
  <c r="G38" i="1"/>
  <c r="E39" i="1"/>
  <c r="G42" i="1"/>
  <c r="F43" i="1"/>
  <c r="F29" i="1"/>
  <c r="G28" i="1"/>
  <c r="F25" i="1"/>
  <c r="E25" i="1"/>
  <c r="G24" i="1"/>
  <c r="H24" i="1" s="1"/>
  <c r="H10" i="1"/>
  <c r="G14" i="1"/>
  <c r="E15" i="1"/>
  <c r="G15" i="1" s="1"/>
  <c r="G10" i="1"/>
  <c r="E11" i="1"/>
  <c r="G11" i="1" s="1"/>
  <c r="H11" i="1" l="1"/>
  <c r="H38" i="1"/>
  <c r="K6" i="2"/>
  <c r="I26" i="2" s="1"/>
  <c r="K5" i="2"/>
  <c r="I25" i="2" s="1"/>
  <c r="G43" i="1"/>
  <c r="G39" i="1"/>
  <c r="G29" i="1"/>
  <c r="G25" i="1"/>
  <c r="H25" i="1" s="1"/>
  <c r="F37" i="2" l="1"/>
  <c r="G29" i="2"/>
  <c r="G37" i="2" s="1"/>
  <c r="G41" i="2" l="1"/>
  <c r="G40" i="2"/>
  <c r="G39" i="2"/>
  <c r="F40" i="2"/>
  <c r="F41" i="2"/>
  <c r="F39" i="2"/>
  <c r="J15" i="2"/>
  <c r="K28" i="2"/>
  <c r="J16" i="2"/>
</calcChain>
</file>

<file path=xl/comments1.xml><?xml version="1.0" encoding="utf-8"?>
<comments xmlns="http://schemas.openxmlformats.org/spreadsheetml/2006/main">
  <authors>
    <author>kevin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Abl I St. Benno NW auf 0 eingesetz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Mittel von Abl. I und Abl. II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Abl. I 3017 auf 0 eingesetz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Abl. I N2 - Abl. I 3017</t>
        </r>
      </text>
    </comment>
  </commentList>
</comments>
</file>

<file path=xl/comments2.xml><?xml version="1.0" encoding="utf-8"?>
<comments xmlns="http://schemas.openxmlformats.org/spreadsheetml/2006/main">
  <authors>
    <author>kevin</author>
  </authors>
  <commentList>
    <comment ref="D16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ß1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ß2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ß3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ß4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SOLL
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SOLL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IST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IST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SOLL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IST</t>
        </r>
      </text>
    </comment>
  </commentList>
</comments>
</file>

<file path=xl/comments3.xml><?xml version="1.0" encoding="utf-8"?>
<comments xmlns="http://schemas.openxmlformats.org/spreadsheetml/2006/main">
  <authors>
    <author>kevin</author>
  </authors>
  <commentList>
    <comment ref="D16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ß1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ß2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ß3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ß4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SOLL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IST</t>
        </r>
      </text>
    </comment>
  </commentList>
</comments>
</file>

<file path=xl/sharedStrings.xml><?xml version="1.0" encoding="utf-8"?>
<sst xmlns="http://schemas.openxmlformats.org/spreadsheetml/2006/main" count="205" uniqueCount="108">
  <si>
    <t>Zielpunkt</t>
  </si>
  <si>
    <t>Ablesungen Lage</t>
  </si>
  <si>
    <t>I</t>
  </si>
  <si>
    <t>II</t>
  </si>
  <si>
    <t>Abl. I red.</t>
  </si>
  <si>
    <t>Abl. II red.</t>
  </si>
  <si>
    <t>Satzmittel</t>
  </si>
  <si>
    <t>Horizontalwinkelmessung</t>
  </si>
  <si>
    <t>Gesamtmittel</t>
  </si>
  <si>
    <t>Entfernung</t>
  </si>
  <si>
    <t>Standpunkt: 3017</t>
  </si>
  <si>
    <t>Satz 1:</t>
  </si>
  <si>
    <t>St. Benno NW</t>
  </si>
  <si>
    <t>N1</t>
  </si>
  <si>
    <t>Satz 2:</t>
  </si>
  <si>
    <t>Standpunkt: N1</t>
  </si>
  <si>
    <t>N2</t>
  </si>
  <si>
    <t>Standpunkt: N2</t>
  </si>
  <si>
    <t>Standpunkt: 3100</t>
  </si>
  <si>
    <t>Gauß-Krüger-Koordinatensystem</t>
  </si>
  <si>
    <t>Punkt</t>
  </si>
  <si>
    <t>Rechtswert [m]</t>
  </si>
  <si>
    <t>Hochwert [m]</t>
  </si>
  <si>
    <t>Vermarkung</t>
  </si>
  <si>
    <t>15.3017</t>
  </si>
  <si>
    <t>15.3000</t>
  </si>
  <si>
    <t>15.3100</t>
  </si>
  <si>
    <t>Wasserschieber (WS)</t>
  </si>
  <si>
    <t>Eisenrohr (ER)</t>
  </si>
  <si>
    <t>Bolzen (B)</t>
  </si>
  <si>
    <t>Helmstange</t>
  </si>
  <si>
    <t>Ostwert [m]</t>
  </si>
  <si>
    <t>Nordwert [m]</t>
  </si>
  <si>
    <t>32691195,557</t>
  </si>
  <si>
    <t>32689831,124</t>
  </si>
  <si>
    <t>32691063,968</t>
  </si>
  <si>
    <t>32691418,165</t>
  </si>
  <si>
    <t>5335841,771</t>
  </si>
  <si>
    <t>β / t [gon]</t>
  </si>
  <si>
    <t>s [m]</t>
  </si>
  <si>
    <t>H / ΔH [m]</t>
  </si>
  <si>
    <t>R / ΔR [m]</t>
  </si>
  <si>
    <t>Hm (Mittlere Höhe)</t>
  </si>
  <si>
    <t>R (Erdradius)</t>
  </si>
  <si>
    <t>Δs</t>
  </si>
  <si>
    <t>t0,1</t>
  </si>
  <si>
    <t>t 0,1</t>
  </si>
  <si>
    <t>t 1,2</t>
  </si>
  <si>
    <t>t 2,3</t>
  </si>
  <si>
    <t>t 3,4</t>
  </si>
  <si>
    <t>t 4,5</t>
  </si>
  <si>
    <t>UTM Koordinatensystem</t>
  </si>
  <si>
    <t>t4,5</t>
  </si>
  <si>
    <t>P0 = FA</t>
  </si>
  <si>
    <t>P1 = A</t>
  </si>
  <si>
    <t>Pn = E</t>
  </si>
  <si>
    <t>Pn+1 = FE</t>
  </si>
  <si>
    <t>t1,2</t>
  </si>
  <si>
    <t>t2,3</t>
  </si>
  <si>
    <t>t3,4</t>
  </si>
  <si>
    <t>Wß</t>
  </si>
  <si>
    <t>Vß</t>
  </si>
  <si>
    <t>S</t>
  </si>
  <si>
    <t>WR</t>
  </si>
  <si>
    <t>WH</t>
  </si>
  <si>
    <t>WS</t>
  </si>
  <si>
    <t>ΣΔy</t>
  </si>
  <si>
    <t>s reduziert</t>
  </si>
  <si>
    <t>ΔR</t>
  </si>
  <si>
    <t>ΔH</t>
  </si>
  <si>
    <t>ΣΔx</t>
  </si>
  <si>
    <t>WL [m]</t>
  </si>
  <si>
    <t>WQ [m]</t>
  </si>
  <si>
    <t>Reine Berechnung</t>
  </si>
  <si>
    <t>Y(n)</t>
  </si>
  <si>
    <t>X(n)</t>
  </si>
  <si>
    <t>VR</t>
  </si>
  <si>
    <t>VH</t>
  </si>
  <si>
    <t>fL [cm]</t>
  </si>
  <si>
    <t>fQ [cm]</t>
  </si>
  <si>
    <t>Strecke No.</t>
  </si>
  <si>
    <t>Hm/R</t>
  </si>
  <si>
    <t>1</t>
  </si>
  <si>
    <t>3</t>
  </si>
  <si>
    <t>2</t>
  </si>
  <si>
    <t>fw [cgon)</t>
  </si>
  <si>
    <t>-80,658</t>
  </si>
  <si>
    <t>-80,196</t>
  </si>
  <si>
    <t>-62,214</t>
  </si>
  <si>
    <t>Σs</t>
  </si>
  <si>
    <t>Richtungswinkel</t>
  </si>
  <si>
    <t>+10,961</t>
  </si>
  <si>
    <t>+8,455</t>
  </si>
  <si>
    <t>+10,898</t>
  </si>
  <si>
    <t>Σ red. s [m]</t>
  </si>
  <si>
    <r>
      <t>W</t>
    </r>
    <r>
      <rPr>
        <sz val="11"/>
        <color theme="1"/>
        <rFont val="Calibri"/>
        <family val="2"/>
      </rPr>
      <t>β</t>
    </r>
  </si>
  <si>
    <r>
      <t>V</t>
    </r>
    <r>
      <rPr>
        <sz val="11"/>
        <color theme="1"/>
        <rFont val="Calibri"/>
        <family val="2"/>
      </rPr>
      <t>β</t>
    </r>
  </si>
  <si>
    <t>Kontrolle (nach Verbesserung der Koordinatenabweichungen)</t>
  </si>
  <si>
    <t>+7,796</t>
  </si>
  <si>
    <t>-81,027</t>
  </si>
  <si>
    <t>-80,564</t>
  </si>
  <si>
    <t>+6,014</t>
  </si>
  <si>
    <t>-62,500</t>
  </si>
  <si>
    <t>Y</t>
  </si>
  <si>
    <t>X</t>
  </si>
  <si>
    <t>UTM</t>
  </si>
  <si>
    <t>GK</t>
  </si>
  <si>
    <t>BeidPoly8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</si>
</sst>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E+00"/>
    <numFmt numFmtId="166" formatCode="#,##0.000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Sylfae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theme="1"/>
      <name val="Cambria"/>
      <family val="1"/>
    </font>
    <font>
      <sz val="11"/>
      <name val="Cambria"/>
      <family val="1"/>
    </font>
    <font>
      <sz val="11"/>
      <color rgb="FF00B050"/>
      <name val="Cambria"/>
      <family val="1"/>
    </font>
    <font>
      <sz val="11"/>
      <color rgb="FFFF0000"/>
      <name val="Cambria"/>
      <family val="1"/>
    </font>
    <font>
      <sz val="11"/>
      <color rgb="FF0070C0"/>
      <name val="Cambria"/>
      <family val="1"/>
    </font>
    <font>
      <b/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5" xfId="0" applyFont="1" applyBorder="1"/>
    <xf numFmtId="0" fontId="1" fillId="0" borderId="0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Border="1"/>
    <xf numFmtId="0" fontId="1" fillId="0" borderId="14" xfId="0" applyNumberFormat="1" applyFont="1" applyBorder="1"/>
    <xf numFmtId="0" fontId="1" fillId="0" borderId="16" xfId="0" applyNumberFormat="1" applyFont="1" applyBorder="1"/>
    <xf numFmtId="0" fontId="1" fillId="0" borderId="2" xfId="0" applyNumberFormat="1" applyFont="1" applyBorder="1"/>
    <xf numFmtId="0" fontId="1" fillId="0" borderId="3" xfId="0" applyNumberFormat="1" applyFont="1" applyBorder="1"/>
    <xf numFmtId="0" fontId="1" fillId="0" borderId="5" xfId="0" applyNumberFormat="1" applyFont="1" applyBorder="1"/>
    <xf numFmtId="0" fontId="1" fillId="0" borderId="13" xfId="0" applyNumberFormat="1" applyFont="1" applyBorder="1"/>
    <xf numFmtId="0" fontId="1" fillId="0" borderId="4" xfId="0" applyNumberFormat="1" applyFont="1" applyBorder="1"/>
    <xf numFmtId="0" fontId="1" fillId="0" borderId="9" xfId="0" applyNumberFormat="1" applyFont="1" applyBorder="1"/>
    <xf numFmtId="0" fontId="1" fillId="0" borderId="1" xfId="0" applyNumberFormat="1" applyFont="1" applyFill="1" applyBorder="1"/>
    <xf numFmtId="164" fontId="1" fillId="0" borderId="1" xfId="0" applyNumberFormat="1" applyFont="1" applyBorder="1"/>
    <xf numFmtId="164" fontId="1" fillId="0" borderId="9" xfId="0" applyNumberFormat="1" applyFont="1" applyBorder="1"/>
    <xf numFmtId="0" fontId="5" fillId="0" borderId="0" xfId="0" applyFont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/>
    <xf numFmtId="0" fontId="5" fillId="0" borderId="17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5" fillId="0" borderId="0" xfId="0" applyNumberFormat="1" applyFont="1"/>
    <xf numFmtId="49" fontId="5" fillId="0" borderId="17" xfId="0" applyNumberFormat="1" applyFont="1" applyBorder="1" applyAlignment="1">
      <alignment horizontal="center"/>
    </xf>
    <xf numFmtId="0" fontId="5" fillId="0" borderId="17" xfId="0" applyNumberFormat="1" applyFont="1" applyBorder="1" applyAlignment="1">
      <alignment horizontal="center"/>
    </xf>
    <xf numFmtId="164" fontId="5" fillId="0" borderId="17" xfId="0" applyNumberFormat="1" applyFont="1" applyBorder="1"/>
    <xf numFmtId="0" fontId="5" fillId="0" borderId="0" xfId="0" applyNumberFormat="1" applyFont="1" applyBorder="1"/>
    <xf numFmtId="0" fontId="5" fillId="0" borderId="17" xfId="0" applyNumberFormat="1" applyFont="1" applyBorder="1"/>
    <xf numFmtId="0" fontId="5" fillId="0" borderId="0" xfId="0" applyNumberFormat="1" applyFont="1" applyBorder="1" applyAlignment="1">
      <alignment horizontal="left"/>
    </xf>
    <xf numFmtId="49" fontId="5" fillId="0" borderId="17" xfId="0" applyNumberFormat="1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5" fillId="0" borderId="20" xfId="0" applyFont="1" applyBorder="1"/>
    <xf numFmtId="0" fontId="5" fillId="3" borderId="17" xfId="0" applyFont="1" applyFill="1" applyBorder="1"/>
    <xf numFmtId="164" fontId="7" fillId="3" borderId="17" xfId="0" applyNumberFormat="1" applyFont="1" applyFill="1" applyBorder="1"/>
    <xf numFmtId="0" fontId="5" fillId="0" borderId="17" xfId="0" applyNumberFormat="1" applyFont="1" applyFill="1" applyBorder="1"/>
    <xf numFmtId="0" fontId="7" fillId="0" borderId="0" xfId="0" applyFont="1"/>
    <xf numFmtId="164" fontId="5" fillId="0" borderId="17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7" fillId="0" borderId="0" xfId="0" applyFont="1" applyBorder="1"/>
    <xf numFmtId="0" fontId="7" fillId="0" borderId="17" xfId="0" applyFont="1" applyBorder="1" applyAlignment="1">
      <alignment horizontal="center"/>
    </xf>
    <xf numFmtId="164" fontId="7" fillId="0" borderId="17" xfId="0" applyNumberFormat="1" applyFont="1" applyBorder="1"/>
    <xf numFmtId="49" fontId="7" fillId="0" borderId="17" xfId="0" applyNumberFormat="1" applyFont="1" applyBorder="1" applyAlignment="1">
      <alignment horizontal="right"/>
    </xf>
    <xf numFmtId="0" fontId="7" fillId="0" borderId="17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49" fontId="7" fillId="0" borderId="0" xfId="0" applyNumberFormat="1" applyFont="1" applyBorder="1" applyAlignment="1">
      <alignment horizontal="right"/>
    </xf>
    <xf numFmtId="164" fontId="8" fillId="0" borderId="17" xfId="0" applyNumberFormat="1" applyFont="1" applyBorder="1"/>
    <xf numFmtId="164" fontId="9" fillId="0" borderId="17" xfId="0" applyNumberFormat="1" applyFont="1" applyBorder="1" applyAlignment="1">
      <alignment horizontal="center"/>
    </xf>
    <xf numFmtId="0" fontId="9" fillId="0" borderId="17" xfId="0" applyNumberFormat="1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right"/>
    </xf>
    <xf numFmtId="164" fontId="8" fillId="0" borderId="17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0" fontId="5" fillId="0" borderId="0" xfId="0" applyFont="1" applyAlignment="1"/>
    <xf numFmtId="165" fontId="7" fillId="0" borderId="17" xfId="0" applyNumberFormat="1" applyFont="1" applyBorder="1" applyAlignment="1">
      <alignment horizontal="right"/>
    </xf>
    <xf numFmtId="165" fontId="7" fillId="0" borderId="17" xfId="0" applyNumberFormat="1" applyFont="1" applyBorder="1"/>
    <xf numFmtId="164" fontId="6" fillId="0" borderId="17" xfId="0" applyNumberFormat="1" applyFont="1" applyBorder="1"/>
    <xf numFmtId="164" fontId="7" fillId="0" borderId="17" xfId="0" applyNumberFormat="1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5" fillId="0" borderId="21" xfId="0" applyFont="1" applyBorder="1"/>
    <xf numFmtId="0" fontId="7" fillId="0" borderId="17" xfId="0" applyFont="1" applyBorder="1"/>
    <xf numFmtId="4" fontId="7" fillId="0" borderId="0" xfId="0" applyNumberFormat="1" applyFont="1" applyBorder="1"/>
    <xf numFmtId="164" fontId="5" fillId="0" borderId="0" xfId="0" applyNumberFormat="1" applyFont="1"/>
    <xf numFmtId="0" fontId="5" fillId="0" borderId="17" xfId="0" applyFont="1" applyBorder="1" applyAlignment="1">
      <alignment horizontal="left"/>
    </xf>
    <xf numFmtId="49" fontId="5" fillId="3" borderId="17" xfId="0" applyNumberFormat="1" applyFont="1" applyFill="1" applyBorder="1" applyAlignment="1">
      <alignment horizontal="right"/>
    </xf>
    <xf numFmtId="164" fontId="5" fillId="0" borderId="17" xfId="0" applyNumberFormat="1" applyFont="1" applyBorder="1" applyAlignment="1">
      <alignment horizontal="right"/>
    </xf>
    <xf numFmtId="49" fontId="5" fillId="0" borderId="0" xfId="0" applyNumberFormat="1" applyFont="1" applyBorder="1"/>
    <xf numFmtId="49" fontId="5" fillId="3" borderId="21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left"/>
    </xf>
    <xf numFmtId="164" fontId="7" fillId="0" borderId="0" xfId="0" applyNumberFormat="1" applyFont="1" applyBorder="1"/>
    <xf numFmtId="0" fontId="7" fillId="0" borderId="17" xfId="0" applyNumberFormat="1" applyFont="1" applyBorder="1" applyAlignment="1">
      <alignment horizontal="right"/>
    </xf>
    <xf numFmtId="0" fontId="5" fillId="0" borderId="0" xfId="0" applyFont="1" applyAlignment="1">
      <alignment horizontal="center"/>
    </xf>
    <xf numFmtId="164" fontId="5" fillId="3" borderId="17" xfId="0" applyNumberFormat="1" applyFont="1" applyFill="1" applyBorder="1"/>
    <xf numFmtId="164" fontId="7" fillId="0" borderId="0" xfId="0" applyNumberFormat="1" applyFont="1" applyAlignment="1">
      <alignment horizontal="center"/>
    </xf>
    <xf numFmtId="164" fontId="5" fillId="2" borderId="17" xfId="0" applyNumberFormat="1" applyFont="1" applyFill="1" applyBorder="1"/>
    <xf numFmtId="164" fontId="5" fillId="0" borderId="21" xfId="0" applyNumberFormat="1" applyFont="1" applyBorder="1"/>
    <xf numFmtId="166" fontId="7" fillId="0" borderId="17" xfId="0" applyNumberFormat="1" applyFont="1" applyBorder="1"/>
    <xf numFmtId="164" fontId="5" fillId="0" borderId="19" xfId="0" applyNumberFormat="1" applyFont="1" applyBorder="1"/>
    <xf numFmtId="165" fontId="5" fillId="0" borderId="17" xfId="0" applyNumberFormat="1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485775</xdr:colOff>
      <xdr:row>2</xdr:row>
      <xdr:rowOff>0</xdr:rowOff>
    </xdr:from>
    <xdr:ext cx="2022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9439275" y="381000"/>
              <a:ext cx="2022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9439275" y="381000"/>
              <a:ext cx="2022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𝑦_𝑚 )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561975</xdr:colOff>
      <xdr:row>2</xdr:row>
      <xdr:rowOff>9525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7077075" y="39052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7077075" y="39052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561975</xdr:colOff>
      <xdr:row>2</xdr:row>
      <xdr:rowOff>180975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981575" y="56197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981575" y="56197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400050</xdr:colOff>
      <xdr:row>2</xdr:row>
      <xdr:rowOff>180975</xdr:rowOff>
    </xdr:from>
    <xdr:ext cx="4953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057900" y="561975"/>
              <a:ext cx="4953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057900" y="561975"/>
              <a:ext cx="4953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𝑦_𝑚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7"/>
  <sheetViews>
    <sheetView topLeftCell="A19" workbookViewId="0">
      <selection activeCell="L9" sqref="L9"/>
    </sheetView>
  </sheetViews>
  <sheetFormatPr baseColWidth="10" defaultColWidth="9.140625" defaultRowHeight="15" x14ac:dyDescent="0.25"/>
  <cols>
    <col min="3" max="3" width="9.140625" customWidth="1"/>
    <col min="5" max="7" width="9.42578125" customWidth="1"/>
    <col min="8" max="8" width="13" customWidth="1"/>
    <col min="9" max="9" width="10.5703125" customWidth="1"/>
  </cols>
  <sheetData>
    <row r="1" spans="1:9" x14ac:dyDescent="0.25">
      <c r="C1" s="116" t="s">
        <v>107</v>
      </c>
      <c r="D1" s="115"/>
      <c r="E1" s="115"/>
      <c r="F1" s="115"/>
      <c r="G1" s="115"/>
      <c r="H1" s="115"/>
    </row>
    <row r="2" spans="1:9" x14ac:dyDescent="0.25">
      <c r="C2" s="115"/>
      <c r="D2" s="115"/>
      <c r="E2" s="115"/>
      <c r="F2" s="115"/>
      <c r="G2" s="115"/>
      <c r="H2" s="115"/>
    </row>
    <row r="3" spans="1:9" ht="15.75" thickBot="1" x14ac:dyDescent="0.3"/>
    <row r="4" spans="1:9" x14ac:dyDescent="0.25">
      <c r="B4" s="101" t="s">
        <v>0</v>
      </c>
      <c r="C4" s="104" t="s">
        <v>1</v>
      </c>
      <c r="D4" s="105"/>
      <c r="E4" s="104" t="s">
        <v>7</v>
      </c>
      <c r="F4" s="108"/>
      <c r="G4" s="108"/>
      <c r="H4" s="101" t="s">
        <v>8</v>
      </c>
      <c r="I4" s="101" t="s">
        <v>9</v>
      </c>
    </row>
    <row r="5" spans="1:9" ht="15.75" thickBot="1" x14ac:dyDescent="0.3">
      <c r="B5" s="102"/>
      <c r="C5" s="106"/>
      <c r="D5" s="107"/>
      <c r="E5" s="109"/>
      <c r="F5" s="110"/>
      <c r="G5" s="110"/>
      <c r="H5" s="102"/>
      <c r="I5" s="102"/>
    </row>
    <row r="6" spans="1:9" ht="15.75" thickBot="1" x14ac:dyDescent="0.3">
      <c r="B6" s="103"/>
      <c r="C6" s="2" t="s">
        <v>2</v>
      </c>
      <c r="D6" s="3" t="s">
        <v>3</v>
      </c>
      <c r="E6" s="14" t="s">
        <v>4</v>
      </c>
      <c r="F6" s="14" t="s">
        <v>5</v>
      </c>
      <c r="G6" s="14" t="s">
        <v>6</v>
      </c>
      <c r="H6" s="107"/>
      <c r="I6" s="103"/>
    </row>
    <row r="7" spans="1:9" ht="15.75" thickBot="1" x14ac:dyDescent="0.3">
      <c r="B7" s="98" t="s">
        <v>10</v>
      </c>
      <c r="C7" s="99"/>
      <c r="D7" s="100"/>
      <c r="E7" s="5"/>
      <c r="F7" s="6"/>
      <c r="G7" s="4"/>
      <c r="H7" s="7"/>
      <c r="I7" s="4"/>
    </row>
    <row r="8" spans="1:9" ht="16.5" thickTop="1" thickBot="1" x14ac:dyDescent="0.3">
      <c r="B8" s="8"/>
      <c r="C8" s="6"/>
      <c r="D8" s="4"/>
      <c r="E8" s="4"/>
      <c r="F8" s="9"/>
      <c r="G8" s="4"/>
      <c r="H8" s="10"/>
      <c r="I8" s="4"/>
    </row>
    <row r="9" spans="1:9" ht="15.75" thickBot="1" x14ac:dyDescent="0.3">
      <c r="B9" s="5" t="s">
        <v>11</v>
      </c>
      <c r="C9" s="9"/>
      <c r="D9" s="5"/>
      <c r="E9" s="11"/>
      <c r="F9" s="5"/>
      <c r="G9" s="4"/>
      <c r="H9" s="12"/>
      <c r="I9" s="4"/>
    </row>
    <row r="10" spans="1:9" ht="45" customHeight="1" thickBot="1" x14ac:dyDescent="0.3">
      <c r="A10" s="1"/>
      <c r="B10" s="13" t="s">
        <v>12</v>
      </c>
      <c r="C10" s="17">
        <v>0</v>
      </c>
      <c r="D10" s="18">
        <v>199.99799999999999</v>
      </c>
      <c r="E10" s="18">
        <v>0</v>
      </c>
      <c r="F10" s="19">
        <v>0</v>
      </c>
      <c r="G10" s="20">
        <f>(E10+F10)/2</f>
        <v>0</v>
      </c>
      <c r="H10" s="21">
        <f>(G10+G14)/2</f>
        <v>0</v>
      </c>
      <c r="I10" s="19"/>
    </row>
    <row r="11" spans="1:9" ht="15.75" thickBot="1" x14ac:dyDescent="0.3">
      <c r="B11" s="14" t="s">
        <v>13</v>
      </c>
      <c r="C11" s="22">
        <v>3.734</v>
      </c>
      <c r="D11" s="23">
        <v>203.738</v>
      </c>
      <c r="E11" s="23">
        <f>C11-C10</f>
        <v>3.734</v>
      </c>
      <c r="F11" s="26">
        <f>D11-D10</f>
        <v>3.7400000000000091</v>
      </c>
      <c r="G11" s="16">
        <f>(E11+F11)/2</f>
        <v>3.7370000000000045</v>
      </c>
      <c r="H11" s="24">
        <f>(G11+G15)/2</f>
        <v>53.741000000000007</v>
      </c>
      <c r="I11" s="16">
        <v>87.977000000000004</v>
      </c>
    </row>
    <row r="12" spans="1:9" ht="15.75" thickBot="1" x14ac:dyDescent="0.3">
      <c r="B12" s="4"/>
      <c r="C12" s="16"/>
      <c r="D12" s="16"/>
      <c r="E12" s="16"/>
      <c r="F12" s="16"/>
      <c r="G12" s="16"/>
      <c r="H12" s="16"/>
      <c r="I12" s="16"/>
    </row>
    <row r="13" spans="1:9" ht="15.75" thickBot="1" x14ac:dyDescent="0.3">
      <c r="B13" s="4" t="s">
        <v>14</v>
      </c>
      <c r="C13" s="16"/>
      <c r="D13" s="16"/>
      <c r="E13" s="16"/>
      <c r="F13" s="16"/>
      <c r="G13" s="16"/>
      <c r="H13" s="16"/>
      <c r="I13" s="16"/>
    </row>
    <row r="14" spans="1:9" ht="45" customHeight="1" thickBot="1" x14ac:dyDescent="0.3">
      <c r="B14" s="13" t="s">
        <v>12</v>
      </c>
      <c r="C14" s="16">
        <v>41.734999999999999</v>
      </c>
      <c r="D14" s="16">
        <v>241.732</v>
      </c>
      <c r="E14" s="16">
        <v>0</v>
      </c>
      <c r="F14" s="16">
        <v>0</v>
      </c>
      <c r="G14" s="16">
        <f>(E14+F14)/2</f>
        <v>0</v>
      </c>
      <c r="H14" s="16"/>
      <c r="I14" s="16"/>
    </row>
    <row r="15" spans="1:9" ht="15.75" thickBot="1" x14ac:dyDescent="0.3">
      <c r="B15" s="15" t="s">
        <v>13</v>
      </c>
      <c r="C15" s="25">
        <v>45.481000000000002</v>
      </c>
      <c r="D15" s="25">
        <v>45.475999999999999</v>
      </c>
      <c r="E15" s="16">
        <f>C15-C14</f>
        <v>3.7460000000000022</v>
      </c>
      <c r="F15" s="16">
        <f>(D15-D14)+400</f>
        <v>203.744</v>
      </c>
      <c r="G15" s="16">
        <f>(E15+F15)/2</f>
        <v>103.745</v>
      </c>
      <c r="H15" s="16"/>
      <c r="I15" s="16"/>
    </row>
    <row r="17" spans="2:9" ht="15.75" thickBot="1" x14ac:dyDescent="0.3"/>
    <row r="18" spans="2:9" x14ac:dyDescent="0.25">
      <c r="B18" s="101" t="s">
        <v>0</v>
      </c>
      <c r="C18" s="104" t="s">
        <v>1</v>
      </c>
      <c r="D18" s="105"/>
      <c r="E18" s="104" t="s">
        <v>7</v>
      </c>
      <c r="F18" s="108"/>
      <c r="G18" s="108"/>
      <c r="H18" s="101" t="s">
        <v>8</v>
      </c>
      <c r="I18" s="101" t="s">
        <v>9</v>
      </c>
    </row>
    <row r="19" spans="2:9" ht="15.75" thickBot="1" x14ac:dyDescent="0.3">
      <c r="B19" s="102"/>
      <c r="C19" s="106"/>
      <c r="D19" s="107"/>
      <c r="E19" s="109"/>
      <c r="F19" s="110"/>
      <c r="G19" s="110"/>
      <c r="H19" s="102"/>
      <c r="I19" s="102"/>
    </row>
    <row r="20" spans="2:9" ht="15.75" thickBot="1" x14ac:dyDescent="0.3">
      <c r="B20" s="103"/>
      <c r="C20" s="2" t="s">
        <v>2</v>
      </c>
      <c r="D20" s="3" t="s">
        <v>3</v>
      </c>
      <c r="E20" s="14" t="s">
        <v>4</v>
      </c>
      <c r="F20" s="14" t="s">
        <v>5</v>
      </c>
      <c r="G20" s="14" t="s">
        <v>6</v>
      </c>
      <c r="H20" s="107"/>
      <c r="I20" s="103"/>
    </row>
    <row r="21" spans="2:9" ht="15.75" thickBot="1" x14ac:dyDescent="0.3">
      <c r="B21" s="98" t="s">
        <v>15</v>
      </c>
      <c r="C21" s="99"/>
      <c r="D21" s="100"/>
      <c r="E21" s="5"/>
      <c r="F21" s="6"/>
      <c r="G21" s="4"/>
      <c r="H21" s="7"/>
      <c r="I21" s="4"/>
    </row>
    <row r="22" spans="2:9" ht="16.5" thickTop="1" thickBot="1" x14ac:dyDescent="0.3">
      <c r="B22" s="8"/>
      <c r="C22" s="6"/>
      <c r="D22" s="4"/>
      <c r="E22" s="4"/>
      <c r="F22" s="9"/>
      <c r="G22" s="4"/>
      <c r="H22" s="10"/>
      <c r="I22" s="4"/>
    </row>
    <row r="23" spans="2:9" ht="15.75" thickBot="1" x14ac:dyDescent="0.3">
      <c r="B23" s="5" t="s">
        <v>11</v>
      </c>
      <c r="C23" s="9"/>
      <c r="D23" s="5"/>
      <c r="E23" s="11"/>
      <c r="F23" s="5"/>
      <c r="G23" s="4"/>
      <c r="H23" s="12"/>
      <c r="I23" s="4"/>
    </row>
    <row r="24" spans="2:9" ht="15.75" thickBot="1" x14ac:dyDescent="0.3">
      <c r="B24" s="13">
        <v>3017</v>
      </c>
      <c r="C24" s="17">
        <v>0</v>
      </c>
      <c r="D24" s="18">
        <v>199.99700000000001</v>
      </c>
      <c r="E24" s="18">
        <v>0</v>
      </c>
      <c r="F24" s="19">
        <v>0</v>
      </c>
      <c r="G24" s="20">
        <f>(E24+F24)/2</f>
        <v>0</v>
      </c>
      <c r="H24" s="21">
        <f>(G24+G28)/2</f>
        <v>0</v>
      </c>
      <c r="I24" s="19"/>
    </row>
    <row r="25" spans="2:9" ht="15.75" thickBot="1" x14ac:dyDescent="0.3">
      <c r="B25" s="14" t="s">
        <v>16</v>
      </c>
      <c r="C25" s="22">
        <v>196.99799999999999</v>
      </c>
      <c r="D25" s="23">
        <v>397.00200000000001</v>
      </c>
      <c r="E25" s="23">
        <f>C25-C24</f>
        <v>196.99799999999999</v>
      </c>
      <c r="F25" s="16">
        <f>D25-D24</f>
        <v>197.005</v>
      </c>
      <c r="G25" s="26">
        <f>(E25+F25)/2</f>
        <v>197.00149999999999</v>
      </c>
      <c r="H25" s="27">
        <f>(G25+G29)/2</f>
        <v>197</v>
      </c>
      <c r="I25" s="16">
        <v>87.977000000000004</v>
      </c>
    </row>
    <row r="26" spans="2:9" ht="15.75" thickBot="1" x14ac:dyDescent="0.3">
      <c r="B26" s="4"/>
      <c r="C26" s="16"/>
      <c r="D26" s="16"/>
      <c r="E26" s="16"/>
      <c r="F26" s="16"/>
      <c r="G26" s="16"/>
      <c r="H26" s="16"/>
      <c r="I26" s="16">
        <v>87.474000000000004</v>
      </c>
    </row>
    <row r="27" spans="2:9" ht="15.75" thickBot="1" x14ac:dyDescent="0.3">
      <c r="B27" s="4" t="s">
        <v>14</v>
      </c>
      <c r="C27" s="16"/>
      <c r="D27" s="16"/>
      <c r="E27" s="16"/>
      <c r="F27" s="16"/>
      <c r="G27" s="16"/>
      <c r="H27" s="16"/>
      <c r="I27" s="16"/>
    </row>
    <row r="28" spans="2:9" ht="15.75" thickBot="1" x14ac:dyDescent="0.3">
      <c r="B28" s="13">
        <v>3017</v>
      </c>
      <c r="C28" s="26">
        <v>12.32</v>
      </c>
      <c r="D28" s="16">
        <v>212.322</v>
      </c>
      <c r="E28" s="16">
        <v>0</v>
      </c>
      <c r="F28" s="16">
        <v>0</v>
      </c>
      <c r="G28" s="16">
        <f>(E28+F28)/2</f>
        <v>0</v>
      </c>
      <c r="H28" s="16"/>
      <c r="I28" s="16"/>
    </row>
    <row r="29" spans="2:9" ht="15.75" thickBot="1" x14ac:dyDescent="0.3">
      <c r="B29" s="15" t="s">
        <v>16</v>
      </c>
      <c r="C29" s="25">
        <v>209.31700000000001</v>
      </c>
      <c r="D29" s="25">
        <v>9.3219999999999992</v>
      </c>
      <c r="E29" s="16">
        <f>C29-C28</f>
        <v>196.99700000000001</v>
      </c>
      <c r="F29" s="26">
        <f>(D29-D28)+400</f>
        <v>197</v>
      </c>
      <c r="G29" s="26">
        <f>(E29+F29)/2</f>
        <v>196.99850000000001</v>
      </c>
      <c r="H29" s="16"/>
      <c r="I29" s="16"/>
    </row>
    <row r="31" spans="2:9" ht="15.75" thickBot="1" x14ac:dyDescent="0.3"/>
    <row r="32" spans="2:9" x14ac:dyDescent="0.25">
      <c r="B32" s="101" t="s">
        <v>0</v>
      </c>
      <c r="C32" s="104" t="s">
        <v>1</v>
      </c>
      <c r="D32" s="105"/>
      <c r="E32" s="104" t="s">
        <v>7</v>
      </c>
      <c r="F32" s="108"/>
      <c r="G32" s="108"/>
      <c r="H32" s="101" t="s">
        <v>8</v>
      </c>
      <c r="I32" s="101" t="s">
        <v>9</v>
      </c>
    </row>
    <row r="33" spans="2:9" ht="15.75" thickBot="1" x14ac:dyDescent="0.3">
      <c r="B33" s="102"/>
      <c r="C33" s="106"/>
      <c r="D33" s="107"/>
      <c r="E33" s="109"/>
      <c r="F33" s="110"/>
      <c r="G33" s="110"/>
      <c r="H33" s="102"/>
      <c r="I33" s="102"/>
    </row>
    <row r="34" spans="2:9" ht="15.75" thickBot="1" x14ac:dyDescent="0.3">
      <c r="B34" s="103"/>
      <c r="C34" s="2" t="s">
        <v>2</v>
      </c>
      <c r="D34" s="3" t="s">
        <v>3</v>
      </c>
      <c r="E34" s="14" t="s">
        <v>4</v>
      </c>
      <c r="F34" s="14" t="s">
        <v>5</v>
      </c>
      <c r="G34" s="14" t="s">
        <v>6</v>
      </c>
      <c r="H34" s="107"/>
      <c r="I34" s="103"/>
    </row>
    <row r="35" spans="2:9" ht="15.75" thickBot="1" x14ac:dyDescent="0.3">
      <c r="B35" s="98" t="s">
        <v>17</v>
      </c>
      <c r="C35" s="99"/>
      <c r="D35" s="100"/>
      <c r="E35" s="5"/>
      <c r="F35" s="6"/>
      <c r="G35" s="4"/>
      <c r="H35" s="7"/>
      <c r="I35" s="4"/>
    </row>
    <row r="36" spans="2:9" ht="16.5" thickTop="1" thickBot="1" x14ac:dyDescent="0.3">
      <c r="B36" s="8"/>
      <c r="C36" s="6"/>
      <c r="D36" s="4"/>
      <c r="E36" s="4"/>
      <c r="F36" s="9"/>
      <c r="G36" s="4"/>
      <c r="H36" s="10"/>
      <c r="I36" s="4"/>
    </row>
    <row r="37" spans="2:9" ht="15.75" thickBot="1" x14ac:dyDescent="0.3">
      <c r="B37" s="5" t="s">
        <v>11</v>
      </c>
      <c r="C37" s="9"/>
      <c r="D37" s="5"/>
      <c r="E37" s="11"/>
      <c r="F37" s="5"/>
      <c r="G37" s="4"/>
      <c r="H37" s="12"/>
      <c r="I37" s="4"/>
    </row>
    <row r="38" spans="2:9" ht="15.75" thickBot="1" x14ac:dyDescent="0.3">
      <c r="B38" s="13" t="s">
        <v>13</v>
      </c>
      <c r="C38" s="17">
        <v>0</v>
      </c>
      <c r="D38" s="18">
        <v>200.006</v>
      </c>
      <c r="E38" s="18">
        <v>0</v>
      </c>
      <c r="F38" s="19">
        <v>0</v>
      </c>
      <c r="G38" s="20">
        <f>(E38+F38)/2</f>
        <v>0</v>
      </c>
      <c r="H38" s="21">
        <f>(G38+G42)/2</f>
        <v>0</v>
      </c>
      <c r="I38" s="19"/>
    </row>
    <row r="39" spans="2:9" ht="15.75" thickBot="1" x14ac:dyDescent="0.3">
      <c r="B39" s="14">
        <v>3100</v>
      </c>
      <c r="C39" s="22">
        <v>206.90899999999999</v>
      </c>
      <c r="D39" s="23">
        <v>6.9139999999999997</v>
      </c>
      <c r="E39" s="23">
        <f>C39-C38</f>
        <v>206.90899999999999</v>
      </c>
      <c r="F39" s="16">
        <f>(D39-D38)+400</f>
        <v>206.90799999999999</v>
      </c>
      <c r="G39" s="26">
        <f>(E39+F39)/2</f>
        <v>206.9085</v>
      </c>
      <c r="H39" s="24">
        <v>206.91399999999999</v>
      </c>
      <c r="I39" s="16">
        <v>87.474000000000004</v>
      </c>
    </row>
    <row r="40" spans="2:9" ht="15.75" thickBot="1" x14ac:dyDescent="0.3">
      <c r="B40" s="4"/>
      <c r="C40" s="16"/>
      <c r="D40" s="16"/>
      <c r="E40" s="16"/>
      <c r="F40" s="16"/>
      <c r="G40" s="16"/>
      <c r="H40" s="16"/>
      <c r="I40" s="26">
        <v>67.86</v>
      </c>
    </row>
    <row r="41" spans="2:9" ht="15.75" thickBot="1" x14ac:dyDescent="0.3">
      <c r="B41" s="4" t="s">
        <v>14</v>
      </c>
      <c r="C41" s="16"/>
      <c r="D41" s="16"/>
      <c r="E41" s="16"/>
      <c r="F41" s="16"/>
      <c r="G41" s="16"/>
      <c r="H41" s="16"/>
      <c r="I41" s="16"/>
    </row>
    <row r="42" spans="2:9" ht="15.75" thickBot="1" x14ac:dyDescent="0.3">
      <c r="B42" s="13" t="s">
        <v>13</v>
      </c>
      <c r="C42" s="16">
        <v>21.582999999999998</v>
      </c>
      <c r="D42" s="26">
        <v>221.59</v>
      </c>
      <c r="E42" s="16">
        <v>0</v>
      </c>
      <c r="F42" s="16">
        <v>0</v>
      </c>
      <c r="G42" s="16">
        <f>(E42+F42)/2</f>
        <v>0</v>
      </c>
      <c r="H42" s="16"/>
      <c r="I42" s="16"/>
    </row>
    <row r="43" spans="2:9" ht="15.75" thickBot="1" x14ac:dyDescent="0.3">
      <c r="B43" s="15">
        <v>3100</v>
      </c>
      <c r="C43" s="25">
        <v>228.50299999999999</v>
      </c>
      <c r="D43" s="25">
        <v>28.507000000000001</v>
      </c>
      <c r="E43" s="26">
        <f>C43-C42</f>
        <v>206.92</v>
      </c>
      <c r="F43" s="16">
        <f>(D43-D42)+400</f>
        <v>206.917</v>
      </c>
      <c r="G43" s="26">
        <f>(E43+F43)/2</f>
        <v>206.91849999999999</v>
      </c>
      <c r="H43" s="16"/>
      <c r="I43" s="16"/>
    </row>
    <row r="45" spans="2:9" ht="15.75" thickBot="1" x14ac:dyDescent="0.3"/>
    <row r="46" spans="2:9" x14ac:dyDescent="0.25">
      <c r="B46" s="101" t="s">
        <v>0</v>
      </c>
      <c r="C46" s="104" t="s">
        <v>1</v>
      </c>
      <c r="D46" s="105"/>
      <c r="E46" s="104" t="s">
        <v>7</v>
      </c>
      <c r="F46" s="108"/>
      <c r="G46" s="108"/>
      <c r="H46" s="101" t="s">
        <v>8</v>
      </c>
      <c r="I46" s="101" t="s">
        <v>9</v>
      </c>
    </row>
    <row r="47" spans="2:9" ht="15.75" thickBot="1" x14ac:dyDescent="0.3">
      <c r="B47" s="102"/>
      <c r="C47" s="106"/>
      <c r="D47" s="107"/>
      <c r="E47" s="109"/>
      <c r="F47" s="110"/>
      <c r="G47" s="110"/>
      <c r="H47" s="102"/>
      <c r="I47" s="102"/>
    </row>
    <row r="48" spans="2:9" ht="15.75" thickBot="1" x14ac:dyDescent="0.3">
      <c r="B48" s="103"/>
      <c r="C48" s="2" t="s">
        <v>2</v>
      </c>
      <c r="D48" s="3" t="s">
        <v>3</v>
      </c>
      <c r="E48" s="14" t="s">
        <v>4</v>
      </c>
      <c r="F48" s="14" t="s">
        <v>5</v>
      </c>
      <c r="G48" s="14" t="s">
        <v>6</v>
      </c>
      <c r="H48" s="107"/>
      <c r="I48" s="103"/>
    </row>
    <row r="49" spans="2:9" ht="15.75" thickBot="1" x14ac:dyDescent="0.3">
      <c r="B49" s="98" t="s">
        <v>18</v>
      </c>
      <c r="C49" s="99"/>
      <c r="D49" s="100"/>
      <c r="E49" s="5"/>
      <c r="F49" s="6"/>
      <c r="G49" s="4"/>
      <c r="H49" s="7"/>
      <c r="I49" s="4"/>
    </row>
    <row r="50" spans="2:9" ht="16.5" thickTop="1" thickBot="1" x14ac:dyDescent="0.3">
      <c r="B50" s="8"/>
      <c r="C50" s="6"/>
      <c r="D50" s="4"/>
      <c r="E50" s="4"/>
      <c r="F50" s="9"/>
      <c r="G50" s="4"/>
      <c r="H50" s="10"/>
      <c r="I50" s="4"/>
    </row>
    <row r="51" spans="2:9" ht="15.75" thickBot="1" x14ac:dyDescent="0.3">
      <c r="B51" s="5" t="s">
        <v>11</v>
      </c>
      <c r="C51" s="9"/>
      <c r="D51" s="5"/>
      <c r="E51" s="11"/>
      <c r="F51" s="5"/>
      <c r="G51" s="4"/>
      <c r="H51" s="12"/>
      <c r="I51" s="4"/>
    </row>
    <row r="52" spans="2:9" ht="15.75" thickBot="1" x14ac:dyDescent="0.3">
      <c r="B52" s="13">
        <v>3000</v>
      </c>
      <c r="C52" s="17">
        <v>158.58699999999999</v>
      </c>
      <c r="D52" s="18">
        <v>358.58499999999998</v>
      </c>
      <c r="E52" s="18">
        <v>0</v>
      </c>
      <c r="F52" s="19">
        <v>0</v>
      </c>
      <c r="G52" s="20">
        <f>(E52+F52)/2</f>
        <v>0</v>
      </c>
      <c r="H52" s="21">
        <f>(G52+G56)/2</f>
        <v>0</v>
      </c>
      <c r="I52" s="19"/>
    </row>
    <row r="53" spans="2:9" ht="15.75" thickBot="1" x14ac:dyDescent="0.3">
      <c r="B53" s="14" t="s">
        <v>16</v>
      </c>
      <c r="C53" s="22">
        <v>363.822</v>
      </c>
      <c r="D53" s="23">
        <v>163.827</v>
      </c>
      <c r="E53" s="23">
        <f>C53-C52</f>
        <v>205.23500000000001</v>
      </c>
      <c r="F53" s="16">
        <f>(D53-D52)+400</f>
        <v>205.24200000000002</v>
      </c>
      <c r="G53" s="26">
        <f>(E53+F53)/2</f>
        <v>205.23850000000002</v>
      </c>
      <c r="H53" s="27">
        <v>205.24</v>
      </c>
      <c r="I53" s="16"/>
    </row>
    <row r="54" spans="2:9" ht="15.75" thickBot="1" x14ac:dyDescent="0.3">
      <c r="B54" s="4"/>
      <c r="C54" s="16"/>
      <c r="D54" s="16"/>
      <c r="E54" s="16"/>
      <c r="F54" s="16"/>
      <c r="G54" s="16"/>
      <c r="H54" s="16"/>
      <c r="I54" s="26">
        <v>67.86</v>
      </c>
    </row>
    <row r="55" spans="2:9" ht="15.75" thickBot="1" x14ac:dyDescent="0.3">
      <c r="B55" s="4" t="s">
        <v>14</v>
      </c>
      <c r="C55" s="16"/>
      <c r="D55" s="16"/>
      <c r="E55" s="16"/>
      <c r="F55" s="16"/>
      <c r="G55" s="16"/>
      <c r="H55" s="16"/>
      <c r="I55" s="16"/>
    </row>
    <row r="56" spans="2:9" ht="15.75" thickBot="1" x14ac:dyDescent="0.3">
      <c r="B56" s="13">
        <v>3000</v>
      </c>
      <c r="C56" s="16">
        <v>0</v>
      </c>
      <c r="D56" s="16">
        <v>200.001</v>
      </c>
      <c r="E56" s="16">
        <v>0</v>
      </c>
      <c r="F56" s="16">
        <v>0</v>
      </c>
      <c r="G56" s="16">
        <f>(E56+F56)/2</f>
        <v>0</v>
      </c>
      <c r="H56" s="16"/>
      <c r="I56" s="16"/>
    </row>
    <row r="57" spans="2:9" ht="15.75" thickBot="1" x14ac:dyDescent="0.3">
      <c r="B57" s="15" t="s">
        <v>16</v>
      </c>
      <c r="C57" s="25">
        <v>205.244</v>
      </c>
      <c r="D57" s="25">
        <v>5.2430000000000003</v>
      </c>
      <c r="E57" s="16">
        <f>C57-C56</f>
        <v>205.244</v>
      </c>
      <c r="F57" s="16">
        <f>(D57-D56)+400</f>
        <v>205.24199999999999</v>
      </c>
      <c r="G57" s="16">
        <f>(E57+F57)/2</f>
        <v>205.24299999999999</v>
      </c>
      <c r="H57" s="16"/>
      <c r="I57" s="16"/>
    </row>
  </sheetData>
  <mergeCells count="25">
    <mergeCell ref="C1:H2"/>
    <mergeCell ref="I18:I20"/>
    <mergeCell ref="B4:B6"/>
    <mergeCell ref="C4:D5"/>
    <mergeCell ref="E4:G5"/>
    <mergeCell ref="H4:H6"/>
    <mergeCell ref="I4:I6"/>
    <mergeCell ref="B7:D7"/>
    <mergeCell ref="B18:B20"/>
    <mergeCell ref="C18:D19"/>
    <mergeCell ref="E18:G19"/>
    <mergeCell ref="H18:H20"/>
    <mergeCell ref="H46:H48"/>
    <mergeCell ref="I46:I48"/>
    <mergeCell ref="B21:D21"/>
    <mergeCell ref="B32:B34"/>
    <mergeCell ref="C32:D33"/>
    <mergeCell ref="E32:G33"/>
    <mergeCell ref="H32:H34"/>
    <mergeCell ref="I32:I34"/>
    <mergeCell ref="B49:D49"/>
    <mergeCell ref="B35:D35"/>
    <mergeCell ref="B46:B48"/>
    <mergeCell ref="C46:D47"/>
    <mergeCell ref="E46:G47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3"/>
  <sheetViews>
    <sheetView tabSelected="1" zoomScaleNormal="100" workbookViewId="0"/>
  </sheetViews>
  <sheetFormatPr baseColWidth="10" defaultColWidth="8.85546875" defaultRowHeight="14.25" x14ac:dyDescent="0.2"/>
  <cols>
    <col min="1" max="1" width="8.85546875" style="28"/>
    <col min="2" max="2" width="14.28515625" style="28" customWidth="1"/>
    <col min="3" max="3" width="15.7109375" style="28" customWidth="1"/>
    <col min="4" max="4" width="17.140625" style="28" customWidth="1"/>
    <col min="5" max="5" width="20" style="28" customWidth="1"/>
    <col min="6" max="6" width="21.42578125" style="28" customWidth="1"/>
    <col min="7" max="8" width="18.28515625" style="28" customWidth="1"/>
    <col min="9" max="9" width="17.140625" style="28" customWidth="1"/>
    <col min="10" max="12" width="17.28515625" style="28" customWidth="1"/>
    <col min="13" max="13" width="19.7109375" style="28" customWidth="1"/>
    <col min="14" max="14" width="15.85546875" style="28" customWidth="1"/>
    <col min="15" max="15" width="17.140625" style="28" customWidth="1"/>
    <col min="16" max="18" width="8.85546875" style="28"/>
    <col min="19" max="20" width="17.140625" style="28" customWidth="1"/>
    <col min="21" max="21" width="17.28515625" style="28" customWidth="1"/>
    <col min="22" max="16384" width="8.85546875" style="28"/>
  </cols>
  <sheetData>
    <row r="1" spans="2:18" x14ac:dyDescent="0.2">
      <c r="H1" s="29"/>
    </row>
    <row r="2" spans="2:18" x14ac:dyDescent="0.2">
      <c r="C2" s="111" t="s">
        <v>19</v>
      </c>
      <c r="D2" s="111"/>
      <c r="E2" s="111"/>
      <c r="F2" s="111"/>
      <c r="G2" s="29"/>
      <c r="H2" s="29"/>
      <c r="I2" s="29"/>
      <c r="J2" s="30"/>
      <c r="K2" s="30"/>
      <c r="L2" s="29"/>
    </row>
    <row r="3" spans="2:18" x14ac:dyDescent="0.2">
      <c r="C3" s="31" t="s">
        <v>20</v>
      </c>
      <c r="D3" s="31" t="s">
        <v>21</v>
      </c>
      <c r="E3" s="31" t="s">
        <v>22</v>
      </c>
      <c r="F3" s="31" t="s">
        <v>23</v>
      </c>
      <c r="G3" s="32"/>
      <c r="H3" s="34"/>
      <c r="I3" s="32"/>
      <c r="J3" s="33" t="s">
        <v>80</v>
      </c>
      <c r="K3" s="33" t="s">
        <v>44</v>
      </c>
      <c r="L3" s="34"/>
      <c r="M3" s="32" t="s">
        <v>42</v>
      </c>
      <c r="N3" s="32">
        <v>515</v>
      </c>
      <c r="O3" s="35"/>
      <c r="P3" s="35"/>
      <c r="Q3" s="35"/>
    </row>
    <row r="4" spans="2:18" x14ac:dyDescent="0.2">
      <c r="C4" s="36" t="s">
        <v>12</v>
      </c>
      <c r="D4" s="37">
        <v>4466802.9000000004</v>
      </c>
      <c r="E4" s="37">
        <v>5334969.0599999996</v>
      </c>
      <c r="F4" s="31" t="s">
        <v>30</v>
      </c>
      <c r="G4" s="40">
        <f>D4-4500000</f>
        <v>-33197.099999999627</v>
      </c>
      <c r="H4" s="34"/>
      <c r="I4" s="32"/>
      <c r="J4" s="33">
        <v>1</v>
      </c>
      <c r="K4" s="38">
        <f>E18*(((I5^2)/(2*(N4^2)))-(N3/N4))</f>
        <v>-6.0126395765225668E-3</v>
      </c>
      <c r="L4" s="39"/>
      <c r="M4" s="40" t="s">
        <v>43</v>
      </c>
      <c r="N4" s="40">
        <v>6380000</v>
      </c>
      <c r="O4" s="35"/>
      <c r="P4" s="35"/>
      <c r="Q4" s="35"/>
      <c r="R4" s="35"/>
    </row>
    <row r="5" spans="2:18" x14ac:dyDescent="0.2">
      <c r="C5" s="36" t="s">
        <v>24</v>
      </c>
      <c r="D5" s="37">
        <v>4468365.76</v>
      </c>
      <c r="E5" s="37">
        <v>5334320</v>
      </c>
      <c r="F5" s="31" t="s">
        <v>27</v>
      </c>
      <c r="G5" s="40">
        <f>D5-4500000</f>
        <v>-31634.240000000224</v>
      </c>
      <c r="H5" s="34"/>
      <c r="I5" s="91">
        <f>(G5+G6)/2</f>
        <v>-31743.550000000279</v>
      </c>
      <c r="J5" s="33">
        <v>2</v>
      </c>
      <c r="K5" s="38">
        <f>E22*(((I5^2)/(2*(N4^2)))-(N3/N4))</f>
        <v>-5.9782628904910947E-3</v>
      </c>
      <c r="L5" s="39"/>
      <c r="M5" s="35"/>
      <c r="N5" s="35"/>
      <c r="O5" s="35"/>
      <c r="P5" s="35"/>
      <c r="Q5" s="35"/>
      <c r="R5" s="35"/>
    </row>
    <row r="6" spans="2:18" x14ac:dyDescent="0.2">
      <c r="C6" s="36" t="s">
        <v>26</v>
      </c>
      <c r="D6" s="37">
        <v>4468147.1399999997</v>
      </c>
      <c r="E6" s="37">
        <v>5334426.3</v>
      </c>
      <c r="F6" s="31" t="s">
        <v>29</v>
      </c>
      <c r="G6" s="40">
        <f>D6-4500000</f>
        <v>-31852.860000000335</v>
      </c>
      <c r="H6" s="34"/>
      <c r="I6" s="32"/>
      <c r="J6" s="33">
        <v>3</v>
      </c>
      <c r="K6" s="38">
        <f>E26*(((I5^2)/(2*(N4^2)))-(N3/N4))</f>
        <v>-4.6377771652002381E-3</v>
      </c>
      <c r="L6" s="39"/>
      <c r="M6" s="35"/>
      <c r="N6" s="35"/>
      <c r="O6" s="35"/>
      <c r="P6" s="35"/>
      <c r="Q6" s="35"/>
      <c r="R6" s="35"/>
    </row>
    <row r="7" spans="2:18" x14ac:dyDescent="0.2">
      <c r="C7" s="36" t="s">
        <v>25</v>
      </c>
      <c r="D7" s="37">
        <v>4468017.78</v>
      </c>
      <c r="E7" s="37">
        <v>5334485.84</v>
      </c>
      <c r="F7" s="31" t="s">
        <v>28</v>
      </c>
      <c r="G7" s="40">
        <f>D7-4500000</f>
        <v>-31982.219999999739</v>
      </c>
      <c r="H7" s="39"/>
      <c r="J7" s="41"/>
      <c r="K7" s="39"/>
      <c r="L7" s="39"/>
      <c r="M7" s="35"/>
      <c r="N7" s="35"/>
      <c r="O7" s="35"/>
      <c r="P7" s="35"/>
      <c r="Q7" s="35"/>
      <c r="R7" s="35"/>
    </row>
    <row r="8" spans="2:18" x14ac:dyDescent="0.2">
      <c r="M8" s="35"/>
      <c r="N8" s="35"/>
      <c r="O8" s="35"/>
    </row>
    <row r="9" spans="2:18" x14ac:dyDescent="0.2">
      <c r="M9" s="112" t="s">
        <v>90</v>
      </c>
      <c r="N9" s="114"/>
      <c r="O9" s="35"/>
    </row>
    <row r="10" spans="2:18" x14ac:dyDescent="0.2">
      <c r="C10" s="36" t="s">
        <v>20</v>
      </c>
      <c r="D10" s="31" t="s">
        <v>38</v>
      </c>
      <c r="E10" s="42" t="s">
        <v>39</v>
      </c>
      <c r="F10" s="43" t="s">
        <v>41</v>
      </c>
      <c r="G10" s="44" t="s">
        <v>40</v>
      </c>
      <c r="H10" s="45"/>
      <c r="I10" s="46" t="s">
        <v>66</v>
      </c>
      <c r="J10" s="46" t="s">
        <v>70</v>
      </c>
      <c r="K10" s="47" t="s">
        <v>62</v>
      </c>
      <c r="M10" s="40" t="s">
        <v>46</v>
      </c>
      <c r="N10" s="38">
        <f>ATAN(F14/G14)+200</f>
        <v>198.82283204607222</v>
      </c>
    </row>
    <row r="11" spans="2:18" x14ac:dyDescent="0.2">
      <c r="C11" s="32"/>
      <c r="D11" s="32"/>
      <c r="E11" s="32"/>
      <c r="F11" s="32"/>
      <c r="G11" s="32"/>
      <c r="H11" s="48"/>
      <c r="I11" s="49">
        <f>F18+F22+F26</f>
        <v>4.4479999999999968</v>
      </c>
      <c r="J11" s="49">
        <f>G18+G22+G26</f>
        <v>75.986000000000018</v>
      </c>
      <c r="K11" s="50">
        <f>SQRT(I11^2+J11^2)</f>
        <v>76.116075174696192</v>
      </c>
      <c r="M11" s="51" t="s">
        <v>47</v>
      </c>
      <c r="N11" s="38">
        <f>N10+200+D16-400</f>
        <v>52.563832046072207</v>
      </c>
    </row>
    <row r="12" spans="2:18" x14ac:dyDescent="0.2">
      <c r="B12" s="52" t="s">
        <v>53</v>
      </c>
      <c r="C12" s="44" t="s">
        <v>12</v>
      </c>
      <c r="D12" s="44"/>
      <c r="E12" s="44"/>
      <c r="F12" s="53">
        <v>4466802.9000000004</v>
      </c>
      <c r="G12" s="53">
        <v>5334969.0599999996</v>
      </c>
      <c r="H12" s="54"/>
      <c r="I12" s="29"/>
      <c r="J12" s="29"/>
      <c r="K12" s="55"/>
      <c r="M12" s="51" t="s">
        <v>48</v>
      </c>
      <c r="N12" s="38">
        <f>N11+200+D20-400</f>
        <v>49.563832046072207</v>
      </c>
    </row>
    <row r="13" spans="2:18" x14ac:dyDescent="0.2">
      <c r="C13" s="44"/>
      <c r="D13" s="44"/>
      <c r="E13" s="44"/>
      <c r="F13" s="37"/>
      <c r="G13" s="37"/>
      <c r="H13" s="54"/>
      <c r="I13" s="29"/>
      <c r="J13" s="29"/>
      <c r="K13" s="55"/>
      <c r="M13" s="51" t="s">
        <v>49</v>
      </c>
      <c r="N13" s="38">
        <f>N12+200+D24-400</f>
        <v>56.477832046072194</v>
      </c>
    </row>
    <row r="14" spans="2:18" x14ac:dyDescent="0.2">
      <c r="C14" s="56" t="s">
        <v>45</v>
      </c>
      <c r="D14" s="56">
        <v>198.82300000000001</v>
      </c>
      <c r="E14" s="44"/>
      <c r="F14" s="53">
        <f>F16-F12</f>
        <v>1562.859999999404</v>
      </c>
      <c r="G14" s="53">
        <f>G16-G12</f>
        <v>-649.05999999959022</v>
      </c>
      <c r="H14" s="54"/>
      <c r="M14" s="51" t="s">
        <v>50</v>
      </c>
      <c r="N14" s="38">
        <f>N13+200+D28-400</f>
        <v>61.717832046072203</v>
      </c>
    </row>
    <row r="15" spans="2:18" x14ac:dyDescent="0.2">
      <c r="C15" s="44"/>
      <c r="D15" s="44"/>
      <c r="E15" s="44"/>
      <c r="F15" s="37"/>
      <c r="G15" s="37"/>
      <c r="H15" s="54"/>
      <c r="I15" s="32" t="s">
        <v>71</v>
      </c>
      <c r="J15" s="57">
        <f>(F37*J11+G37*I11)/K11</f>
        <v>-220.91533670651805</v>
      </c>
    </row>
    <row r="16" spans="2:18" x14ac:dyDescent="0.2">
      <c r="B16" s="52" t="s">
        <v>54</v>
      </c>
      <c r="C16" s="44">
        <v>3017</v>
      </c>
      <c r="D16" s="44">
        <v>53.741</v>
      </c>
      <c r="E16" s="44"/>
      <c r="F16" s="53">
        <v>4468365.76</v>
      </c>
      <c r="G16" s="37">
        <v>5334320</v>
      </c>
      <c r="H16" s="54"/>
      <c r="I16" s="32" t="s">
        <v>72</v>
      </c>
      <c r="J16" s="57">
        <f>(F37*J11-G37*I11)/K11</f>
        <v>-224.45825905745704</v>
      </c>
    </row>
    <row r="17" spans="2:12" x14ac:dyDescent="0.2">
      <c r="C17" s="44"/>
      <c r="D17" s="58"/>
      <c r="E17" s="44"/>
      <c r="F17" s="37"/>
      <c r="G17" s="37"/>
      <c r="H17" s="54"/>
      <c r="I17" s="32" t="s">
        <v>78</v>
      </c>
      <c r="J17" s="38">
        <f>13*SQRT((L24*0.001))+15*(L24*0.001)+6</f>
        <v>16.061639409495577</v>
      </c>
    </row>
    <row r="18" spans="2:12" x14ac:dyDescent="0.2">
      <c r="C18" s="56" t="s">
        <v>57</v>
      </c>
      <c r="D18" s="56">
        <v>52.564</v>
      </c>
      <c r="E18" s="44">
        <v>87.977000000000004</v>
      </c>
      <c r="F18" s="59">
        <v>65.686999999999998</v>
      </c>
      <c r="G18" s="59">
        <v>-58.515999999999998</v>
      </c>
      <c r="H18" s="60"/>
      <c r="I18" s="32" t="s">
        <v>79</v>
      </c>
      <c r="J18" s="38">
        <f>0.7*(4)*SQRT((4))+7*(L24*0.001)+6</f>
        <v>13.303058</v>
      </c>
    </row>
    <row r="19" spans="2:12" x14ac:dyDescent="0.2">
      <c r="C19" s="44"/>
      <c r="D19" s="44"/>
      <c r="E19" s="61">
        <v>87.971000000000004</v>
      </c>
      <c r="F19" s="58" t="s">
        <v>86</v>
      </c>
      <c r="G19" s="58" t="s">
        <v>91</v>
      </c>
      <c r="H19" s="62"/>
      <c r="I19" s="32" t="s">
        <v>85</v>
      </c>
      <c r="J19" s="63">
        <f>((0.15/(L24*0.001))*3*SQRT(4)+(0.1*0.001))</f>
        <v>3.6993280944043008</v>
      </c>
    </row>
    <row r="20" spans="2:12" x14ac:dyDescent="0.2">
      <c r="C20" s="44" t="s">
        <v>13</v>
      </c>
      <c r="D20" s="53">
        <v>197</v>
      </c>
      <c r="E20" s="44"/>
      <c r="F20" s="64">
        <f>F16+F18-80.658</f>
        <v>4468350.7889999999</v>
      </c>
      <c r="G20" s="65">
        <f>G16+G18+10.961</f>
        <v>5334272.4450000003</v>
      </c>
      <c r="H20" s="66"/>
    </row>
    <row r="21" spans="2:12" x14ac:dyDescent="0.2">
      <c r="C21" s="44"/>
      <c r="D21" s="44"/>
      <c r="E21" s="44"/>
      <c r="F21" s="37"/>
      <c r="G21" s="37"/>
      <c r="H21" s="54"/>
    </row>
    <row r="22" spans="2:12" x14ac:dyDescent="0.2">
      <c r="C22" s="56" t="s">
        <v>58</v>
      </c>
      <c r="D22" s="56">
        <v>49.564</v>
      </c>
      <c r="E22" s="44">
        <v>87.474000000000004</v>
      </c>
      <c r="F22" s="59">
        <v>-56.448</v>
      </c>
      <c r="G22" s="59">
        <v>66.816000000000003</v>
      </c>
      <c r="H22" s="60"/>
      <c r="I22" s="111" t="s">
        <v>73</v>
      </c>
      <c r="J22" s="111"/>
      <c r="K22" s="111"/>
      <c r="L22" s="111"/>
    </row>
    <row r="23" spans="2:12" x14ac:dyDescent="0.2">
      <c r="C23" s="44"/>
      <c r="D23" s="44"/>
      <c r="E23" s="61">
        <v>87.468000000000004</v>
      </c>
      <c r="F23" s="58" t="s">
        <v>87</v>
      </c>
      <c r="G23" s="58" t="s">
        <v>93</v>
      </c>
      <c r="H23" s="67"/>
      <c r="I23" s="44" t="s">
        <v>67</v>
      </c>
      <c r="J23" s="44" t="s">
        <v>68</v>
      </c>
      <c r="K23" s="44" t="s">
        <v>69</v>
      </c>
      <c r="L23" s="44" t="s">
        <v>89</v>
      </c>
    </row>
    <row r="24" spans="2:12" x14ac:dyDescent="0.2">
      <c r="C24" s="44" t="s">
        <v>16</v>
      </c>
      <c r="D24" s="44">
        <v>206.91399999999999</v>
      </c>
      <c r="E24" s="44"/>
      <c r="F24" s="64">
        <f>F20+F22-80.196</f>
        <v>4468214.1449999996</v>
      </c>
      <c r="G24" s="64">
        <f>G20+G22+10.898</f>
        <v>5334350.159</v>
      </c>
      <c r="H24" s="66"/>
      <c r="I24" s="68">
        <f>E18+K4</f>
        <v>87.970987360423479</v>
      </c>
      <c r="J24" s="57">
        <f>E19*SIN(D18)</f>
        <v>65.687252334305711</v>
      </c>
      <c r="K24" s="57">
        <f>E19*COS(D18)</f>
        <v>-58.515653647286982</v>
      </c>
      <c r="L24" s="32">
        <f>E19+E23+E27</f>
        <v>243.29400000000004</v>
      </c>
    </row>
    <row r="25" spans="2:12" x14ac:dyDescent="0.2">
      <c r="C25" s="44"/>
      <c r="D25" s="44"/>
      <c r="E25" s="44"/>
      <c r="F25" s="37"/>
      <c r="G25" s="37"/>
      <c r="H25" s="54"/>
      <c r="I25" s="68">
        <f>E22+K5</f>
        <v>87.46802173710951</v>
      </c>
      <c r="J25" s="57">
        <f>E23*SIN(D22)</f>
        <v>-56.447545953995068</v>
      </c>
      <c r="K25" s="57">
        <f>E23*COS(D22)</f>
        <v>66.815608803419707</v>
      </c>
    </row>
    <row r="26" spans="2:12" x14ac:dyDescent="0.2">
      <c r="C26" s="56" t="s">
        <v>59</v>
      </c>
      <c r="D26" s="56">
        <v>56.478000000000002</v>
      </c>
      <c r="E26" s="53">
        <v>67.86</v>
      </c>
      <c r="F26" s="59">
        <v>-4.7910000000000004</v>
      </c>
      <c r="G26" s="59">
        <v>67.686000000000007</v>
      </c>
      <c r="H26" s="60"/>
      <c r="I26" s="68">
        <f>E26+K6</f>
        <v>67.855362222834799</v>
      </c>
      <c r="J26" s="57">
        <f>E27*SIN(D26)</f>
        <v>-4.7911710455903602</v>
      </c>
      <c r="K26" s="57">
        <f>E27*COS(D26)</f>
        <v>67.685638838766209</v>
      </c>
    </row>
    <row r="27" spans="2:12" x14ac:dyDescent="0.2">
      <c r="C27" s="44"/>
      <c r="D27" s="44"/>
      <c r="E27" s="61">
        <v>67.855000000000004</v>
      </c>
      <c r="F27" s="58" t="s">
        <v>88</v>
      </c>
      <c r="G27" s="58" t="s">
        <v>92</v>
      </c>
      <c r="H27" s="67"/>
      <c r="I27" s="44" t="s">
        <v>60</v>
      </c>
      <c r="J27" s="44" t="s">
        <v>61</v>
      </c>
      <c r="K27" s="69" t="s">
        <v>65</v>
      </c>
      <c r="L27" s="70"/>
    </row>
    <row r="28" spans="2:12" x14ac:dyDescent="0.2">
      <c r="B28" s="52" t="s">
        <v>55</v>
      </c>
      <c r="C28" s="44">
        <v>3100</v>
      </c>
      <c r="D28" s="53">
        <v>205.24</v>
      </c>
      <c r="E28" s="44"/>
      <c r="F28" s="53">
        <v>4468147.1399999997</v>
      </c>
      <c r="G28" s="53">
        <v>5334426.3</v>
      </c>
      <c r="H28" s="54"/>
      <c r="I28" s="71">
        <f>D30-D31</f>
        <v>-7.1054273576010019E-14</v>
      </c>
      <c r="J28" s="72">
        <f>(-I28)/2</f>
        <v>3.5527136788005009E-14</v>
      </c>
      <c r="K28" s="73">
        <f>SQRT(F37^2+G37^2)</f>
        <v>225.11834936317743</v>
      </c>
    </row>
    <row r="29" spans="2:12" x14ac:dyDescent="0.2">
      <c r="C29" s="44"/>
      <c r="D29" s="44"/>
      <c r="E29" s="44"/>
      <c r="F29" s="74">
        <f>F16+F18+F22+F26</f>
        <v>4468370.2079999996</v>
      </c>
      <c r="G29" s="59">
        <f>G16+G18+G22+G26</f>
        <v>5334395.9859999996</v>
      </c>
      <c r="H29" s="60"/>
      <c r="I29" s="75"/>
      <c r="J29" s="55"/>
      <c r="K29" s="55"/>
    </row>
    <row r="30" spans="2:12" x14ac:dyDescent="0.2">
      <c r="C30" s="56" t="s">
        <v>52</v>
      </c>
      <c r="D30" s="56">
        <v>61.718000000000004</v>
      </c>
      <c r="E30" s="44"/>
      <c r="F30" s="53">
        <f>F32-F28</f>
        <v>-129.35999999940395</v>
      </c>
      <c r="G30" s="53">
        <f>G32-G28</f>
        <v>59.540000000037253</v>
      </c>
      <c r="H30" s="54"/>
      <c r="I30" s="75"/>
      <c r="J30" s="55"/>
      <c r="K30" s="55"/>
    </row>
    <row r="31" spans="2:12" x14ac:dyDescent="0.2">
      <c r="C31" s="44"/>
      <c r="D31" s="44">
        <f>(D14+D16+D20+D24+D28)-(4*200)</f>
        <v>61.718000000000075</v>
      </c>
      <c r="E31" s="44"/>
      <c r="F31" s="37"/>
      <c r="G31" s="37"/>
      <c r="H31" s="54"/>
    </row>
    <row r="32" spans="2:12" x14ac:dyDescent="0.2">
      <c r="B32" s="52" t="s">
        <v>56</v>
      </c>
      <c r="C32" s="44">
        <v>3000</v>
      </c>
      <c r="D32" s="44"/>
      <c r="E32" s="44"/>
      <c r="F32" s="53">
        <v>4468017.78</v>
      </c>
      <c r="G32" s="53">
        <v>5334485.84</v>
      </c>
      <c r="H32" s="54"/>
      <c r="I32" s="112" t="s">
        <v>97</v>
      </c>
      <c r="J32" s="113"/>
      <c r="K32" s="114"/>
    </row>
    <row r="33" spans="3:10" x14ac:dyDescent="0.2">
      <c r="C33" s="44"/>
      <c r="D33" s="44"/>
      <c r="E33" s="44"/>
      <c r="F33" s="37"/>
      <c r="G33" s="37"/>
      <c r="H33" s="54"/>
      <c r="I33" s="76" t="s">
        <v>74</v>
      </c>
      <c r="J33" s="92">
        <f>F24+F26-62.214</f>
        <v>4468147.1399999997</v>
      </c>
    </row>
    <row r="34" spans="3:10" x14ac:dyDescent="0.2">
      <c r="C34" s="32"/>
      <c r="D34" s="32"/>
      <c r="E34" s="32"/>
      <c r="F34" s="40"/>
      <c r="G34" s="40"/>
      <c r="H34" s="39"/>
      <c r="I34" s="32" t="s">
        <v>75</v>
      </c>
      <c r="J34" s="38">
        <f>G24+G26+8.455</f>
        <v>5334426.3</v>
      </c>
    </row>
    <row r="36" spans="3:10" ht="15" x14ac:dyDescent="0.25">
      <c r="C36" s="44" t="s">
        <v>95</v>
      </c>
      <c r="D36" s="44" t="s">
        <v>96</v>
      </c>
      <c r="F36" s="44" t="s">
        <v>63</v>
      </c>
      <c r="G36" s="44" t="s">
        <v>64</v>
      </c>
      <c r="H36" s="30"/>
    </row>
    <row r="37" spans="3:10" x14ac:dyDescent="0.2">
      <c r="C37" s="77">
        <f>-0.00000000000007105</f>
        <v>-7.1049999999999998E-14</v>
      </c>
      <c r="D37" s="72">
        <v>3.5530000000000001E-14</v>
      </c>
      <c r="F37" s="93">
        <f>F28-F29</f>
        <v>-223.0679999999702</v>
      </c>
      <c r="G37" s="93">
        <f>G28-G29</f>
        <v>30.314000000245869</v>
      </c>
      <c r="H37" s="78"/>
    </row>
    <row r="38" spans="3:10" x14ac:dyDescent="0.2">
      <c r="C38" s="52"/>
      <c r="D38" s="52"/>
      <c r="F38" s="44" t="s">
        <v>76</v>
      </c>
      <c r="G38" s="44" t="s">
        <v>77</v>
      </c>
      <c r="I38" s="79"/>
    </row>
    <row r="39" spans="3:10" x14ac:dyDescent="0.2">
      <c r="D39" s="30"/>
      <c r="E39" s="30"/>
      <c r="F39" s="38">
        <f>F37/L24*E19</f>
        <v>-80.657620113925447</v>
      </c>
      <c r="G39" s="38">
        <f>G37/L24*E19</f>
        <v>10.961030251554206</v>
      </c>
    </row>
    <row r="40" spans="3:10" x14ac:dyDescent="0.2">
      <c r="D40" s="29"/>
      <c r="E40" s="29"/>
      <c r="F40" s="38">
        <f>F37/L24*E23</f>
        <v>-80.196436508904412</v>
      </c>
      <c r="G40" s="38">
        <f>G37/L24*E23</f>
        <v>10.898357345522312</v>
      </c>
    </row>
    <row r="41" spans="3:10" x14ac:dyDescent="0.2">
      <c r="F41" s="38">
        <f>F37/L24*E27</f>
        <v>-62.213943377140318</v>
      </c>
      <c r="G41" s="38">
        <f>G37/L24*E27</f>
        <v>8.4546124031693477</v>
      </c>
    </row>
    <row r="42" spans="3:10" x14ac:dyDescent="0.2">
      <c r="H42" s="30"/>
    </row>
    <row r="43" spans="3:10" x14ac:dyDescent="0.2">
      <c r="H43" s="29"/>
    </row>
  </sheetData>
  <mergeCells count="4">
    <mergeCell ref="C2:F2"/>
    <mergeCell ref="I32:K32"/>
    <mergeCell ref="I22:L22"/>
    <mergeCell ref="M9:N9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N42"/>
  <sheetViews>
    <sheetView topLeftCell="A28" workbookViewId="0">
      <selection activeCell="F19" sqref="F19"/>
    </sheetView>
  </sheetViews>
  <sheetFormatPr baseColWidth="10" defaultColWidth="8.85546875" defaultRowHeight="14.25" x14ac:dyDescent="0.2"/>
  <cols>
    <col min="1" max="1" width="8.85546875" style="28"/>
    <col min="2" max="2" width="10" style="28" customWidth="1"/>
    <col min="3" max="3" width="15.140625" style="28" customWidth="1"/>
    <col min="4" max="4" width="16" style="28" customWidth="1"/>
    <col min="5" max="5" width="15.85546875" style="28" customWidth="1"/>
    <col min="6" max="6" width="17.7109375" style="28" customWidth="1"/>
    <col min="7" max="7" width="16.85546875" style="28" customWidth="1"/>
    <col min="8" max="11" width="17.140625" style="28" customWidth="1"/>
    <col min="12" max="12" width="8.85546875" style="28"/>
    <col min="13" max="13" width="18.5703125" style="28" customWidth="1"/>
    <col min="14" max="14" width="12.85546875" style="28" customWidth="1"/>
    <col min="15" max="16384" width="8.85546875" style="28"/>
  </cols>
  <sheetData>
    <row r="3" spans="2:14" x14ac:dyDescent="0.2">
      <c r="C3" s="111" t="s">
        <v>51</v>
      </c>
      <c r="D3" s="111"/>
      <c r="E3" s="111"/>
      <c r="F3" s="111"/>
      <c r="G3" s="29"/>
    </row>
    <row r="4" spans="2:14" x14ac:dyDescent="0.2">
      <c r="C4" s="31" t="s">
        <v>20</v>
      </c>
      <c r="D4" s="31" t="s">
        <v>31</v>
      </c>
      <c r="E4" s="31" t="s">
        <v>32</v>
      </c>
      <c r="F4" s="32"/>
      <c r="G4" s="32"/>
      <c r="H4" s="33" t="s">
        <v>44</v>
      </c>
      <c r="I4" s="44" t="s">
        <v>80</v>
      </c>
      <c r="M4" s="32" t="s">
        <v>42</v>
      </c>
      <c r="N4" s="32">
        <v>515</v>
      </c>
    </row>
    <row r="5" spans="2:14" x14ac:dyDescent="0.2">
      <c r="C5" s="80" t="s">
        <v>12</v>
      </c>
      <c r="D5" s="38">
        <v>32689831.124000002</v>
      </c>
      <c r="E5" s="40">
        <v>5336331.7039999999</v>
      </c>
      <c r="F5" s="81">
        <f>D5-32500000</f>
        <v>189831.1240000017</v>
      </c>
      <c r="G5" s="94">
        <f>(F6+F7)/(2*0.9996)</f>
        <v>191383.41436574585</v>
      </c>
      <c r="H5" s="82">
        <f>E18*((-N6)+(G5^2)/(2*N5^2))-0.0004</f>
        <v>3.208119737716094E-2</v>
      </c>
      <c r="I5" s="36" t="s">
        <v>82</v>
      </c>
      <c r="J5" s="83"/>
      <c r="M5" s="32" t="s">
        <v>43</v>
      </c>
      <c r="N5" s="32">
        <v>6380000</v>
      </c>
    </row>
    <row r="6" spans="2:14" x14ac:dyDescent="0.2">
      <c r="C6" s="80">
        <v>153017</v>
      </c>
      <c r="D6" s="38">
        <v>32691418.164999999</v>
      </c>
      <c r="E6" s="40">
        <v>5335744.0750000002</v>
      </c>
      <c r="F6" s="81">
        <f t="shared" ref="F6:F8" si="0">D6-32500000</f>
        <v>191418.16499999911</v>
      </c>
      <c r="G6" s="29"/>
      <c r="H6" s="82">
        <f>E22*((-N6)+(G5^2)/(2*N5^2))-0.0004</f>
        <v>3.1895489268442614E-2</v>
      </c>
      <c r="I6" s="36" t="s">
        <v>84</v>
      </c>
      <c r="J6" s="83"/>
      <c r="M6" s="32" t="s">
        <v>81</v>
      </c>
      <c r="N6" s="95">
        <f>N4/N5</f>
        <v>8.0721003134796244E-5</v>
      </c>
    </row>
    <row r="7" spans="2:14" x14ac:dyDescent="0.2">
      <c r="C7" s="80">
        <v>153100</v>
      </c>
      <c r="D7" s="38">
        <v>32691195.557</v>
      </c>
      <c r="E7" s="40">
        <v>5335841.7709999997</v>
      </c>
      <c r="F7" s="84">
        <f t="shared" si="0"/>
        <v>191195.55700000003</v>
      </c>
      <c r="H7" s="82">
        <f>E26*((-N6)+(G5^2)/(2*N5^2))-0.0004</f>
        <v>2.4653980631462097E-2</v>
      </c>
      <c r="I7" s="36" t="s">
        <v>83</v>
      </c>
      <c r="J7" s="83"/>
    </row>
    <row r="8" spans="2:14" x14ac:dyDescent="0.2">
      <c r="C8" s="80">
        <v>153000</v>
      </c>
      <c r="D8" s="38">
        <v>32691063.967999998</v>
      </c>
      <c r="E8" s="40">
        <v>5335896.2230000002</v>
      </c>
      <c r="F8" s="81">
        <f t="shared" si="0"/>
        <v>191063.96799999848</v>
      </c>
      <c r="H8" s="85"/>
      <c r="I8" s="83"/>
      <c r="J8" s="83"/>
    </row>
    <row r="10" spans="2:14" x14ac:dyDescent="0.2">
      <c r="C10" s="36" t="s">
        <v>20</v>
      </c>
      <c r="D10" s="31" t="s">
        <v>38</v>
      </c>
      <c r="E10" s="42" t="s">
        <v>39</v>
      </c>
      <c r="F10" s="43" t="s">
        <v>41</v>
      </c>
      <c r="G10" s="44" t="s">
        <v>40</v>
      </c>
    </row>
    <row r="11" spans="2:14" x14ac:dyDescent="0.2">
      <c r="C11" s="32"/>
      <c r="D11" s="32"/>
      <c r="E11" s="32"/>
      <c r="F11" s="32"/>
      <c r="G11" s="32"/>
    </row>
    <row r="12" spans="2:14" x14ac:dyDescent="0.2">
      <c r="C12" s="44" t="s">
        <v>12</v>
      </c>
      <c r="D12" s="44"/>
      <c r="E12" s="44"/>
      <c r="F12" s="37" t="s">
        <v>34</v>
      </c>
      <c r="G12" s="37">
        <v>5336331.7039999999</v>
      </c>
      <c r="I12" s="44" t="s">
        <v>66</v>
      </c>
      <c r="J12" s="44" t="s">
        <v>70</v>
      </c>
      <c r="K12" s="44" t="s">
        <v>62</v>
      </c>
      <c r="M12" s="32" t="s">
        <v>46</v>
      </c>
      <c r="N12" s="38">
        <f>ATAN(F14/G14)+200</f>
        <v>198.78381847097191</v>
      </c>
    </row>
    <row r="13" spans="2:14" x14ac:dyDescent="0.2">
      <c r="C13" s="44"/>
      <c r="D13" s="44"/>
      <c r="E13" s="44"/>
      <c r="F13" s="37"/>
      <c r="G13" s="37"/>
      <c r="I13" s="32">
        <f>F18+F22+F26</f>
        <v>1.482999999999997</v>
      </c>
      <c r="J13" s="32">
        <f>G18+G22+G26</f>
        <v>76.134</v>
      </c>
      <c r="K13" s="57">
        <f>SQRT((I13^2)+(J13^2))</f>
        <v>76.148442170539511</v>
      </c>
      <c r="M13" s="32" t="s">
        <v>47</v>
      </c>
      <c r="N13" s="38">
        <f>N12+200+D16-400</f>
        <v>52.524818470971923</v>
      </c>
    </row>
    <row r="14" spans="2:14" x14ac:dyDescent="0.2">
      <c r="B14" s="96" t="s">
        <v>53</v>
      </c>
      <c r="C14" s="56" t="s">
        <v>45</v>
      </c>
      <c r="D14" s="56">
        <v>198.78399999999999</v>
      </c>
      <c r="E14" s="44"/>
      <c r="F14" s="37">
        <f>F16-F12</f>
        <v>1587.0409999974072</v>
      </c>
      <c r="G14" s="37">
        <f>G16-G12</f>
        <v>-587.62899999972433</v>
      </c>
      <c r="I14" s="29"/>
      <c r="J14" s="29"/>
      <c r="K14" s="55"/>
      <c r="M14" s="32" t="s">
        <v>48</v>
      </c>
      <c r="N14" s="38">
        <f>N13+200+D20-400</f>
        <v>49.524818470971923</v>
      </c>
    </row>
    <row r="15" spans="2:14" x14ac:dyDescent="0.2">
      <c r="B15" s="97"/>
      <c r="C15" s="44"/>
      <c r="D15" s="44"/>
      <c r="E15" s="44"/>
      <c r="F15" s="37"/>
      <c r="G15" s="37"/>
      <c r="M15" s="32" t="s">
        <v>49</v>
      </c>
      <c r="N15" s="38">
        <f>N14+200+D24-400</f>
        <v>56.43881847097191</v>
      </c>
    </row>
    <row r="16" spans="2:14" x14ac:dyDescent="0.2">
      <c r="B16" s="97"/>
      <c r="C16" s="44">
        <v>3017</v>
      </c>
      <c r="D16" s="44">
        <v>53.741</v>
      </c>
      <c r="E16" s="44"/>
      <c r="F16" s="37" t="s">
        <v>36</v>
      </c>
      <c r="G16" s="37">
        <v>5335744.0750000002</v>
      </c>
      <c r="I16" s="32" t="s">
        <v>71</v>
      </c>
      <c r="J16" s="57">
        <f>(F38*J13+G38*I13)/K13</f>
        <v>-223.62857679638327</v>
      </c>
      <c r="K16" s="86"/>
      <c r="M16" s="32" t="s">
        <v>50</v>
      </c>
      <c r="N16" s="38">
        <f>N15+200+D28-400</f>
        <v>61.678818470971919</v>
      </c>
    </row>
    <row r="17" spans="2:11" x14ac:dyDescent="0.2">
      <c r="B17" s="97"/>
      <c r="C17" s="44"/>
      <c r="D17" s="44"/>
      <c r="E17" s="44"/>
      <c r="F17" s="37"/>
      <c r="G17" s="37"/>
      <c r="I17" s="32" t="s">
        <v>72</v>
      </c>
      <c r="J17" s="57">
        <f>(F38*J13-G38*I13)/K13</f>
        <v>-224.46842184346286</v>
      </c>
    </row>
    <row r="18" spans="2:11" x14ac:dyDescent="0.2">
      <c r="B18" s="96" t="s">
        <v>54</v>
      </c>
      <c r="C18" s="56" t="s">
        <v>57</v>
      </c>
      <c r="D18" s="56">
        <v>52.524999999999999</v>
      </c>
      <c r="E18" s="44">
        <v>87.977000000000004</v>
      </c>
      <c r="F18" s="59">
        <v>67.947999999999993</v>
      </c>
      <c r="G18" s="59">
        <v>-55.933999999999997</v>
      </c>
      <c r="I18" s="32" t="s">
        <v>78</v>
      </c>
      <c r="J18" s="38">
        <f>13*SQRT((J28*0.001))+15*(J28*0.001)+6</f>
        <v>16.064626119442885</v>
      </c>
    </row>
    <row r="19" spans="2:11" x14ac:dyDescent="0.2">
      <c r="B19" s="97"/>
      <c r="C19" s="44"/>
      <c r="D19" s="44"/>
      <c r="E19" s="61">
        <v>88.009</v>
      </c>
      <c r="F19" s="58" t="s">
        <v>99</v>
      </c>
      <c r="G19" s="58" t="s">
        <v>98</v>
      </c>
      <c r="I19" s="32" t="s">
        <v>79</v>
      </c>
      <c r="J19" s="63">
        <f>0.7*(4)*SQRT((4))+7*(J28*0.001)+6</f>
        <v>13.303799999999999</v>
      </c>
    </row>
    <row r="20" spans="2:11" x14ac:dyDescent="0.2">
      <c r="B20" s="97"/>
      <c r="C20" s="44" t="s">
        <v>13</v>
      </c>
      <c r="D20" s="53">
        <v>197</v>
      </c>
      <c r="E20" s="44"/>
      <c r="F20" s="64">
        <f>F16+F18-81.027</f>
        <v>32691405.085999999</v>
      </c>
      <c r="G20" s="65">
        <f>G16+G18+7.796</f>
        <v>5335695.9369999999</v>
      </c>
      <c r="I20" s="32" t="s">
        <v>85</v>
      </c>
      <c r="J20" s="63">
        <f>((0.15/(J28*0.001))*3*SQRT(4)+(0.1*0.001))</f>
        <v>3.6977170912078887</v>
      </c>
    </row>
    <row r="21" spans="2:11" x14ac:dyDescent="0.2">
      <c r="B21" s="97"/>
      <c r="C21" s="44"/>
      <c r="D21" s="44"/>
      <c r="E21" s="44"/>
      <c r="F21" s="37"/>
      <c r="G21" s="37"/>
    </row>
    <row r="22" spans="2:11" x14ac:dyDescent="0.2">
      <c r="B22" s="97"/>
      <c r="C22" s="56" t="s">
        <v>58</v>
      </c>
      <c r="D22" s="56">
        <v>49.524999999999999</v>
      </c>
      <c r="E22" s="44">
        <v>87.474000000000004</v>
      </c>
      <c r="F22" s="59">
        <v>-59.034999999999997</v>
      </c>
      <c r="G22" s="59">
        <v>64.591999999999999</v>
      </c>
      <c r="I22" s="112" t="s">
        <v>73</v>
      </c>
      <c r="J22" s="113"/>
      <c r="K22" s="114"/>
    </row>
    <row r="23" spans="2:11" x14ac:dyDescent="0.2">
      <c r="B23" s="97"/>
      <c r="C23" s="44"/>
      <c r="D23" s="44"/>
      <c r="E23" s="61">
        <v>87.506</v>
      </c>
      <c r="F23" s="58" t="s">
        <v>100</v>
      </c>
      <c r="G23" s="87">
        <v>7.7519999999999998</v>
      </c>
      <c r="I23" s="61" t="s">
        <v>67</v>
      </c>
      <c r="J23" s="44" t="s">
        <v>68</v>
      </c>
      <c r="K23" s="44" t="s">
        <v>69</v>
      </c>
    </row>
    <row r="24" spans="2:11" x14ac:dyDescent="0.2">
      <c r="B24" s="97"/>
      <c r="C24" s="44" t="s">
        <v>16</v>
      </c>
      <c r="D24" s="44">
        <v>206.91399999999999</v>
      </c>
      <c r="E24" s="44"/>
      <c r="F24" s="64">
        <f>F20+F22-80.564</f>
        <v>32691265.487</v>
      </c>
      <c r="G24" s="65">
        <f>G20+G22+7.752</f>
        <v>5335768.2810000004</v>
      </c>
      <c r="I24" s="63">
        <f>E18+H5</f>
        <v>88.009081197377171</v>
      </c>
      <c r="J24" s="57">
        <f>SIN(D18)*E19</f>
        <v>67.948173787988864</v>
      </c>
      <c r="K24" s="57">
        <f>COS(D18)*E19</f>
        <v>-55.934155574901311</v>
      </c>
    </row>
    <row r="25" spans="2:11" x14ac:dyDescent="0.2">
      <c r="B25" s="97"/>
      <c r="C25" s="44"/>
      <c r="D25" s="44"/>
      <c r="E25" s="44"/>
      <c r="F25" s="37"/>
      <c r="G25" s="37"/>
      <c r="I25" s="63">
        <f>E22+H6</f>
        <v>87.50589548926844</v>
      </c>
      <c r="J25" s="57">
        <f>SIN(D22)*E23</f>
        <v>-59.035407733528309</v>
      </c>
      <c r="K25" s="57">
        <f>COS(D22)*E23</f>
        <v>64.591955147185828</v>
      </c>
    </row>
    <row r="26" spans="2:11" x14ac:dyDescent="0.2">
      <c r="B26" s="97"/>
      <c r="C26" s="56" t="s">
        <v>59</v>
      </c>
      <c r="D26" s="56">
        <v>56.439</v>
      </c>
      <c r="E26" s="44">
        <v>67.86</v>
      </c>
      <c r="F26" s="74">
        <v>-7.43</v>
      </c>
      <c r="G26" s="59">
        <v>67.475999999999999</v>
      </c>
      <c r="I26" s="63">
        <f>E26+H7</f>
        <v>67.884653980631455</v>
      </c>
      <c r="J26" s="57">
        <f>SIN(D26)*E27</f>
        <v>-7.4298820553783393</v>
      </c>
      <c r="K26" s="57">
        <f>COS(D26)*E27</f>
        <v>67.477181903538082</v>
      </c>
    </row>
    <row r="27" spans="2:11" x14ac:dyDescent="0.2">
      <c r="B27" s="97"/>
      <c r="C27" s="44"/>
      <c r="D27" s="44"/>
      <c r="E27" s="61">
        <v>67.885000000000005</v>
      </c>
      <c r="F27" s="58" t="s">
        <v>102</v>
      </c>
      <c r="G27" s="58" t="s">
        <v>101</v>
      </c>
      <c r="I27" s="44" t="s">
        <v>65</v>
      </c>
      <c r="J27" s="44" t="s">
        <v>89</v>
      </c>
    </row>
    <row r="28" spans="2:11" x14ac:dyDescent="0.2">
      <c r="B28" s="97"/>
      <c r="C28" s="44">
        <v>3100</v>
      </c>
      <c r="D28" s="53">
        <v>205.24</v>
      </c>
      <c r="E28" s="44"/>
      <c r="F28" s="37" t="s">
        <v>33</v>
      </c>
      <c r="G28" s="37" t="s">
        <v>37</v>
      </c>
      <c r="I28" s="89">
        <f>SQRT(F38^2+G38^2)</f>
        <v>225.12595613160278</v>
      </c>
      <c r="J28" s="38">
        <f>E19+E23+E27</f>
        <v>243.39999999999998</v>
      </c>
    </row>
    <row r="29" spans="2:11" x14ac:dyDescent="0.2">
      <c r="B29" s="97"/>
      <c r="C29" s="44"/>
      <c r="D29" s="44"/>
      <c r="E29" s="44"/>
      <c r="F29" s="90">
        <f>F16+F18+F22+F26</f>
        <v>32691419.647999998</v>
      </c>
      <c r="G29" s="59">
        <f>G16+G18+G22+G26</f>
        <v>5335820.2089999998</v>
      </c>
      <c r="I29" s="29"/>
    </row>
    <row r="30" spans="2:11" x14ac:dyDescent="0.2">
      <c r="B30" s="96" t="s">
        <v>55</v>
      </c>
      <c r="C30" s="56" t="s">
        <v>52</v>
      </c>
      <c r="D30" s="56">
        <v>61.679000000000002</v>
      </c>
      <c r="E30" s="44"/>
      <c r="F30" s="37"/>
      <c r="G30" s="37"/>
    </row>
    <row r="31" spans="2:11" x14ac:dyDescent="0.2">
      <c r="B31" s="97"/>
      <c r="C31" s="44"/>
      <c r="D31" s="44">
        <f>(D14+D16+D20+D24+D28)-(2*200)-400</f>
        <v>61.678999999999974</v>
      </c>
      <c r="E31" s="44"/>
      <c r="F31" s="37"/>
      <c r="G31" s="37"/>
    </row>
    <row r="32" spans="2:11" x14ac:dyDescent="0.2">
      <c r="B32" s="97"/>
      <c r="C32" s="44">
        <v>3000</v>
      </c>
      <c r="D32" s="44"/>
      <c r="E32" s="44"/>
      <c r="F32" s="37" t="s">
        <v>35</v>
      </c>
      <c r="G32" s="37">
        <v>5335896.2230000002</v>
      </c>
      <c r="I32" s="79">
        <f>F24+F26-62.5</f>
        <v>32691195.557</v>
      </c>
      <c r="J32" s="28">
        <f>G24+G26+6.014</f>
        <v>5335841.7710000006</v>
      </c>
    </row>
    <row r="33" spans="2:7" x14ac:dyDescent="0.2">
      <c r="B33" s="97"/>
      <c r="C33" s="44"/>
      <c r="D33" s="44"/>
      <c r="E33" s="44"/>
      <c r="F33" s="37"/>
      <c r="G33" s="37"/>
    </row>
    <row r="34" spans="2:7" x14ac:dyDescent="0.2">
      <c r="B34" s="96" t="s">
        <v>56</v>
      </c>
      <c r="C34" s="32"/>
      <c r="D34" s="32"/>
      <c r="E34" s="32"/>
      <c r="F34" s="40"/>
      <c r="G34" s="40"/>
    </row>
    <row r="37" spans="2:7" x14ac:dyDescent="0.2">
      <c r="C37" s="44" t="s">
        <v>60</v>
      </c>
      <c r="D37" s="44" t="s">
        <v>61</v>
      </c>
      <c r="F37" s="44" t="s">
        <v>63</v>
      </c>
      <c r="G37" s="44" t="s">
        <v>64</v>
      </c>
    </row>
    <row r="38" spans="2:7" x14ac:dyDescent="0.2">
      <c r="C38" s="32">
        <f>D30-D31</f>
        <v>0</v>
      </c>
      <c r="D38" s="32">
        <f>(-C38/4)</f>
        <v>0</v>
      </c>
      <c r="F38" s="93">
        <f>F28-F29</f>
        <v>-224.09099999815226</v>
      </c>
      <c r="G38" s="93">
        <f>G28-G29</f>
        <v>21.561999999918044</v>
      </c>
    </row>
    <row r="39" spans="2:7" x14ac:dyDescent="0.2">
      <c r="C39" s="44" t="s">
        <v>94</v>
      </c>
      <c r="D39" s="44" t="s">
        <v>65</v>
      </c>
      <c r="F39" s="44" t="s">
        <v>76</v>
      </c>
      <c r="G39" s="44" t="s">
        <v>77</v>
      </c>
    </row>
    <row r="40" spans="2:7" x14ac:dyDescent="0.2">
      <c r="C40" s="38">
        <f>E19+E23+E27</f>
        <v>243.39999999999998</v>
      </c>
      <c r="D40" s="32">
        <v>225.126</v>
      </c>
      <c r="F40" s="38">
        <f>F38/J28*E19</f>
        <v>-81.027217825954736</v>
      </c>
      <c r="G40" s="38">
        <f>G38/J28*E19</f>
        <v>7.7964258750730782</v>
      </c>
    </row>
    <row r="41" spans="2:7" x14ac:dyDescent="0.2">
      <c r="F41" s="38">
        <f>F38/J28*E23</f>
        <v>-80.564120977150012</v>
      </c>
      <c r="G41" s="38">
        <f>G38/J28*E23</f>
        <v>7.7518667707182765</v>
      </c>
    </row>
    <row r="42" spans="2:7" x14ac:dyDescent="0.2">
      <c r="F42" s="38">
        <f>F38/J28*E27</f>
        <v>-62.499661195047523</v>
      </c>
      <c r="G42" s="38">
        <f>G38/J28*E27</f>
        <v>6.0137073541266908</v>
      </c>
    </row>
  </sheetData>
  <mergeCells count="2">
    <mergeCell ref="I22:K22"/>
    <mergeCell ref="C3:F3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8"/>
  <sheetViews>
    <sheetView workbookViewId="0">
      <selection activeCell="E8" sqref="E8"/>
    </sheetView>
  </sheetViews>
  <sheetFormatPr baseColWidth="10" defaultColWidth="8.85546875" defaultRowHeight="14.25" x14ac:dyDescent="0.2"/>
  <cols>
    <col min="1" max="1" width="8.85546875" style="28"/>
    <col min="2" max="2" width="13.5703125" style="28" customWidth="1"/>
    <col min="3" max="3" width="14.28515625" style="28" customWidth="1"/>
    <col min="4" max="16384" width="8.85546875" style="28"/>
  </cols>
  <sheetData>
    <row r="4" spans="1:3" x14ac:dyDescent="0.2">
      <c r="B4" s="88" t="s">
        <v>103</v>
      </c>
      <c r="C4" s="88" t="s">
        <v>104</v>
      </c>
    </row>
    <row r="5" spans="1:3" x14ac:dyDescent="0.2">
      <c r="A5" s="28" t="s">
        <v>106</v>
      </c>
      <c r="B5" s="28">
        <v>4468350.7889999999</v>
      </c>
      <c r="C5" s="28">
        <v>5334272.4450000003</v>
      </c>
    </row>
    <row r="6" spans="1:3" x14ac:dyDescent="0.2">
      <c r="B6" s="28">
        <v>4468214.1449999996</v>
      </c>
      <c r="C6" s="28">
        <v>5334350.159</v>
      </c>
    </row>
    <row r="7" spans="1:3" x14ac:dyDescent="0.2">
      <c r="A7" s="28" t="s">
        <v>105</v>
      </c>
      <c r="B7" s="28">
        <v>32691405.085999999</v>
      </c>
      <c r="C7" s="28">
        <v>5335695.9369999999</v>
      </c>
    </row>
    <row r="8" spans="1:3" x14ac:dyDescent="0.2">
      <c r="B8" s="28">
        <v>32691265.487</v>
      </c>
      <c r="C8" s="28">
        <v>5335768.2810000004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Auswertung Messformular</vt:lpstr>
      <vt:lpstr>Berechnung Polygonzug GK</vt:lpstr>
      <vt:lpstr>Berechnung Polygonzug UTM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YY</cp:lastModifiedBy>
  <dcterms:created xsi:type="dcterms:W3CDTF">2020-11-28T02:25:10Z</dcterms:created>
  <dcterms:modified xsi:type="dcterms:W3CDTF">2020-12-06T10:07:41Z</dcterms:modified>
</cp:coreProperties>
</file>