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uham\Downloads\HeiseAsa_in Distance\0\Disk-E\11111.-III. Direktori pelajar [13]\AIX4 454\Assign\"/>
    </mc:Choice>
  </mc:AlternateContent>
  <xr:revisionPtr revIDLastSave="0" documentId="13_ncr:1_{55F69CC6-F567-4669-A79C-6646FA6B5E6B}" xr6:coauthVersionLast="47" xr6:coauthVersionMax="47" xr10:uidLastSave="{00000000-0000-0000-0000-000000000000}"/>
  <bookViews>
    <workbookView xWindow="-108" yWindow="-108" windowWidth="23256" windowHeight="13176" tabRatio="763" xr2:uid="{00000000-000D-0000-FFFF-FFFF00000000}"/>
  </bookViews>
  <sheets>
    <sheet name="Kurva Kalibrasi" sheetId="2" r:id="rId1"/>
    <sheet name="2. Linearitas dan Rentang" sheetId="4" r:id="rId2"/>
    <sheet name="3. Precision" sheetId="5" r:id="rId3"/>
    <sheet name="4. Accuracy" sheetId="6" r:id="rId4"/>
    <sheet name="5. LOD &amp; 6. LOQ" sheetId="7" r:id="rId5"/>
    <sheet name="Data simulasi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7" l="1"/>
  <c r="C32" i="7" s="1"/>
  <c r="C14" i="7"/>
  <c r="C15" i="7" s="1"/>
  <c r="C13" i="7"/>
  <c r="H34" i="6"/>
  <c r="G34" i="6"/>
  <c r="F34" i="6"/>
  <c r="G33" i="6"/>
  <c r="H33" i="6" s="1"/>
  <c r="F33" i="6"/>
  <c r="F32" i="6"/>
  <c r="G32" i="6" s="1"/>
  <c r="H32" i="6" s="1"/>
  <c r="G24" i="6"/>
  <c r="H24" i="6" s="1"/>
  <c r="F24" i="6"/>
  <c r="F23" i="6"/>
  <c r="G23" i="6" s="1"/>
  <c r="H23" i="6" s="1"/>
  <c r="F22" i="6"/>
  <c r="G22" i="6" s="1"/>
  <c r="H22" i="6" s="1"/>
  <c r="F14" i="6"/>
  <c r="G14" i="6" s="1"/>
  <c r="H14" i="6" s="1"/>
  <c r="F13" i="6"/>
  <c r="G13" i="6" s="1"/>
  <c r="H13" i="6" s="1"/>
  <c r="H12" i="6"/>
  <c r="H15" i="6" s="1"/>
  <c r="H16" i="6" s="1"/>
  <c r="G12" i="6"/>
  <c r="F12" i="6"/>
  <c r="C16" i="5"/>
  <c r="C17" i="5" s="1"/>
  <c r="B16" i="5"/>
  <c r="B17" i="5" s="1"/>
  <c r="D15" i="5"/>
  <c r="C15" i="5"/>
  <c r="B15" i="5"/>
  <c r="D14" i="5"/>
  <c r="E14" i="5" s="1"/>
  <c r="E13" i="5"/>
  <c r="D13" i="5"/>
  <c r="D12" i="5"/>
  <c r="E12" i="5" s="1"/>
  <c r="E11" i="5"/>
  <c r="D11" i="5"/>
  <c r="D10" i="5"/>
  <c r="E10" i="5" s="1"/>
  <c r="E9" i="5"/>
  <c r="D9" i="5"/>
  <c r="D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C16" i="2"/>
  <c r="C15" i="2"/>
  <c r="C14" i="2"/>
  <c r="E16" i="5" l="1"/>
  <c r="E15" i="5"/>
  <c r="H25" i="6"/>
  <c r="H26" i="6" s="1"/>
  <c r="H35" i="6"/>
  <c r="H36" i="6" s="1"/>
  <c r="D16" i="5"/>
  <c r="D17" i="5" s="1"/>
  <c r="C16" i="7"/>
  <c r="C31" i="7"/>
  <c r="E17" i="5" l="1"/>
</calcChain>
</file>

<file path=xl/sharedStrings.xml><?xml version="1.0" encoding="utf-8"?>
<sst xmlns="http://schemas.openxmlformats.org/spreadsheetml/2006/main" count="237" uniqueCount="115">
  <si>
    <t>XIII-4 Muhamad Akbar Saputra</t>
  </si>
  <si>
    <t>Kalibrasi Thiamine HCl</t>
  </si>
  <si>
    <t>No</t>
  </si>
  <si>
    <t>Konsentrasi  (µg/mL)</t>
  </si>
  <si>
    <t>Respon Area</t>
  </si>
  <si>
    <t>Slope</t>
  </si>
  <si>
    <t>Intercept</t>
  </si>
  <si>
    <t>Coef.Correlation</t>
  </si>
  <si>
    <t>Syarat r</t>
  </si>
  <si>
    <t>≥ 0,999</t>
  </si>
  <si>
    <t>Assesment</t>
  </si>
  <si>
    <t>Pass</t>
  </si>
  <si>
    <t>Parameter Kurva Kalibrasi</t>
  </si>
  <si>
    <t xml:space="preserve">*Ket.: </t>
  </si>
  <si>
    <t>200,2 mg</t>
  </si>
  <si>
    <t>Rentang</t>
  </si>
  <si>
    <t>Estimasi Sampel Thiamine (µg/mL)</t>
  </si>
  <si>
    <t>Konsentrasi Thiamine (µg/mL)</t>
  </si>
  <si>
    <t>Coef. Correlation</t>
  </si>
  <si>
    <t>NO</t>
  </si>
  <si>
    <t>Bobot Sampel Vit. B1 (mg)</t>
  </si>
  <si>
    <t>ESTD Conc 
( µg/mL)</t>
  </si>
  <si>
    <t>Conc. Thiamine in Vit.B1 (%)</t>
  </si>
  <si>
    <t>Average</t>
  </si>
  <si>
    <t>SD</t>
  </si>
  <si>
    <t>RSD%</t>
  </si>
  <si>
    <t>Acceptence Criteria (RSD)</t>
  </si>
  <si>
    <t>≤ 2%</t>
  </si>
  <si>
    <t>Parameter Kurva kalibrasi</t>
  </si>
  <si>
    <t>Hasil Penentuan Recovery spike 5,00 µg/mL</t>
  </si>
  <si>
    <t>Bobot Sampel (mg)</t>
  </si>
  <si>
    <t>Sampel Kontrol (µg/mL)</t>
  </si>
  <si>
    <t xml:space="preserve"> Konsentrasi spike 5,00 µg/mL </t>
  </si>
  <si>
    <t>Sampel + Spike</t>
  </si>
  <si>
    <t>Hasil Perolehan (µg/mL)</t>
  </si>
  <si>
    <t>Recovery (%)</t>
  </si>
  <si>
    <t>± 200,0</t>
  </si>
  <si>
    <t>RSD</t>
  </si>
  <si>
    <t>Acceptence Criteria (Recovery)</t>
  </si>
  <si>
    <t>98-102%</t>
  </si>
  <si>
    <t>Failed</t>
  </si>
  <si>
    <t>Hasil Penentuan Recovery spike 7,50 µg/mL</t>
  </si>
  <si>
    <t xml:space="preserve"> Konsentrasi spike 7,50 µg/mL </t>
  </si>
  <si>
    <t>Hasil Penentuan Recovery spike 10,00 µg/mL</t>
  </si>
  <si>
    <t xml:space="preserve"> Konsentrasi spike 10,00 µg/mL </t>
  </si>
  <si>
    <t>Konsentrasi Standar (ppm)</t>
  </si>
  <si>
    <t>Respon area</t>
  </si>
  <si>
    <t>Blanko</t>
  </si>
  <si>
    <t>σ</t>
  </si>
  <si>
    <t>LOD</t>
  </si>
  <si>
    <t>µg/mL</t>
  </si>
  <si>
    <t>LOQ</t>
  </si>
  <si>
    <t>Konsentrasi (mg/mL)</t>
  </si>
  <si>
    <t>SUMMARY OUTPUT</t>
  </si>
  <si>
    <t>Regression Statistics</t>
  </si>
  <si>
    <t>Multiple R</t>
  </si>
  <si>
    <t>R Square</t>
  </si>
  <si>
    <t>Adjusted R Square</t>
  </si>
  <si>
    <t>Standard Error</t>
  </si>
  <si>
    <t>slope</t>
  </si>
  <si>
    <t>Observations</t>
  </si>
  <si>
    <t>ANOVA</t>
  </si>
  <si>
    <t>SD of intercept (σ)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</si>
  <si>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</si>
  <si>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</si>
  <si>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</si>
  <si>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</si>
  <si>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</si>
  <si>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</si>
  <si>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</si>
  <si>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</si>
  <si>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</si>
  <si>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</si>
  <si>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</si>
  <si>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</si>
  <si>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</si>
  <si>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</si>
  <si>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</si>
  <si>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</si>
  <si>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XIII.4 Muhamad Akbar Saputra</t>
  </si>
  <si>
    <t>Data Simulasi Respon Area Hasil Validasi Thiamin</t>
  </si>
  <si>
    <t>Sampel</t>
  </si>
  <si>
    <t>Ket</t>
  </si>
  <si>
    <t>Bobot penimbangan STD Thiamine</t>
  </si>
  <si>
    <t>-</t>
  </si>
  <si>
    <t>100,0 mg</t>
  </si>
  <si>
    <t xml:space="preserve">STD Thiamine  5,0 </t>
  </si>
  <si>
    <t>STD Thiamine  10,0</t>
  </si>
  <si>
    <t>STD Thiamine  15,0</t>
  </si>
  <si>
    <t>STD Thiamine  20,0</t>
  </si>
  <si>
    <t>STD Thiamine  25,0</t>
  </si>
  <si>
    <t>STD Thiamine  30,0</t>
  </si>
  <si>
    <t>Sampel Rentang 70%</t>
  </si>
  <si>
    <t>Sampel Rentang 80%</t>
  </si>
  <si>
    <t>Sampel Rentang 90%</t>
  </si>
  <si>
    <t>Sampel Rentang 100%</t>
  </si>
  <si>
    <t>Sampel Rentang 110%</t>
  </si>
  <si>
    <t>Sampel Rentang120%</t>
  </si>
  <si>
    <t>Sampel Rentang130%</t>
  </si>
  <si>
    <t>Sampel Presisi 1</t>
  </si>
  <si>
    <t>200,4 mg</t>
  </si>
  <si>
    <t>Sampel Presisi 2</t>
  </si>
  <si>
    <t>200,3 mg</t>
  </si>
  <si>
    <t>Sampel Presisi 3</t>
  </si>
  <si>
    <t>Sampel Presisi 4</t>
  </si>
  <si>
    <t>200,5 mg</t>
  </si>
  <si>
    <t>Sampel Presisi 5</t>
  </si>
  <si>
    <t>Sampel Presisi 6</t>
  </si>
  <si>
    <t>200,1 mg</t>
  </si>
  <si>
    <t>Sampel + spike 5,00 µg/mL</t>
  </si>
  <si>
    <t xml:space="preserve">± 200,0 mg </t>
  </si>
  <si>
    <t>Sampel + spike 7,50 µg/mL</t>
  </si>
  <si>
    <t>Sampel + spike 10,00 µg/mL</t>
  </si>
  <si>
    <t>Bufer Fosfat</t>
  </si>
  <si>
    <t>Rt (menit)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</si>
</sst>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"/>
    <numFmt numFmtId="168" formatCode="0.0000_ "/>
    <numFmt numFmtId="169" formatCode="0.0000"/>
    <numFmt numFmtId="170" formatCode="0.00000_ "/>
    <numFmt numFmtId="172" formatCode="#,##0.000"/>
  </numFmts>
  <fonts count="12">
    <font>
      <sz val="11"/>
      <color theme="1"/>
      <name val="Arial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rgb="FF000000"/>
      <name val="Times New Roman"/>
      <charset val="134"/>
    </font>
    <font>
      <i/>
      <sz val="10"/>
      <color theme="1"/>
      <name val="Times New Roman"/>
      <charset val="134"/>
    </font>
    <font>
      <sz val="10"/>
      <name val="Times New Roman"/>
      <charset val="134"/>
    </font>
    <font>
      <b/>
      <sz val="10"/>
      <color rgb="FF0070C0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sz val="11"/>
      <color theme="2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8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/>
    <xf numFmtId="0" fontId="1" fillId="3" borderId="2" xfId="0" applyFont="1" applyFill="1" applyBorder="1" applyAlignment="1">
      <alignment horizontal="center"/>
    </xf>
    <xf numFmtId="168" fontId="1" fillId="3" borderId="2" xfId="0" applyNumberFormat="1" applyFont="1" applyFill="1" applyBorder="1"/>
    <xf numFmtId="0" fontId="1" fillId="3" borderId="2" xfId="0" applyFont="1" applyFill="1" applyBorder="1"/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1" fillId="5" borderId="2" xfId="0" applyFont="1" applyFill="1" applyBorder="1"/>
    <xf numFmtId="0" fontId="1" fillId="0" borderId="4" xfId="0" applyFont="1" applyBorder="1"/>
    <xf numFmtId="168" fontId="1" fillId="5" borderId="2" xfId="0" applyNumberFormat="1" applyFont="1" applyFill="1" applyBorder="1"/>
    <xf numFmtId="0" fontId="6" fillId="0" borderId="0" xfId="0" applyFont="1"/>
    <xf numFmtId="0" fontId="7" fillId="0" borderId="0" xfId="0" applyFont="1"/>
    <xf numFmtId="0" fontId="1" fillId="6" borderId="2" xfId="0" applyFont="1" applyFill="1" applyBorder="1"/>
    <xf numFmtId="0" fontId="4" fillId="6" borderId="2" xfId="0" applyFont="1" applyFill="1" applyBorder="1"/>
    <xf numFmtId="168" fontId="1" fillId="6" borderId="2" xfId="0" applyNumberFormat="1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1" fontId="1" fillId="0" borderId="1" xfId="1" applyNumberFormat="1" applyFont="1" applyBorder="1" applyAlignment="1">
      <alignment horizontal="center"/>
    </xf>
    <xf numFmtId="168" fontId="1" fillId="0" borderId="2" xfId="0" applyNumberFormat="1" applyFont="1" applyBorder="1"/>
    <xf numFmtId="0" fontId="4" fillId="5" borderId="2" xfId="0" applyFont="1" applyFill="1" applyBorder="1" applyAlignment="1">
      <alignment horizontal="center" vertical="center" wrapText="1"/>
    </xf>
    <xf numFmtId="166" fontId="1" fillId="6" borderId="2" xfId="1" applyNumberFormat="1" applyFont="1" applyFill="1" applyBorder="1" applyAlignment="1">
      <alignment horizontal="center"/>
    </xf>
    <xf numFmtId="1" fontId="1" fillId="6" borderId="2" xfId="1" applyNumberFormat="1" applyFont="1" applyFill="1" applyBorder="1" applyAlignment="1">
      <alignment horizontal="center"/>
    </xf>
    <xf numFmtId="1" fontId="1" fillId="6" borderId="2" xfId="0" applyNumberFormat="1" applyFont="1" applyFill="1" applyBorder="1"/>
    <xf numFmtId="169" fontId="1" fillId="6" borderId="2" xfId="0" applyNumberFormat="1" applyFont="1" applyFill="1" applyBorder="1"/>
    <xf numFmtId="1" fontId="1" fillId="3" borderId="2" xfId="0" applyNumberFormat="1" applyFont="1" applyFill="1" applyBorder="1"/>
    <xf numFmtId="0" fontId="7" fillId="0" borderId="2" xfId="0" applyFont="1" applyBorder="1"/>
    <xf numFmtId="170" fontId="7" fillId="0" borderId="2" xfId="0" applyNumberFormat="1" applyFont="1" applyBorder="1"/>
    <xf numFmtId="0" fontId="1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left" vertical="top"/>
    </xf>
    <xf numFmtId="1" fontId="1" fillId="0" borderId="2" xfId="0" applyNumberFormat="1" applyFont="1" applyBorder="1" applyAlignment="1">
      <alignment horizontal="center" wrapText="1"/>
    </xf>
    <xf numFmtId="170" fontId="1" fillId="0" borderId="2" xfId="0" applyNumberFormat="1" applyFont="1" applyBorder="1"/>
    <xf numFmtId="0" fontId="7" fillId="3" borderId="2" xfId="0" applyFont="1" applyFill="1" applyBorder="1"/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/>
    <xf numFmtId="0" fontId="7" fillId="0" borderId="10" xfId="0" applyFont="1" applyBorder="1"/>
    <xf numFmtId="166" fontId="10" fillId="0" borderId="1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7" fillId="0" borderId="12" xfId="0" applyFont="1" applyBorder="1"/>
    <xf numFmtId="166" fontId="10" fillId="0" borderId="13" xfId="0" applyNumberFormat="1" applyFont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/>
    <xf numFmtId="0" fontId="9" fillId="7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5" borderId="2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1" fillId="3" borderId="2" xfId="0" applyFont="1" applyFill="1" applyBorder="1" applyAlignment="1">
      <alignment horizontal="right"/>
    </xf>
    <xf numFmtId="172" fontId="7" fillId="0" borderId="2" xfId="0" applyNumberFormat="1" applyFont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Kurva Kalibrasi Thiaminne-HCl </a:t>
            </a:r>
          </a:p>
        </c:rich>
      </c:tx>
      <c:layout>
        <c:manualLayout>
          <c:xMode val="edge"/>
          <c:yMode val="edge"/>
          <c:x val="0.19568181818181801"/>
          <c:y val="6.578568629140979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272727272727"/>
          <c:y val="0.22062975027144399"/>
          <c:w val="0.69551515151515098"/>
          <c:h val="0.5753311617806730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3333333333333E-2"/>
                  <c:y val="0.42013888888888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'Kurva Kalibrasi'!$B$5:$B$13</c:f>
              <c:numCache>
                <c:formatCode>0.0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'Kurva Kalibrasi'!$C$5:$C$13</c:f>
              <c:numCache>
                <c:formatCode>0</c:formatCode>
                <c:ptCount val="9"/>
                <c:pt idx="0">
                  <c:v>14178</c:v>
                </c:pt>
                <c:pt idx="1">
                  <c:v>29232</c:v>
                </c:pt>
                <c:pt idx="2">
                  <c:v>46011</c:v>
                </c:pt>
                <c:pt idx="3">
                  <c:v>62560</c:v>
                </c:pt>
                <c:pt idx="4">
                  <c:v>79114</c:v>
                </c:pt>
                <c:pt idx="5">
                  <c:v>95099</c:v>
                </c:pt>
                <c:pt idx="6">
                  <c:v>112447</c:v>
                </c:pt>
                <c:pt idx="7">
                  <c:v>127775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E-47CE-A870-D55E11D7F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5439873"/>
        <c:axId val="482341100"/>
      </c:scatterChart>
      <c:valAx>
        <c:axId val="8854398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Konsentrasi</a:t>
                </a:r>
              </a:p>
            </c:rich>
          </c:tx>
          <c:layout>
            <c:manualLayout>
              <c:xMode val="edge"/>
              <c:yMode val="edge"/>
              <c:x val="0.47110606060606097"/>
              <c:y val="0.87274701411509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1100"/>
        <c:crosses val="autoZero"/>
        <c:crossBetween val="midCat"/>
      </c:valAx>
      <c:valAx>
        <c:axId val="482341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Respon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398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Linearitas dan Rentang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23292437282499"/>
          <c:y val="0.14450261780104701"/>
          <c:w val="0.64290422999450603"/>
          <c:h val="0.55895287958115203"/>
        </c:manualLayout>
      </c:layout>
      <c:scatterChart>
        <c:scatterStyle val="lineMarker"/>
        <c:varyColors val="0"/>
        <c:ser>
          <c:idx val="1"/>
          <c:order val="0"/>
          <c:tx>
            <c:v>Linear n Rentang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0416666666666701E-2"/>
                  <c:y val="0.32037037037036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 Linearitas dan Rentang'!$A$7:$A$13</c:f>
              <c:numCache>
                <c:formatCode>General</c:formatCode>
                <c:ptCount val="7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</c:numCache>
            </c:numRef>
          </c:xVal>
          <c:yVal>
            <c:numRef>
              <c:f>'2. Linearitas dan Rentang'!$D$7:$D$13</c:f>
              <c:numCache>
                <c:formatCode>0.00000_ </c:formatCode>
                <c:ptCount val="7"/>
                <c:pt idx="0">
                  <c:v>10.316019419685025</c:v>
                </c:pt>
                <c:pt idx="1">
                  <c:v>11.686183511157736</c:v>
                </c:pt>
                <c:pt idx="2">
                  <c:v>13.443704630244053</c:v>
                </c:pt>
                <c:pt idx="3">
                  <c:v>14.684291031347994</c:v>
                </c:pt>
                <c:pt idx="4">
                  <c:v>16.633350499553632</c:v>
                </c:pt>
                <c:pt idx="5">
                  <c:v>17.969008017418236</c:v>
                </c:pt>
                <c:pt idx="6">
                  <c:v>19.492107768804257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C-4FD3-8D50-5711B66A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95374"/>
        <c:axId val="737010976"/>
      </c:scatterChart>
      <c:valAx>
        <c:axId val="74259537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Target Konsentrasi</a:t>
                </a:r>
              </a:p>
            </c:rich>
          </c:tx>
          <c:layout>
            <c:manualLayout>
              <c:xMode val="edge"/>
              <c:yMode val="edge"/>
              <c:x val="0.40213330891778098"/>
              <c:y val="0.84258289703315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0976"/>
        <c:crosses val="autoZero"/>
        <c:crossBetween val="midCat"/>
      </c:valAx>
      <c:valAx>
        <c:axId val="737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Respon Detektor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953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</xdr:colOff>
      <xdr:row>1</xdr:row>
      <xdr:rowOff>186690</xdr:rowOff>
    </xdr:from>
    <xdr:to>
      <xdr:col>8</xdr:col>
      <xdr:colOff>546100</xdr:colOff>
      <xdr:row>19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4</xdr:row>
      <xdr:rowOff>150495</xdr:rowOff>
    </xdr:from>
    <xdr:to>
      <xdr:col>9</xdr:col>
      <xdr:colOff>149225</xdr:colOff>
      <xdr:row>13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D13" sqref="D13"/>
    </sheetView>
  </sheetViews>
  <sheetFormatPr defaultColWidth="9" defaultRowHeight="13.8"/>
  <cols>
    <col min="1" max="1" width="9" style="24"/>
    <col min="2" max="2" width="9.09765625" style="24" customWidth="1"/>
    <col min="3" max="3" width="11.09765625" style="24"/>
    <col min="4" max="16384" width="9" style="24"/>
  </cols>
  <sheetData>
    <row r="1" spans="1:4">
      <c r="A1" s="60" t="s">
        <v>0</v>
      </c>
      <c r="B1" s="60"/>
      <c r="C1" s="60"/>
    </row>
    <row r="2" spans="1:4">
      <c r="A2" s="60"/>
      <c r="B2" s="60"/>
      <c r="C2" s="60"/>
    </row>
    <row r="3" spans="1:4">
      <c r="A3" s="55" t="s">
        <v>1</v>
      </c>
      <c r="B3" s="55"/>
      <c r="C3" s="55"/>
    </row>
    <row r="4" spans="1:4" ht="26.4">
      <c r="A4" s="46" t="s">
        <v>114</v>
      </c>
      <c r="B4" s="47" t="s">
        <v>3</v>
      </c>
      <c r="C4" s="48" t="s">
        <v>4</v>
      </c>
      <c r="D4" s="49"/>
    </row>
    <row r="5" spans="1:4">
      <c r="A5" s="80">
        <v>9.3550000000000004</v>
      </c>
      <c r="B5" s="50">
        <v>100</v>
      </c>
      <c r="C5" s="51">
        <v>14178</v>
      </c>
    </row>
    <row r="6" spans="1:4">
      <c r="A6" s="40">
        <v>9.36</v>
      </c>
      <c r="B6" s="50">
        <v>200</v>
      </c>
      <c r="C6" s="51">
        <v>29232</v>
      </c>
    </row>
    <row r="7" spans="1:4">
      <c r="A7" s="40">
        <v>9.35</v>
      </c>
      <c r="B7" s="50">
        <v>300</v>
      </c>
      <c r="C7" s="51">
        <v>46011</v>
      </c>
    </row>
    <row r="8" spans="1:4">
      <c r="A8" s="40">
        <v>9.3559999999999999</v>
      </c>
      <c r="B8" s="50">
        <v>400</v>
      </c>
      <c r="C8" s="51">
        <v>62560</v>
      </c>
    </row>
    <row r="9" spans="1:4">
      <c r="A9" s="40">
        <v>9.3450000000000006</v>
      </c>
      <c r="B9" s="50">
        <v>500</v>
      </c>
      <c r="C9" s="51">
        <v>79114</v>
      </c>
    </row>
    <row r="10" spans="1:4">
      <c r="A10" s="52">
        <v>9.3510000000000009</v>
      </c>
      <c r="B10" s="50">
        <v>600</v>
      </c>
      <c r="C10" s="54">
        <v>95099</v>
      </c>
    </row>
    <row r="11" spans="1:4">
      <c r="A11" s="52">
        <v>9.3550000000000004</v>
      </c>
      <c r="B11" s="50">
        <v>700</v>
      </c>
      <c r="C11" s="54">
        <v>112447</v>
      </c>
    </row>
    <row r="12" spans="1:4">
      <c r="A12" s="52">
        <v>9.35</v>
      </c>
      <c r="B12" s="50">
        <v>800</v>
      </c>
      <c r="C12" s="54">
        <v>127775</v>
      </c>
    </row>
    <row r="13" spans="1:4">
      <c r="A13" s="52"/>
      <c r="B13" s="53"/>
      <c r="C13" s="54"/>
    </row>
    <row r="14" spans="1:4">
      <c r="A14" s="56" t="s">
        <v>5</v>
      </c>
      <c r="B14" s="57"/>
      <c r="C14" s="46">
        <f>SLOPE(C5:C13,B5:B13)</f>
        <v>163.69904761904763</v>
      </c>
    </row>
    <row r="15" spans="1:4">
      <c r="A15" s="56" t="s">
        <v>6</v>
      </c>
      <c r="B15" s="57"/>
      <c r="C15" s="46">
        <f>INTERCEPT(C5:C13,B5:B13)</f>
        <v>-2862.5714285714348</v>
      </c>
    </row>
    <row r="16" spans="1:4">
      <c r="A16" s="58" t="s">
        <v>7</v>
      </c>
      <c r="B16" s="59"/>
      <c r="C16" s="46">
        <f>CORREL(C5:C13,B5:B13)</f>
        <v>0.9999275955023389</v>
      </c>
    </row>
    <row r="17" spans="1:7">
      <c r="A17" s="56" t="s">
        <v>8</v>
      </c>
      <c r="B17" s="57"/>
      <c r="C17" s="46" t="s">
        <v>9</v>
      </c>
    </row>
    <row r="18" spans="1:7">
      <c r="A18" s="56" t="s">
        <v>10</v>
      </c>
      <c r="B18" s="57"/>
      <c r="C18" s="46" t="s">
        <v>11</v>
      </c>
    </row>
    <row r="23" spans="1:7">
      <c r="B23"/>
      <c r="C23"/>
      <c r="D23"/>
      <c r="E23"/>
      <c r="F23"/>
      <c r="G23"/>
    </row>
    <row r="24" spans="1:7">
      <c r="B24"/>
      <c r="C24"/>
      <c r="D24"/>
      <c r="E24"/>
      <c r="F24"/>
      <c r="G24"/>
    </row>
    <row r="25" spans="1:7">
      <c r="B25"/>
      <c r="C25"/>
      <c r="D25"/>
      <c r="E25"/>
      <c r="F25"/>
      <c r="G25"/>
    </row>
    <row r="26" spans="1:7">
      <c r="B26"/>
      <c r="C26"/>
      <c r="D26"/>
      <c r="E26"/>
      <c r="F26"/>
      <c r="G26"/>
    </row>
    <row r="27" spans="1:7">
      <c r="B27"/>
      <c r="C27"/>
      <c r="D27"/>
      <c r="E27"/>
      <c r="F27"/>
      <c r="G27"/>
    </row>
    <row r="28" spans="1:7">
      <c r="B28"/>
      <c r="C28"/>
      <c r="D28"/>
      <c r="E28"/>
      <c r="F28"/>
      <c r="G28"/>
    </row>
    <row r="29" spans="1:7">
      <c r="B29"/>
      <c r="C29"/>
      <c r="D29"/>
      <c r="E29"/>
      <c r="F29"/>
      <c r="G29"/>
    </row>
    <row r="30" spans="1:7">
      <c r="B30"/>
      <c r="C30"/>
      <c r="D30"/>
      <c r="E30"/>
      <c r="F30"/>
      <c r="G30"/>
    </row>
  </sheetData>
  <mergeCells count="7">
    <mergeCell ref="A18:B18"/>
    <mergeCell ref="A1:C2"/>
    <mergeCell ref="A3:C3"/>
    <mergeCell ref="A14:B14"/>
    <mergeCell ref="A15:B15"/>
    <mergeCell ref="A16:B16"/>
    <mergeCell ref="A17:B17"/>
  </mergeCells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6"/>
  <sheetViews>
    <sheetView workbookViewId="0">
      <selection activeCell="E16" sqref="E16"/>
    </sheetView>
  </sheetViews>
  <sheetFormatPr defaultColWidth="9" defaultRowHeight="13.8"/>
  <cols>
    <col min="1" max="2" width="9" style="24"/>
    <col min="3" max="3" width="12.09765625" style="24"/>
    <col min="4" max="4" width="11.19921875" style="24"/>
    <col min="5" max="16384" width="9" style="24"/>
  </cols>
  <sheetData>
    <row r="2" spans="1:4">
      <c r="A2" s="56" t="s">
        <v>12</v>
      </c>
      <c r="B2" s="56"/>
      <c r="C2" s="56"/>
    </row>
    <row r="3" spans="1:4">
      <c r="A3" s="61" t="s">
        <v>5</v>
      </c>
      <c r="B3" s="62"/>
      <c r="C3" s="41">
        <v>119895.69875197099</v>
      </c>
    </row>
    <row r="4" spans="1:4">
      <c r="A4" s="61" t="s">
        <v>6</v>
      </c>
      <c r="B4" s="62"/>
      <c r="C4" s="40">
        <v>27645.309136231401</v>
      </c>
    </row>
    <row r="5" spans="1:4">
      <c r="A5" s="24" t="s">
        <v>13</v>
      </c>
      <c r="C5" s="24" t="s">
        <v>14</v>
      </c>
    </row>
    <row r="6" spans="1:4" ht="52.8">
      <c r="A6" s="12" t="s">
        <v>15</v>
      </c>
      <c r="B6" s="13" t="s">
        <v>16</v>
      </c>
      <c r="C6" s="12" t="s">
        <v>4</v>
      </c>
      <c r="D6" s="42" t="s">
        <v>17</v>
      </c>
    </row>
    <row r="7" spans="1:4">
      <c r="A7" s="18">
        <v>70</v>
      </c>
      <c r="B7" s="43">
        <f>0.7*(15/200)*200.2</f>
        <v>10.510499999999999</v>
      </c>
      <c r="C7" s="44">
        <v>1264491.6657982699</v>
      </c>
      <c r="D7" s="45">
        <f>(C7-C4)/C3</f>
        <v>10.316019419685025</v>
      </c>
    </row>
    <row r="8" spans="1:4">
      <c r="A8" s="18">
        <v>80</v>
      </c>
      <c r="B8" s="43">
        <f>0.8*(15/200)*200.2</f>
        <v>12.011999999999999</v>
      </c>
      <c r="C8" s="44">
        <v>1428768.4469502501</v>
      </c>
      <c r="D8" s="45">
        <f>(C8-C4)/C3</f>
        <v>11.686183511157736</v>
      </c>
    </row>
    <row r="9" spans="1:4">
      <c r="A9" s="18">
        <v>90</v>
      </c>
      <c r="B9" s="43">
        <f>0.9*(15/200)*200.2</f>
        <v>13.513500000000001</v>
      </c>
      <c r="C9" s="44">
        <v>1639487.6695944499</v>
      </c>
      <c r="D9" s="45">
        <f>(C9-C4)/C3</f>
        <v>13.443704630244053</v>
      </c>
    </row>
    <row r="10" spans="1:4">
      <c r="A10" s="18">
        <v>100</v>
      </c>
      <c r="B10" s="43">
        <f>1*(15/200)*200.2</f>
        <v>15.014999999999999</v>
      </c>
      <c r="C10" s="44">
        <v>1788228.6430170001</v>
      </c>
      <c r="D10" s="45">
        <f>(C10-C4)/C3</f>
        <v>14.684291031347994</v>
      </c>
    </row>
    <row r="11" spans="1:4">
      <c r="A11" s="18">
        <v>110</v>
      </c>
      <c r="B11" s="43">
        <f>1.1*(15/200)*200.2</f>
        <v>16.516500000000001</v>
      </c>
      <c r="C11" s="44">
        <v>2021912.48986666</v>
      </c>
      <c r="D11" s="45">
        <f>(C11-C4)/C3</f>
        <v>16.633350499553632</v>
      </c>
    </row>
    <row r="12" spans="1:4">
      <c r="A12" s="18">
        <v>120</v>
      </c>
      <c r="B12" s="43">
        <f>1.2*(15/200)*200.2</f>
        <v>18.017999999999997</v>
      </c>
      <c r="C12" s="44">
        <v>2182052.0812643599</v>
      </c>
      <c r="D12" s="45">
        <f>(C12-C4)/C3</f>
        <v>17.969008017418236</v>
      </c>
    </row>
    <row r="13" spans="1:4">
      <c r="A13" s="18">
        <v>130</v>
      </c>
      <c r="B13" s="43">
        <f>1.3*(15/200)*200.2</f>
        <v>19.519500000000001</v>
      </c>
      <c r="C13" s="44">
        <v>2364665.19022574</v>
      </c>
      <c r="D13" s="45">
        <f>(C13-C4)/C3</f>
        <v>19.492107768804257</v>
      </c>
    </row>
    <row r="14" spans="1:4">
      <c r="B14" s="58" t="s">
        <v>7</v>
      </c>
      <c r="C14" s="59"/>
      <c r="D14" s="46">
        <f>CORREL(A7:A13,C7:C13)</f>
        <v>0.99918453701463816</v>
      </c>
    </row>
    <row r="15" spans="1:4">
      <c r="B15" s="56" t="s">
        <v>8</v>
      </c>
      <c r="C15" s="57"/>
      <c r="D15" s="46" t="s">
        <v>9</v>
      </c>
    </row>
    <row r="16" spans="1:4">
      <c r="B16" s="56" t="s">
        <v>10</v>
      </c>
      <c r="C16" s="57"/>
      <c r="D16" s="46" t="s">
        <v>11</v>
      </c>
    </row>
  </sheetData>
  <mergeCells count="6">
    <mergeCell ref="B16:C16"/>
    <mergeCell ref="A2:C2"/>
    <mergeCell ref="A3:B3"/>
    <mergeCell ref="A4:B4"/>
    <mergeCell ref="B14:C14"/>
    <mergeCell ref="B15:C15"/>
  </mergeCells>
  <pageMargins left="0.75" right="0.75" top="1" bottom="1" header="0.5" footer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9"/>
  <sheetViews>
    <sheetView workbookViewId="0">
      <selection activeCell="C18" sqref="C18:E18"/>
    </sheetView>
  </sheetViews>
  <sheetFormatPr defaultColWidth="9" defaultRowHeight="13.2"/>
  <cols>
    <col min="1" max="1" width="9" style="1"/>
    <col min="2" max="2" width="11.09765625" style="1"/>
    <col min="3" max="3" width="12.09765625" style="1"/>
    <col min="4" max="4" width="10.3984375" style="1"/>
    <col min="5" max="5" width="11.19921875" style="1"/>
    <col min="6" max="16384" width="9" style="1"/>
  </cols>
  <sheetData>
    <row r="3" spans="1:5">
      <c r="A3" s="63" t="s">
        <v>12</v>
      </c>
      <c r="B3" s="63"/>
      <c r="C3" s="63"/>
    </row>
    <row r="4" spans="1:5">
      <c r="A4" s="64" t="s">
        <v>5</v>
      </c>
      <c r="B4" s="65"/>
      <c r="C4" s="33">
        <v>119895.69875197099</v>
      </c>
    </row>
    <row r="5" spans="1:5">
      <c r="A5" s="64" t="s">
        <v>6</v>
      </c>
      <c r="B5" s="65"/>
      <c r="C5" s="33">
        <v>27645.309136231401</v>
      </c>
    </row>
    <row r="6" spans="1:5">
      <c r="A6" s="66" t="s">
        <v>18</v>
      </c>
      <c r="B6" s="67"/>
      <c r="C6" s="27">
        <v>0.99957477952321205</v>
      </c>
    </row>
    <row r="8" spans="1:5" ht="39.6">
      <c r="A8" s="28" t="s">
        <v>19</v>
      </c>
      <c r="B8" s="34" t="s">
        <v>20</v>
      </c>
      <c r="C8" s="28" t="s">
        <v>4</v>
      </c>
      <c r="D8" s="29" t="s">
        <v>21</v>
      </c>
      <c r="E8" s="29" t="s">
        <v>22</v>
      </c>
    </row>
    <row r="9" spans="1:5">
      <c r="A9" s="25">
        <v>1</v>
      </c>
      <c r="B9" s="35">
        <v>200.4</v>
      </c>
      <c r="C9" s="36">
        <v>1938326.28553042</v>
      </c>
      <c r="D9" s="37">
        <f>(C9-C$5)/C$4</f>
        <v>15.936192843304802</v>
      </c>
      <c r="E9" s="38">
        <f>100*(((D9*10*100)/1000)/B9)</f>
        <v>7.9521920375772481</v>
      </c>
    </row>
    <row r="10" spans="1:5">
      <c r="A10" s="25">
        <v>2</v>
      </c>
      <c r="B10" s="35">
        <v>200.3</v>
      </c>
      <c r="C10" s="36">
        <v>1940186.4835011801</v>
      </c>
      <c r="D10" s="37">
        <f t="shared" ref="D10:D15" si="0">(C10-C$5)/C$4</f>
        <v>15.951707978460803</v>
      </c>
      <c r="E10" s="38">
        <f>100*(((D10*10*100)/1000)/B10)</f>
        <v>7.9639081270398409</v>
      </c>
    </row>
    <row r="11" spans="1:5">
      <c r="A11" s="25">
        <v>3</v>
      </c>
      <c r="B11" s="35">
        <v>200.2</v>
      </c>
      <c r="C11" s="36">
        <v>1919724.30582284</v>
      </c>
      <c r="D11" s="37">
        <f t="shared" si="0"/>
        <v>15.78104149174496</v>
      </c>
      <c r="E11" s="27">
        <f t="shared" ref="E11:E14" si="1">100*(((D11*10*100)/1000)/B11)</f>
        <v>7.8826381077647154</v>
      </c>
    </row>
    <row r="12" spans="1:5">
      <c r="A12" s="25">
        <v>4</v>
      </c>
      <c r="B12" s="35">
        <v>200.5</v>
      </c>
      <c r="C12" s="36">
        <v>1936466.08755966</v>
      </c>
      <c r="D12" s="37">
        <f t="shared" si="0"/>
        <v>15.9206777081488</v>
      </c>
      <c r="E12" s="27">
        <f t="shared" si="1"/>
        <v>7.9404876349869316</v>
      </c>
    </row>
    <row r="13" spans="1:5">
      <c r="A13" s="25">
        <v>5</v>
      </c>
      <c r="B13" s="35">
        <v>200.5</v>
      </c>
      <c r="C13" s="36">
        <v>1953207.86929649</v>
      </c>
      <c r="D13" s="37">
        <f t="shared" si="0"/>
        <v>16.060313924552727</v>
      </c>
      <c r="E13" s="27">
        <f t="shared" si="1"/>
        <v>8.0101316331933798</v>
      </c>
    </row>
    <row r="14" spans="1:5">
      <c r="A14" s="25">
        <v>6</v>
      </c>
      <c r="B14" s="35">
        <v>200.1</v>
      </c>
      <c r="C14" s="36">
        <v>1856477.57481704</v>
      </c>
      <c r="D14" s="37">
        <f t="shared" si="0"/>
        <v>15.253526896441262</v>
      </c>
      <c r="E14" s="27">
        <f t="shared" si="1"/>
        <v>7.6229519722345138</v>
      </c>
    </row>
    <row r="15" spans="1:5">
      <c r="A15" s="20" t="s">
        <v>23</v>
      </c>
      <c r="B15" s="16">
        <f>AVERAGE(B9:B14)</f>
        <v>200.33333333333334</v>
      </c>
      <c r="C15" s="16">
        <f>AVERAGE(C9:C14)</f>
        <v>1924064.767754605</v>
      </c>
      <c r="D15" s="39">
        <f t="shared" si="0"/>
        <v>15.817243473775559</v>
      </c>
      <c r="E15" s="16">
        <f>AVERAGE(E9:E14)</f>
        <v>7.8953849187994392</v>
      </c>
    </row>
    <row r="16" spans="1:5">
      <c r="A16" s="20" t="s">
        <v>24</v>
      </c>
      <c r="B16" s="16">
        <f>STDEV(B9:B14)</f>
        <v>0.16329931618554869</v>
      </c>
      <c r="C16" s="16">
        <f>STDEV(C9:C14)</f>
        <v>34794.487975056792</v>
      </c>
      <c r="D16" s="16">
        <f>STDEV(D9:D14)</f>
        <v>0.29020630712563267</v>
      </c>
      <c r="E16" s="16">
        <f>STDEV(E9:E14)</f>
        <v>0.13964650647165511</v>
      </c>
    </row>
    <row r="17" spans="1:5">
      <c r="A17" s="20" t="s">
        <v>25</v>
      </c>
      <c r="B17" s="16">
        <f>100*B16/B15</f>
        <v>8.1513801756513488E-2</v>
      </c>
      <c r="C17" s="16">
        <f>100*C16/C15</f>
        <v>1.8083844451692841</v>
      </c>
      <c r="D17" s="16">
        <f>100*D16/D15</f>
        <v>1.8347464120836521</v>
      </c>
      <c r="E17" s="16">
        <f>100*E16/E15</f>
        <v>1.7687105556962455</v>
      </c>
    </row>
    <row r="18" spans="1:5">
      <c r="A18" s="68" t="s">
        <v>26</v>
      </c>
      <c r="B18" s="69"/>
      <c r="C18" s="70" t="s">
        <v>27</v>
      </c>
      <c r="D18" s="71"/>
      <c r="E18" s="72"/>
    </row>
    <row r="19" spans="1:5">
      <c r="A19" s="68" t="s">
        <v>10</v>
      </c>
      <c r="B19" s="69"/>
      <c r="C19" s="15" t="s">
        <v>11</v>
      </c>
      <c r="D19" s="15" t="s">
        <v>11</v>
      </c>
      <c r="E19" s="15" t="s">
        <v>11</v>
      </c>
    </row>
  </sheetData>
  <mergeCells count="7">
    <mergeCell ref="A19:B19"/>
    <mergeCell ref="A3:C3"/>
    <mergeCell ref="A4:B4"/>
    <mergeCell ref="A5:B5"/>
    <mergeCell ref="A6:B6"/>
    <mergeCell ref="A18:B18"/>
    <mergeCell ref="C18:E18"/>
  </mergeCells>
  <pageMargins left="0.75" right="0.75" top="1" bottom="1" header="0.5" footer="0.5"/>
  <pageSetup orientation="portrait"/>
  <ignoredErrors>
    <ignoredError sqref="D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38"/>
  <sheetViews>
    <sheetView topLeftCell="A4" workbookViewId="0">
      <selection activeCell="H17" sqref="H17"/>
    </sheetView>
  </sheetViews>
  <sheetFormatPr defaultColWidth="7.8984375" defaultRowHeight="13.2"/>
  <cols>
    <col min="1" max="1" width="7.8984375" style="1"/>
    <col min="2" max="2" width="15.8984375" style="1" customWidth="1"/>
    <col min="3" max="3" width="8.09765625" style="1"/>
    <col min="4" max="4" width="10.69921875" style="1" customWidth="1"/>
    <col min="5" max="5" width="10.19921875" style="1" customWidth="1"/>
    <col min="6" max="7" width="11.09765625" style="1"/>
    <col min="8" max="8" width="11.19921875" style="1"/>
    <col min="9" max="16384" width="7.8984375" style="1"/>
  </cols>
  <sheetData>
    <row r="4" spans="1:8">
      <c r="B4" s="68" t="s">
        <v>28</v>
      </c>
      <c r="C4" s="69"/>
    </row>
    <row r="5" spans="1:8">
      <c r="B5" s="25" t="s">
        <v>5</v>
      </c>
      <c r="C5" s="25">
        <v>119896</v>
      </c>
    </row>
    <row r="6" spans="1:8">
      <c r="B6" s="25" t="s">
        <v>6</v>
      </c>
      <c r="C6" s="25">
        <v>27645</v>
      </c>
    </row>
    <row r="7" spans="1:8">
      <c r="B7" s="26" t="s">
        <v>18</v>
      </c>
      <c r="C7" s="27">
        <v>0.99957477952321205</v>
      </c>
    </row>
    <row r="10" spans="1:8">
      <c r="A10" s="73" t="s">
        <v>29</v>
      </c>
      <c r="B10" s="73"/>
      <c r="C10" s="73"/>
      <c r="D10" s="73"/>
    </row>
    <row r="11" spans="1:8" ht="39.6">
      <c r="A11" s="28" t="s">
        <v>19</v>
      </c>
      <c r="B11" s="28" t="s">
        <v>30</v>
      </c>
      <c r="C11" s="29" t="s">
        <v>31</v>
      </c>
      <c r="D11" s="30" t="s">
        <v>32</v>
      </c>
      <c r="E11" s="28" t="s">
        <v>4</v>
      </c>
      <c r="F11" s="29" t="s">
        <v>33</v>
      </c>
      <c r="G11" s="29" t="s">
        <v>34</v>
      </c>
      <c r="H11" s="29" t="s">
        <v>35</v>
      </c>
    </row>
    <row r="12" spans="1:8">
      <c r="A12" s="18">
        <v>1</v>
      </c>
      <c r="B12" s="18" t="s">
        <v>36</v>
      </c>
      <c r="C12" s="18">
        <v>15.82</v>
      </c>
      <c r="D12" s="31">
        <v>5</v>
      </c>
      <c r="E12" s="32">
        <v>2494344.2592247999</v>
      </c>
      <c r="F12" s="33">
        <f>(E12-C$6)/C$5</f>
        <v>20.573657663515046</v>
      </c>
      <c r="G12" s="33">
        <f t="shared" ref="G12:G14" si="0">F12-C12</f>
        <v>4.753657663515046</v>
      </c>
      <c r="H12" s="33">
        <f t="shared" ref="H12:H14" si="1">G12/D12*100</f>
        <v>95.073153270300921</v>
      </c>
    </row>
    <row r="13" spans="1:8">
      <c r="A13" s="18">
        <v>2</v>
      </c>
      <c r="B13" s="18" t="s">
        <v>36</v>
      </c>
      <c r="C13" s="18">
        <v>15.82</v>
      </c>
      <c r="D13" s="31">
        <v>5</v>
      </c>
      <c r="E13" s="32">
        <v>2511739.8794652</v>
      </c>
      <c r="F13" s="33">
        <f>(E13-C$6)/C$5</f>
        <v>20.718746909531593</v>
      </c>
      <c r="G13" s="33">
        <f t="shared" si="0"/>
        <v>4.8987469095315923</v>
      </c>
      <c r="H13" s="33">
        <f t="shared" si="1"/>
        <v>97.974938190631846</v>
      </c>
    </row>
    <row r="14" spans="1:8">
      <c r="A14" s="18">
        <v>3</v>
      </c>
      <c r="B14" s="18" t="s">
        <v>36</v>
      </c>
      <c r="C14" s="18">
        <v>15.82</v>
      </c>
      <c r="D14" s="31">
        <v>5</v>
      </c>
      <c r="E14" s="32">
        <v>2521680.2338882899</v>
      </c>
      <c r="F14" s="33">
        <f>(E14-C$6)/C$5</f>
        <v>20.801655050112512</v>
      </c>
      <c r="G14" s="33">
        <f t="shared" si="0"/>
        <v>4.9816550501125114</v>
      </c>
      <c r="H14" s="33">
        <f t="shared" si="1"/>
        <v>99.633101002250228</v>
      </c>
    </row>
    <row r="15" spans="1:8">
      <c r="E15" s="74" t="s">
        <v>23</v>
      </c>
      <c r="F15" s="74"/>
      <c r="G15" s="74"/>
      <c r="H15" s="22">
        <f>AVERAGE(H12:H14)</f>
        <v>97.560397487727656</v>
      </c>
    </row>
    <row r="16" spans="1:8">
      <c r="E16" s="74" t="s">
        <v>37</v>
      </c>
      <c r="F16" s="74"/>
      <c r="G16" s="74"/>
      <c r="H16" s="22">
        <f>STDEV(H12:H14)/H15</f>
        <v>2.3657805954146318E-2</v>
      </c>
    </row>
    <row r="17" spans="1:8">
      <c r="E17" s="74" t="s">
        <v>38</v>
      </c>
      <c r="F17" s="74"/>
      <c r="G17" s="74"/>
      <c r="H17" s="28" t="s">
        <v>39</v>
      </c>
    </row>
    <row r="18" spans="1:8">
      <c r="E18" s="74" t="s">
        <v>10</v>
      </c>
      <c r="F18" s="74"/>
      <c r="G18" s="74"/>
      <c r="H18" s="20" t="s">
        <v>40</v>
      </c>
    </row>
    <row r="20" spans="1:8">
      <c r="A20" s="73" t="s">
        <v>41</v>
      </c>
      <c r="B20" s="73"/>
      <c r="C20" s="73"/>
      <c r="D20" s="73"/>
    </row>
    <row r="21" spans="1:8" ht="39.6">
      <c r="A21" s="28" t="s">
        <v>19</v>
      </c>
      <c r="B21" s="28" t="s">
        <v>30</v>
      </c>
      <c r="C21" s="29" t="s">
        <v>31</v>
      </c>
      <c r="D21" s="30" t="s">
        <v>42</v>
      </c>
      <c r="E21" s="28" t="s">
        <v>4</v>
      </c>
      <c r="F21" s="29" t="s">
        <v>33</v>
      </c>
      <c r="G21" s="29" t="s">
        <v>34</v>
      </c>
      <c r="H21" s="29" t="s">
        <v>35</v>
      </c>
    </row>
    <row r="22" spans="1:8">
      <c r="A22" s="18">
        <v>1</v>
      </c>
      <c r="B22" s="18" t="s">
        <v>36</v>
      </c>
      <c r="C22" s="18">
        <v>15.8172</v>
      </c>
      <c r="D22" s="31">
        <v>7.5</v>
      </c>
      <c r="E22" s="32">
        <v>2814144.0584990298</v>
      </c>
      <c r="F22" s="33">
        <f>(E22-C$6)/C$5</f>
        <v>23.24096765946345</v>
      </c>
      <c r="G22" s="33">
        <f t="shared" ref="G22:G24" si="2">F22-C22</f>
        <v>7.4237676594634507</v>
      </c>
      <c r="H22" s="33">
        <f>G22/D22*100</f>
        <v>98.983568792846015</v>
      </c>
    </row>
    <row r="23" spans="1:8">
      <c r="A23" s="18">
        <v>2</v>
      </c>
      <c r="B23" s="18" t="s">
        <v>36</v>
      </c>
      <c r="C23" s="18">
        <v>15.8172</v>
      </c>
      <c r="D23" s="31">
        <v>7.5</v>
      </c>
      <c r="E23" s="32">
        <v>2807460.4716526698</v>
      </c>
      <c r="F23" s="33">
        <f>(E23-C$6)/C$5</f>
        <v>23.185222790190412</v>
      </c>
      <c r="G23" s="33">
        <f t="shared" si="2"/>
        <v>7.3680227901904125</v>
      </c>
      <c r="H23" s="33">
        <f t="shared" ref="H23:H24" si="3">G23/D23*100</f>
        <v>98.240303869205505</v>
      </c>
    </row>
    <row r="24" spans="1:8">
      <c r="A24" s="18">
        <v>3</v>
      </c>
      <c r="B24" s="18" t="s">
        <v>36</v>
      </c>
      <c r="C24" s="18">
        <v>15.8172</v>
      </c>
      <c r="D24" s="31">
        <v>7.5</v>
      </c>
      <c r="E24" s="32">
        <v>2832245.4395412598</v>
      </c>
      <c r="F24" s="33">
        <f>(E24-C$6)/C$5</f>
        <v>23.391943347077966</v>
      </c>
      <c r="G24" s="33">
        <f t="shared" si="2"/>
        <v>7.5747433470779661</v>
      </c>
      <c r="H24" s="33">
        <f t="shared" si="3"/>
        <v>100.99657796103956</v>
      </c>
    </row>
    <row r="25" spans="1:8">
      <c r="E25" s="74" t="s">
        <v>23</v>
      </c>
      <c r="F25" s="74"/>
      <c r="G25" s="74"/>
      <c r="H25" s="22">
        <f>AVERAGE(H22:H24)</f>
        <v>99.406816874363699</v>
      </c>
    </row>
    <row r="26" spans="1:8">
      <c r="E26" s="74" t="s">
        <v>37</v>
      </c>
      <c r="F26" s="74"/>
      <c r="G26" s="74"/>
      <c r="H26" s="22">
        <f>STDEV(H22:H24)/H25</f>
        <v>1.4345586195474857E-2</v>
      </c>
    </row>
    <row r="27" spans="1:8">
      <c r="E27" s="74" t="s">
        <v>38</v>
      </c>
      <c r="F27" s="74"/>
      <c r="G27" s="74"/>
      <c r="H27" s="28" t="s">
        <v>39</v>
      </c>
    </row>
    <row r="28" spans="1:8">
      <c r="E28" s="74" t="s">
        <v>10</v>
      </c>
      <c r="F28" s="74"/>
      <c r="G28" s="74"/>
      <c r="H28" s="20" t="s">
        <v>11</v>
      </c>
    </row>
    <row r="30" spans="1:8">
      <c r="A30" s="73" t="s">
        <v>43</v>
      </c>
      <c r="B30" s="73"/>
      <c r="C30" s="73"/>
      <c r="D30" s="73"/>
    </row>
    <row r="31" spans="1:8" ht="39.6">
      <c r="A31" s="28" t="s">
        <v>19</v>
      </c>
      <c r="B31" s="28" t="s">
        <v>30</v>
      </c>
      <c r="C31" s="29" t="s">
        <v>31</v>
      </c>
      <c r="D31" s="30" t="s">
        <v>44</v>
      </c>
      <c r="E31" s="28" t="s">
        <v>4</v>
      </c>
      <c r="F31" s="29" t="s">
        <v>33</v>
      </c>
      <c r="G31" s="29" t="s">
        <v>34</v>
      </c>
      <c r="H31" s="29" t="s">
        <v>35</v>
      </c>
    </row>
    <row r="32" spans="1:8">
      <c r="A32" s="18">
        <v>1</v>
      </c>
      <c r="B32" s="18" t="s">
        <v>36</v>
      </c>
      <c r="C32" s="18">
        <v>15.8172</v>
      </c>
      <c r="D32" s="31">
        <v>10</v>
      </c>
      <c r="E32" s="32">
        <v>3141515.7961129099</v>
      </c>
      <c r="F32" s="33">
        <f>(E32-C$6)/C$5</f>
        <v>25.971431875232785</v>
      </c>
      <c r="G32" s="33">
        <f t="shared" ref="G32:G34" si="4">F32-C32</f>
        <v>10.154231875232785</v>
      </c>
      <c r="H32" s="33">
        <f t="shared" ref="H32:H34" si="5">G32/D32*100</f>
        <v>101.54231875232784</v>
      </c>
    </row>
    <row r="33" spans="1:8">
      <c r="A33" s="18">
        <v>2</v>
      </c>
      <c r="B33" s="18" t="s">
        <v>36</v>
      </c>
      <c r="C33" s="18">
        <v>15.8172</v>
      </c>
      <c r="D33" s="31">
        <v>10</v>
      </c>
      <c r="E33" s="32">
        <v>3082600.56451187</v>
      </c>
      <c r="F33" s="33">
        <f>(E33-C$6)/C$5</f>
        <v>25.480045743910306</v>
      </c>
      <c r="G33" s="33">
        <f t="shared" si="4"/>
        <v>9.6628457439103066</v>
      </c>
      <c r="H33" s="33">
        <f t="shared" si="5"/>
        <v>96.628457439103073</v>
      </c>
    </row>
    <row r="34" spans="1:8">
      <c r="A34" s="18">
        <v>3</v>
      </c>
      <c r="B34" s="18" t="s">
        <v>36</v>
      </c>
      <c r="C34" s="18">
        <v>15.8172</v>
      </c>
      <c r="D34" s="31">
        <v>10</v>
      </c>
      <c r="E34" s="32">
        <v>3092471.1792303701</v>
      </c>
      <c r="F34" s="33">
        <f>(E34-C$6)/C$5</f>
        <v>25.562372216173767</v>
      </c>
      <c r="G34" s="33">
        <f t="shared" si="4"/>
        <v>9.7451722161737671</v>
      </c>
      <c r="H34" s="33">
        <f t="shared" si="5"/>
        <v>97.451722161737678</v>
      </c>
    </row>
    <row r="35" spans="1:8">
      <c r="E35" s="74" t="s">
        <v>23</v>
      </c>
      <c r="F35" s="74"/>
      <c r="G35" s="74"/>
      <c r="H35" s="22">
        <f>AVERAGE(H32:H34)</f>
        <v>98.540832784389522</v>
      </c>
    </row>
    <row r="36" spans="1:8">
      <c r="E36" s="74" t="s">
        <v>37</v>
      </c>
      <c r="F36" s="74"/>
      <c r="G36" s="74"/>
      <c r="H36" s="22">
        <f>STDEV(H32:H34)/H35</f>
        <v>2.6707244488407045E-2</v>
      </c>
    </row>
    <row r="37" spans="1:8">
      <c r="E37" s="74" t="s">
        <v>38</v>
      </c>
      <c r="F37" s="74"/>
      <c r="G37" s="74"/>
      <c r="H37" s="28" t="s">
        <v>39</v>
      </c>
    </row>
    <row r="38" spans="1:8">
      <c r="E38" s="74" t="s">
        <v>10</v>
      </c>
      <c r="F38" s="74"/>
      <c r="G38" s="74"/>
      <c r="H38" s="20" t="s">
        <v>11</v>
      </c>
    </row>
  </sheetData>
  <mergeCells count="16">
    <mergeCell ref="E38:G38"/>
    <mergeCell ref="E28:G28"/>
    <mergeCell ref="A30:D30"/>
    <mergeCell ref="E35:G35"/>
    <mergeCell ref="E36:G36"/>
    <mergeCell ref="E37:G37"/>
    <mergeCell ref="E18:G18"/>
    <mergeCell ref="A20:D20"/>
    <mergeCell ref="E25:G25"/>
    <mergeCell ref="E26:G26"/>
    <mergeCell ref="E27:G27"/>
    <mergeCell ref="B4:C4"/>
    <mergeCell ref="A10:D10"/>
    <mergeCell ref="E15:G15"/>
    <mergeCell ref="E16:G16"/>
    <mergeCell ref="E17:G1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46"/>
  <sheetViews>
    <sheetView topLeftCell="A3" workbookViewId="0">
      <selection activeCell="A16" sqref="A16:B16"/>
    </sheetView>
  </sheetViews>
  <sheetFormatPr defaultColWidth="7.8984375" defaultRowHeight="13.2"/>
  <cols>
    <col min="1" max="1" width="7.8984375" style="1"/>
    <col min="2" max="2" width="16.5" style="1" customWidth="1"/>
    <col min="3" max="3" width="10.09765625" style="1" customWidth="1"/>
    <col min="4" max="6" width="7.8984375" style="1"/>
    <col min="7" max="7" width="11.09765625" style="1"/>
    <col min="8" max="8" width="12.59765625" style="1"/>
    <col min="9" max="10" width="11.09765625" style="1"/>
    <col min="11" max="11" width="12" style="1"/>
    <col min="12" max="12" width="11.09765625" style="1"/>
    <col min="13" max="13" width="12" style="1"/>
    <col min="14" max="14" width="11.09765625" style="1"/>
    <col min="15" max="16384" width="7.8984375" style="1"/>
  </cols>
  <sheetData>
    <row r="2" spans="1:4" ht="32.25" customHeight="1">
      <c r="A2" s="12" t="s">
        <v>19</v>
      </c>
      <c r="B2" s="13" t="s">
        <v>45</v>
      </c>
      <c r="C2" s="12" t="s">
        <v>46</v>
      </c>
    </row>
    <row r="3" spans="1:4">
      <c r="A3" s="14">
        <v>1</v>
      </c>
      <c r="B3" s="14" t="s">
        <v>47</v>
      </c>
      <c r="C3" s="11">
        <v>53389.174516278501</v>
      </c>
    </row>
    <row r="4" spans="1:4">
      <c r="A4" s="14">
        <v>2</v>
      </c>
      <c r="B4" s="14" t="s">
        <v>47</v>
      </c>
      <c r="C4" s="11">
        <v>36358.840817897697</v>
      </c>
    </row>
    <row r="5" spans="1:4">
      <c r="A5" s="14">
        <v>3</v>
      </c>
      <c r="B5" s="14" t="s">
        <v>47</v>
      </c>
      <c r="C5" s="11">
        <v>39412.793380781797</v>
      </c>
    </row>
    <row r="6" spans="1:4">
      <c r="A6" s="14">
        <v>4</v>
      </c>
      <c r="B6" s="14" t="s">
        <v>47</v>
      </c>
      <c r="C6" s="11">
        <v>57708.115649553198</v>
      </c>
    </row>
    <row r="7" spans="1:4">
      <c r="A7" s="14">
        <v>5</v>
      </c>
      <c r="B7" s="14" t="s">
        <v>47</v>
      </c>
      <c r="C7" s="11">
        <v>33150.805416889198</v>
      </c>
    </row>
    <row r="8" spans="1:4">
      <c r="A8" s="14">
        <v>6</v>
      </c>
      <c r="B8" s="14" t="s">
        <v>47</v>
      </c>
      <c r="C8" s="11">
        <v>52675.833607995301</v>
      </c>
    </row>
    <row r="9" spans="1:4">
      <c r="A9" s="14">
        <v>7</v>
      </c>
      <c r="B9" s="14" t="s">
        <v>47</v>
      </c>
      <c r="C9" s="11">
        <v>34632.403148653197</v>
      </c>
    </row>
    <row r="10" spans="1:4">
      <c r="A10" s="14">
        <v>8</v>
      </c>
      <c r="B10" s="14" t="s">
        <v>47</v>
      </c>
      <c r="C10" s="11">
        <v>57708.115649553198</v>
      </c>
    </row>
    <row r="11" spans="1:4">
      <c r="A11" s="14">
        <v>9</v>
      </c>
      <c r="B11" s="14" t="s">
        <v>47</v>
      </c>
      <c r="C11" s="11">
        <v>32256.9404636363</v>
      </c>
    </row>
    <row r="12" spans="1:4">
      <c r="A12" s="14">
        <v>10</v>
      </c>
      <c r="B12" s="14" t="s">
        <v>47</v>
      </c>
      <c r="C12" s="11">
        <v>57253.194583110802</v>
      </c>
    </row>
    <row r="13" spans="1:4">
      <c r="A13" s="63" t="s">
        <v>24</v>
      </c>
      <c r="B13" s="63"/>
      <c r="C13" s="16">
        <f>STDEV(C3:C12)</f>
        <v>11138.150647653832</v>
      </c>
    </row>
    <row r="14" spans="1:4">
      <c r="A14" s="63" t="s">
        <v>48</v>
      </c>
      <c r="B14" s="63"/>
      <c r="C14" s="16">
        <f>STDEV(C3:C12)</f>
        <v>11138.150647653832</v>
      </c>
    </row>
    <row r="15" spans="1:4">
      <c r="A15" s="63" t="s">
        <v>49</v>
      </c>
      <c r="B15" s="63"/>
      <c r="C15" s="16">
        <f>(3.3*C14/C27)</f>
        <v>0.3065656026017648</v>
      </c>
      <c r="D15" s="1" t="s">
        <v>50</v>
      </c>
    </row>
    <row r="16" spans="1:4">
      <c r="A16" s="63" t="s">
        <v>51</v>
      </c>
      <c r="B16" s="63"/>
      <c r="C16" s="16">
        <f>(10*$C$14)/$C$27</f>
        <v>0.92898667455080242</v>
      </c>
      <c r="D16" s="1" t="s">
        <v>50</v>
      </c>
    </row>
    <row r="18" spans="1:16">
      <c r="A18" s="73"/>
      <c r="B18" s="73"/>
      <c r="C18" s="73"/>
    </row>
    <row r="20" spans="1:16" ht="13.8">
      <c r="A20" s="17" t="s">
        <v>2</v>
      </c>
      <c r="B20" s="17" t="s">
        <v>52</v>
      </c>
      <c r="C20" s="17" t="s">
        <v>4</v>
      </c>
      <c r="F20" s="75" t="s">
        <v>53</v>
      </c>
      <c r="G20" s="76"/>
      <c r="P20" s="24"/>
    </row>
    <row r="21" spans="1:16" ht="13.8">
      <c r="A21" s="18">
        <v>1</v>
      </c>
      <c r="B21" s="18">
        <v>5</v>
      </c>
      <c r="C21" s="7">
        <v>616112.22383593</v>
      </c>
      <c r="P21" s="24"/>
    </row>
    <row r="22" spans="1:16" ht="13.8">
      <c r="A22" s="18">
        <v>2</v>
      </c>
      <c r="B22" s="18">
        <v>10</v>
      </c>
      <c r="C22" s="7">
        <v>1227177.7160535301</v>
      </c>
      <c r="F22" s="77" t="s">
        <v>54</v>
      </c>
      <c r="G22" s="78"/>
      <c r="P22" s="24"/>
    </row>
    <row r="23" spans="1:16" ht="13.8">
      <c r="A23" s="18">
        <v>3</v>
      </c>
      <c r="B23" s="18">
        <v>15</v>
      </c>
      <c r="C23" s="7">
        <v>1805559.2871622201</v>
      </c>
      <c r="F23" s="1" t="s">
        <v>55</v>
      </c>
      <c r="G23" s="1">
        <v>0.99957477952321305</v>
      </c>
      <c r="P23" s="24"/>
    </row>
    <row r="24" spans="1:16" ht="13.8">
      <c r="A24" s="18">
        <v>4</v>
      </c>
      <c r="B24" s="18">
        <v>20</v>
      </c>
      <c r="C24" s="7">
        <v>2464553.6006527599</v>
      </c>
      <c r="F24" s="1" t="s">
        <v>56</v>
      </c>
      <c r="G24" s="1">
        <v>0.999149739858879</v>
      </c>
      <c r="P24" s="24"/>
    </row>
    <row r="25" spans="1:16" ht="13.8">
      <c r="A25" s="18">
        <v>5</v>
      </c>
      <c r="B25" s="18">
        <v>25</v>
      </c>
      <c r="C25" s="7">
        <v>3061369.8724523499</v>
      </c>
      <c r="F25" s="1" t="s">
        <v>57</v>
      </c>
      <c r="G25" s="1">
        <v>0.99893717482359901</v>
      </c>
      <c r="P25" s="24"/>
    </row>
    <row r="26" spans="1:16" ht="13.8">
      <c r="A26" s="18">
        <v>6</v>
      </c>
      <c r="B26" s="18">
        <v>30</v>
      </c>
      <c r="C26" s="7">
        <v>3580147.5236175</v>
      </c>
      <c r="F26" s="1" t="s">
        <v>58</v>
      </c>
      <c r="G26" s="1">
        <v>36578.278021806102</v>
      </c>
      <c r="P26" s="24"/>
    </row>
    <row r="27" spans="1:16" ht="13.8">
      <c r="A27" s="74" t="s">
        <v>59</v>
      </c>
      <c r="B27" s="74"/>
      <c r="C27" s="20">
        <v>119895.69875197099</v>
      </c>
      <c r="F27" s="21" t="s">
        <v>60</v>
      </c>
      <c r="G27" s="21">
        <v>6</v>
      </c>
      <c r="P27" s="24"/>
    </row>
    <row r="28" spans="1:16" ht="13.8">
      <c r="A28" s="74" t="s">
        <v>6</v>
      </c>
      <c r="B28" s="74"/>
      <c r="C28" s="22">
        <v>27645.309136231401</v>
      </c>
      <c r="P28" s="24"/>
    </row>
    <row r="29" spans="1:16" ht="13.8">
      <c r="A29" s="74" t="s">
        <v>7</v>
      </c>
      <c r="B29" s="74"/>
      <c r="C29" s="22">
        <v>0.99957477952321205</v>
      </c>
      <c r="F29" s="1" t="s">
        <v>61</v>
      </c>
      <c r="P29" s="24"/>
    </row>
    <row r="30" spans="1:16" ht="13.8">
      <c r="A30" s="79" t="s">
        <v>62</v>
      </c>
      <c r="B30" s="79"/>
      <c r="C30" s="16">
        <f>H36</f>
        <v>34052.523645614499</v>
      </c>
      <c r="F30" s="19"/>
      <c r="G30" s="19" t="s">
        <v>63</v>
      </c>
      <c r="H30" s="19" t="s">
        <v>64</v>
      </c>
      <c r="I30" s="19" t="s">
        <v>65</v>
      </c>
      <c r="J30" s="19" t="s">
        <v>66</v>
      </c>
      <c r="K30" s="19" t="s">
        <v>67</v>
      </c>
      <c r="P30" s="24"/>
    </row>
    <row r="31" spans="1:16" ht="13.8">
      <c r="A31" s="79" t="s">
        <v>49</v>
      </c>
      <c r="B31" s="79"/>
      <c r="C31" s="16">
        <f>(3.3*C30)/C27</f>
        <v>0.93725904432147544</v>
      </c>
      <c r="D31" s="1" t="s">
        <v>50</v>
      </c>
      <c r="F31" s="1" t="s">
        <v>68</v>
      </c>
      <c r="G31" s="1">
        <v>1</v>
      </c>
      <c r="H31" s="1">
        <v>6289053128410.1797</v>
      </c>
      <c r="I31" s="1">
        <v>6289053128410.1797</v>
      </c>
      <c r="J31" s="1">
        <v>4700.4425659262997</v>
      </c>
      <c r="K31" s="1">
        <v>2.71180238240064E-7</v>
      </c>
      <c r="P31" s="24"/>
    </row>
    <row r="32" spans="1:16" ht="13.8">
      <c r="A32" s="79" t="s">
        <v>51</v>
      </c>
      <c r="B32" s="79"/>
      <c r="C32" s="16">
        <f>(10*C30)/C27</f>
        <v>2.8401789221862894</v>
      </c>
      <c r="D32" s="1" t="s">
        <v>50</v>
      </c>
      <c r="F32" s="1" t="s">
        <v>69</v>
      </c>
      <c r="G32" s="1">
        <v>4</v>
      </c>
      <c r="H32" s="1">
        <v>5351881692.1621599</v>
      </c>
      <c r="I32" s="1">
        <v>1337970423.04054</v>
      </c>
      <c r="P32" s="24"/>
    </row>
    <row r="33" spans="6:16" ht="13.8">
      <c r="F33" s="21" t="s">
        <v>70</v>
      </c>
      <c r="G33" s="21">
        <v>5</v>
      </c>
      <c r="H33" s="21">
        <v>6294405010102.3398</v>
      </c>
      <c r="I33" s="21"/>
      <c r="J33" s="21"/>
      <c r="K33" s="21"/>
      <c r="P33" s="24"/>
    </row>
    <row r="34" spans="6:16" ht="13.8">
      <c r="P34" s="24"/>
    </row>
    <row r="35" spans="6:16" ht="13.8">
      <c r="F35" s="19"/>
      <c r="G35" s="19" t="s">
        <v>71</v>
      </c>
      <c r="H35" s="19" t="s">
        <v>58</v>
      </c>
      <c r="I35" s="19" t="s">
        <v>72</v>
      </c>
      <c r="J35" s="19" t="s">
        <v>73</v>
      </c>
      <c r="K35" s="19" t="s">
        <v>74</v>
      </c>
      <c r="L35" s="19" t="s">
        <v>75</v>
      </c>
      <c r="M35" s="19" t="s">
        <v>76</v>
      </c>
      <c r="N35" s="19" t="s">
        <v>77</v>
      </c>
      <c r="P35" s="24"/>
    </row>
    <row r="36" spans="6:16" ht="13.8">
      <c r="F36" s="1" t="s">
        <v>6</v>
      </c>
      <c r="G36" s="1">
        <v>27645.309136231001</v>
      </c>
      <c r="H36" s="23">
        <v>34052.523645614499</v>
      </c>
      <c r="I36" s="1">
        <v>0.81184318154907997</v>
      </c>
      <c r="J36" s="1">
        <v>0.46242949677843898</v>
      </c>
      <c r="K36" s="1">
        <v>-66899.653459267603</v>
      </c>
      <c r="L36" s="1">
        <v>122190.27173173</v>
      </c>
      <c r="M36" s="1">
        <v>-66899.653459267603</v>
      </c>
      <c r="N36" s="1">
        <v>122190.27173173</v>
      </c>
      <c r="P36" s="24"/>
    </row>
    <row r="37" spans="6:16" ht="13.8">
      <c r="F37" s="21" t="s">
        <v>78</v>
      </c>
      <c r="G37" s="21">
        <v>119895.69875197099</v>
      </c>
      <c r="H37" s="21">
        <v>1748.7761748739999</v>
      </c>
      <c r="I37" s="21">
        <v>68.559773671784399</v>
      </c>
      <c r="J37" s="21">
        <v>2.71180238240064E-7</v>
      </c>
      <c r="K37" s="21">
        <v>115040.317701155</v>
      </c>
      <c r="L37" s="21">
        <v>124751.079802786</v>
      </c>
      <c r="M37" s="21">
        <v>115040.317701155</v>
      </c>
      <c r="N37" s="21">
        <v>124751.079802786</v>
      </c>
      <c r="P37" s="24"/>
    </row>
    <row r="38" spans="6:16" ht="13.8">
      <c r="P38" s="24"/>
    </row>
    <row r="39" spans="6:16" ht="13.8">
      <c r="P39" s="24"/>
    </row>
    <row r="40" spans="6:16" ht="13.8">
      <c r="P40" s="24"/>
    </row>
    <row r="41" spans="6:16" ht="13.8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6:16" ht="13.8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6:16" ht="13.8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6:16" ht="13.8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5" spans="6:16" ht="13.8"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</row>
    <row r="46" spans="6:16" ht="13.8"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</sheetData>
  <mergeCells count="13">
    <mergeCell ref="A30:B30"/>
    <mergeCell ref="A31:B31"/>
    <mergeCell ref="A32:B32"/>
    <mergeCell ref="F20:G20"/>
    <mergeCell ref="F22:G22"/>
    <mergeCell ref="A27:B27"/>
    <mergeCell ref="A28:B28"/>
    <mergeCell ref="A29:B29"/>
    <mergeCell ref="A13:B13"/>
    <mergeCell ref="A14:B14"/>
    <mergeCell ref="A15:B15"/>
    <mergeCell ref="A16:B16"/>
    <mergeCell ref="A18:C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topLeftCell="A9" workbookViewId="0">
      <selection activeCell="F31" sqref="F31"/>
    </sheetView>
  </sheetViews>
  <sheetFormatPr defaultColWidth="12.59765625" defaultRowHeight="15" customHeight="1"/>
  <cols>
    <col min="1" max="1" width="7.59765625" style="1" customWidth="1"/>
    <col min="2" max="2" width="22.5" style="1" customWidth="1"/>
    <col min="3" max="3" width="11.09765625" style="1" customWidth="1"/>
    <col min="4" max="4" width="10.8984375" style="1" customWidth="1"/>
    <col min="5" max="26" width="7.59765625" style="1" customWidth="1"/>
    <col min="27" max="16384" width="12.59765625" style="1"/>
  </cols>
  <sheetData>
    <row r="1" spans="1:4" ht="15" customHeight="1">
      <c r="A1" s="73" t="s">
        <v>79</v>
      </c>
      <c r="B1" s="73"/>
      <c r="C1" s="73"/>
      <c r="D1" s="73"/>
    </row>
    <row r="2" spans="1:4" ht="13.2">
      <c r="A2" s="73" t="s">
        <v>80</v>
      </c>
      <c r="B2" s="73"/>
      <c r="C2" s="73"/>
      <c r="D2" s="73"/>
    </row>
    <row r="4" spans="1:4" ht="24" customHeight="1">
      <c r="A4" s="2" t="s">
        <v>2</v>
      </c>
      <c r="B4" s="2" t="s">
        <v>81</v>
      </c>
      <c r="C4" s="2" t="s">
        <v>4</v>
      </c>
      <c r="D4" s="2" t="s">
        <v>82</v>
      </c>
    </row>
    <row r="5" spans="1:4" ht="13.2">
      <c r="A5" s="3">
        <v>1</v>
      </c>
      <c r="B5" s="4" t="s">
        <v>83</v>
      </c>
      <c r="C5" s="3" t="s">
        <v>84</v>
      </c>
      <c r="D5" s="3" t="s">
        <v>85</v>
      </c>
    </row>
    <row r="6" spans="1:4" ht="13.2">
      <c r="A6" s="5">
        <v>2</v>
      </c>
      <c r="B6" s="6" t="s">
        <v>86</v>
      </c>
      <c r="C6" s="7">
        <v>616112.22383593</v>
      </c>
      <c r="D6" s="4"/>
    </row>
    <row r="7" spans="1:4" ht="13.2">
      <c r="A7" s="3">
        <v>3</v>
      </c>
      <c r="B7" s="6" t="s">
        <v>87</v>
      </c>
      <c r="C7" s="7">
        <v>1227177.7160535301</v>
      </c>
      <c r="D7" s="4"/>
    </row>
    <row r="8" spans="1:4" ht="13.2">
      <c r="A8" s="5">
        <v>4</v>
      </c>
      <c r="B8" s="6" t="s">
        <v>88</v>
      </c>
      <c r="C8" s="7">
        <v>1805559.2871622201</v>
      </c>
      <c r="D8" s="4"/>
    </row>
    <row r="9" spans="1:4" ht="13.2">
      <c r="A9" s="3">
        <v>5</v>
      </c>
      <c r="B9" s="6" t="s">
        <v>89</v>
      </c>
      <c r="C9" s="7">
        <v>2464553.6006527599</v>
      </c>
      <c r="D9" s="4"/>
    </row>
    <row r="10" spans="1:4" ht="13.2">
      <c r="A10" s="5">
        <v>6</v>
      </c>
      <c r="B10" s="6" t="s">
        <v>90</v>
      </c>
      <c r="C10" s="7">
        <v>3061369.8724523499</v>
      </c>
      <c r="D10" s="4"/>
    </row>
    <row r="11" spans="1:4" ht="13.2">
      <c r="A11" s="3">
        <v>7</v>
      </c>
      <c r="B11" s="6" t="s">
        <v>91</v>
      </c>
      <c r="C11" s="7">
        <v>3580147.5236175</v>
      </c>
      <c r="D11" s="4"/>
    </row>
    <row r="12" spans="1:4" ht="13.2">
      <c r="A12" s="5">
        <v>8</v>
      </c>
      <c r="B12" s="6" t="s">
        <v>92</v>
      </c>
      <c r="C12" s="8">
        <v>1264491.6657982699</v>
      </c>
      <c r="D12" s="9" t="s">
        <v>14</v>
      </c>
    </row>
    <row r="13" spans="1:4" ht="13.2">
      <c r="A13" s="3">
        <v>9</v>
      </c>
      <c r="B13" s="6" t="s">
        <v>93</v>
      </c>
      <c r="C13" s="8">
        <v>1428768.4469502501</v>
      </c>
      <c r="D13" s="9" t="s">
        <v>14</v>
      </c>
    </row>
    <row r="14" spans="1:4" ht="13.2">
      <c r="A14" s="5">
        <v>10</v>
      </c>
      <c r="B14" s="6" t="s">
        <v>94</v>
      </c>
      <c r="C14" s="8">
        <v>1639487.6695944499</v>
      </c>
      <c r="D14" s="9" t="s">
        <v>14</v>
      </c>
    </row>
    <row r="15" spans="1:4" ht="13.2">
      <c r="A15" s="3">
        <v>11</v>
      </c>
      <c r="B15" s="6" t="s">
        <v>95</v>
      </c>
      <c r="C15" s="8">
        <v>1788228.6430170001</v>
      </c>
      <c r="D15" s="9" t="s">
        <v>14</v>
      </c>
    </row>
    <row r="16" spans="1:4" ht="13.2">
      <c r="A16" s="5">
        <v>12</v>
      </c>
      <c r="B16" s="6" t="s">
        <v>96</v>
      </c>
      <c r="C16" s="8">
        <v>2021912.48986666</v>
      </c>
      <c r="D16" s="9" t="s">
        <v>14</v>
      </c>
    </row>
    <row r="17" spans="1:4" ht="13.2">
      <c r="A17" s="3">
        <v>13</v>
      </c>
      <c r="B17" s="6" t="s">
        <v>97</v>
      </c>
      <c r="C17" s="8">
        <v>2182052.0812643599</v>
      </c>
      <c r="D17" s="9" t="s">
        <v>14</v>
      </c>
    </row>
    <row r="18" spans="1:4" ht="13.2">
      <c r="A18" s="5">
        <v>14</v>
      </c>
      <c r="B18" s="6" t="s">
        <v>98</v>
      </c>
      <c r="C18" s="8">
        <v>2364665.19022574</v>
      </c>
      <c r="D18" s="9" t="s">
        <v>14</v>
      </c>
    </row>
    <row r="19" spans="1:4" ht="13.2">
      <c r="A19" s="3">
        <v>15</v>
      </c>
      <c r="B19" s="6" t="s">
        <v>99</v>
      </c>
      <c r="C19" s="7">
        <v>1938326.28553042</v>
      </c>
      <c r="D19" s="9" t="s">
        <v>100</v>
      </c>
    </row>
    <row r="20" spans="1:4" ht="13.2">
      <c r="A20" s="5">
        <v>16</v>
      </c>
      <c r="B20" s="6" t="s">
        <v>101</v>
      </c>
      <c r="C20" s="7">
        <v>1940186.4835011801</v>
      </c>
      <c r="D20" s="9" t="s">
        <v>102</v>
      </c>
    </row>
    <row r="21" spans="1:4" ht="15.75" customHeight="1">
      <c r="A21" s="3">
        <v>17</v>
      </c>
      <c r="B21" s="6" t="s">
        <v>103</v>
      </c>
      <c r="C21" s="7">
        <v>1919724.30582284</v>
      </c>
      <c r="D21" s="9" t="s">
        <v>14</v>
      </c>
    </row>
    <row r="22" spans="1:4" ht="15.75" customHeight="1">
      <c r="A22" s="5">
        <v>18</v>
      </c>
      <c r="B22" s="6" t="s">
        <v>104</v>
      </c>
      <c r="C22" s="7">
        <v>1936466.08755966</v>
      </c>
      <c r="D22" s="9" t="s">
        <v>105</v>
      </c>
    </row>
    <row r="23" spans="1:4" ht="15.75" customHeight="1">
      <c r="A23" s="3">
        <v>19</v>
      </c>
      <c r="B23" s="6" t="s">
        <v>106</v>
      </c>
      <c r="C23" s="7">
        <v>1953207.86929649</v>
      </c>
      <c r="D23" s="9" t="s">
        <v>105</v>
      </c>
    </row>
    <row r="24" spans="1:4" ht="15.75" customHeight="1">
      <c r="A24" s="5">
        <v>20</v>
      </c>
      <c r="B24" s="6" t="s">
        <v>107</v>
      </c>
      <c r="C24" s="7">
        <v>1856477.57481704</v>
      </c>
      <c r="D24" s="9" t="s">
        <v>108</v>
      </c>
    </row>
    <row r="25" spans="1:4" ht="15.75" customHeight="1">
      <c r="A25" s="3">
        <v>21</v>
      </c>
      <c r="B25" s="4" t="s">
        <v>109</v>
      </c>
      <c r="C25" s="7">
        <v>2494344.2592247999</v>
      </c>
      <c r="D25" s="9" t="s">
        <v>110</v>
      </c>
    </row>
    <row r="26" spans="1:4" ht="15.75" customHeight="1">
      <c r="A26" s="5">
        <v>22</v>
      </c>
      <c r="B26" s="4" t="s">
        <v>109</v>
      </c>
      <c r="C26" s="7">
        <v>2511739.8794652</v>
      </c>
      <c r="D26" s="9" t="s">
        <v>110</v>
      </c>
    </row>
    <row r="27" spans="1:4" ht="15.75" customHeight="1">
      <c r="A27" s="3">
        <v>23</v>
      </c>
      <c r="B27" s="4" t="s">
        <v>109</v>
      </c>
      <c r="C27" s="7">
        <v>2521680.2338882899</v>
      </c>
      <c r="D27" s="9" t="s">
        <v>110</v>
      </c>
    </row>
    <row r="28" spans="1:4" ht="15.75" customHeight="1">
      <c r="A28" s="5">
        <v>24</v>
      </c>
      <c r="B28" s="4" t="s">
        <v>111</v>
      </c>
      <c r="C28" s="7">
        <v>2814144.0584990298</v>
      </c>
      <c r="D28" s="9" t="s">
        <v>110</v>
      </c>
    </row>
    <row r="29" spans="1:4" ht="15.75" customHeight="1">
      <c r="A29" s="3">
        <v>25</v>
      </c>
      <c r="B29" s="4" t="s">
        <v>111</v>
      </c>
      <c r="C29" s="7">
        <v>2807460.4716526698</v>
      </c>
      <c r="D29" s="9" t="s">
        <v>110</v>
      </c>
    </row>
    <row r="30" spans="1:4" ht="15.75" customHeight="1">
      <c r="A30" s="5">
        <v>26</v>
      </c>
      <c r="B30" s="4" t="s">
        <v>111</v>
      </c>
      <c r="C30" s="7">
        <v>2832245.4395412598</v>
      </c>
      <c r="D30" s="9" t="s">
        <v>110</v>
      </c>
    </row>
    <row r="31" spans="1:4" ht="15.75" customHeight="1">
      <c r="A31" s="3">
        <v>27</v>
      </c>
      <c r="B31" s="4" t="s">
        <v>112</v>
      </c>
      <c r="C31" s="7">
        <v>3141515.7961129099</v>
      </c>
      <c r="D31" s="9" t="s">
        <v>110</v>
      </c>
    </row>
    <row r="32" spans="1:4" ht="15.75" customHeight="1">
      <c r="A32" s="5">
        <v>28</v>
      </c>
      <c r="B32" s="4" t="s">
        <v>112</v>
      </c>
      <c r="C32" s="7">
        <v>3082600.56451187</v>
      </c>
      <c r="D32" s="9" t="s">
        <v>110</v>
      </c>
    </row>
    <row r="33" spans="1:4" ht="15.75" customHeight="1">
      <c r="A33" s="3">
        <v>29</v>
      </c>
      <c r="B33" s="4" t="s">
        <v>112</v>
      </c>
      <c r="C33" s="7">
        <v>3092471.1792303701</v>
      </c>
      <c r="D33" s="9" t="s">
        <v>110</v>
      </c>
    </row>
    <row r="34" spans="1:4" ht="15.75" customHeight="1">
      <c r="A34" s="5">
        <v>30</v>
      </c>
      <c r="B34" s="10" t="s">
        <v>47</v>
      </c>
      <c r="C34" s="11">
        <v>53389.174516278501</v>
      </c>
      <c r="D34" s="9" t="s">
        <v>113</v>
      </c>
    </row>
    <row r="35" spans="1:4" ht="15.75" customHeight="1">
      <c r="A35" s="3">
        <v>31</v>
      </c>
      <c r="B35" s="10" t="s">
        <v>47</v>
      </c>
      <c r="C35" s="11">
        <v>36358.840817897697</v>
      </c>
      <c r="D35" s="9" t="s">
        <v>113</v>
      </c>
    </row>
    <row r="36" spans="1:4" ht="15.75" customHeight="1">
      <c r="A36" s="5">
        <v>32</v>
      </c>
      <c r="B36" s="10" t="s">
        <v>47</v>
      </c>
      <c r="C36" s="11">
        <v>39412.793380781797</v>
      </c>
      <c r="D36" s="9" t="s">
        <v>113</v>
      </c>
    </row>
    <row r="37" spans="1:4" ht="15.75" customHeight="1">
      <c r="A37" s="3">
        <v>33</v>
      </c>
      <c r="B37" s="10" t="s">
        <v>47</v>
      </c>
      <c r="C37" s="11">
        <v>57708.115649553198</v>
      </c>
      <c r="D37" s="9" t="s">
        <v>113</v>
      </c>
    </row>
    <row r="38" spans="1:4" ht="15.75" customHeight="1">
      <c r="A38" s="5">
        <v>34</v>
      </c>
      <c r="B38" s="10" t="s">
        <v>47</v>
      </c>
      <c r="C38" s="11">
        <v>33150.805416889198</v>
      </c>
      <c r="D38" s="9" t="s">
        <v>113</v>
      </c>
    </row>
    <row r="39" spans="1:4" ht="15.75" customHeight="1">
      <c r="A39" s="3">
        <v>35</v>
      </c>
      <c r="B39" s="10" t="s">
        <v>47</v>
      </c>
      <c r="C39" s="11">
        <v>52675.833607995301</v>
      </c>
      <c r="D39" s="9" t="s">
        <v>113</v>
      </c>
    </row>
    <row r="40" spans="1:4" ht="15.75" customHeight="1">
      <c r="A40" s="5">
        <v>36</v>
      </c>
      <c r="B40" s="10" t="s">
        <v>47</v>
      </c>
      <c r="C40" s="11">
        <v>34632.403148653197</v>
      </c>
      <c r="D40" s="9" t="s">
        <v>113</v>
      </c>
    </row>
    <row r="41" spans="1:4" ht="15.75" customHeight="1">
      <c r="A41" s="3">
        <v>37</v>
      </c>
      <c r="B41" s="10" t="s">
        <v>47</v>
      </c>
      <c r="C41" s="11">
        <v>57708.115649553198</v>
      </c>
      <c r="D41" s="9" t="s">
        <v>113</v>
      </c>
    </row>
    <row r="42" spans="1:4" ht="15.75" customHeight="1">
      <c r="A42" s="5">
        <v>38</v>
      </c>
      <c r="B42" s="10" t="s">
        <v>47</v>
      </c>
      <c r="C42" s="11">
        <v>32256.9404636363</v>
      </c>
      <c r="D42" s="9" t="s">
        <v>113</v>
      </c>
    </row>
    <row r="43" spans="1:4" ht="15.75" customHeight="1">
      <c r="A43" s="3">
        <v>39</v>
      </c>
      <c r="B43" s="10" t="s">
        <v>47</v>
      </c>
      <c r="C43" s="11">
        <v>57253.194583110802</v>
      </c>
      <c r="D43" s="9" t="s">
        <v>113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Kurva Kalibrasi</vt:lpstr>
      <vt:lpstr>2. Linearitas dan Rentang</vt:lpstr>
      <vt:lpstr>3. Precision</vt:lpstr>
      <vt:lpstr>4. Accuracy</vt:lpstr>
      <vt:lpstr>5. LOD &amp; 6. LOQ</vt:lpstr>
      <vt:lpstr>Data simulasi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 claire</cp:lastModifiedBy>
  <dcterms:created xsi:type="dcterms:W3CDTF">2021-10-10T15:19:00Z</dcterms:created>
  <dcterms:modified xsi:type="dcterms:W3CDTF">2024-12-10T13:37:30Z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67B9E0FC1C854FBCB91ABF52994BE23F</vt:lpwstr>
  </property>
</Properties>
</file>